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7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8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9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1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12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13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nfield-my.sharepoint.com/personal/g_c_brown_cranfield_ac_uk/Documents/s294313/Write ups/4. Life Cycle/Data/"/>
    </mc:Choice>
  </mc:AlternateContent>
  <xr:revisionPtr revIDLastSave="3" documentId="8_{99CA8529-3F96-4B76-8869-EBF9649C23D7}" xr6:coauthVersionLast="47" xr6:coauthVersionMax="47" xr10:uidLastSave="{C64A82DA-7A43-4811-93B3-7948CC223036}"/>
  <bookViews>
    <workbookView xWindow="-120" yWindow="-120" windowWidth="29040" windowHeight="15720" firstSheet="3" activeTab="20" xr2:uid="{C623E71B-9378-4A84-A0F7-DB5D692A4A52}"/>
  </bookViews>
  <sheets>
    <sheet name="PLEASE READ" sheetId="18" r:id="rId1"/>
    <sheet name="Uk Grid Decarbonisation" sheetId="16" r:id="rId2"/>
    <sheet name="Conversions" sheetId="2" r:id="rId3"/>
    <sheet name="Wetland Flow" sheetId="15" r:id="rId4"/>
    <sheet name="Tankering" sheetId="20" r:id="rId5"/>
    <sheet name="Operational Emission Factors" sheetId="22" r:id="rId6"/>
    <sheet name="Septic Tank - British " sheetId="1" state="hidden" r:id="rId7"/>
    <sheet name="STS" sheetId="17" r:id="rId8"/>
    <sheet name="SAF" sheetId="6" r:id="rId9"/>
    <sheet name="ABR-Exc" sheetId="12" r:id="rId10"/>
    <sheet name="ABR-T" sheetId="19" state="hidden" r:id="rId11"/>
    <sheet name="AHF " sheetId="10" r:id="rId12"/>
    <sheet name="VF " sheetId="11" r:id="rId13"/>
    <sheet name="Capital Carbon (legacy)" sheetId="4" state="hidden" r:id="rId14"/>
    <sheet name="Fences" sheetId="21" state="hidden" r:id="rId15"/>
    <sheet name="Operational Emissions (Legacy)" sheetId="5" state="hidden" r:id="rId16"/>
    <sheet name="Pumping" sheetId="29" state="hidden" r:id="rId17"/>
    <sheet name="Initial Comparison" sheetId="13" state="hidden" r:id="rId18"/>
    <sheet name="Operational Emission Summary" sheetId="23" r:id="rId19"/>
    <sheet name="Overall LCA" sheetId="24" state="hidden" r:id="rId20"/>
    <sheet name="21-O" sheetId="25" r:id="rId21"/>
    <sheet name="Graph X" sheetId="30" state="hidden" r:id="rId22"/>
    <sheet name="30-O" sheetId="27" state="hidden" r:id="rId23"/>
    <sheet name="30-N" sheetId="28" state="hidden" r:id="rId24"/>
  </sheets>
  <externalReferences>
    <externalReference r:id="rId25"/>
    <externalReference r:id="rId26"/>
    <externalReference r:id="rId2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33" i="30" l="1"/>
  <c r="AZ35" i="30"/>
  <c r="AZ34" i="30"/>
  <c r="AY35" i="30"/>
  <c r="AV25" i="30"/>
  <c r="AS25" i="30"/>
  <c r="AV14" i="30"/>
  <c r="AV15" i="30"/>
  <c r="AV16" i="30"/>
  <c r="AV17" i="30"/>
  <c r="AV18" i="30"/>
  <c r="AV19" i="30"/>
  <c r="AV20" i="30"/>
  <c r="AV13" i="30"/>
  <c r="AY25" i="30"/>
  <c r="AZ25" i="30"/>
  <c r="BA25" i="30"/>
  <c r="AX25" i="30"/>
  <c r="AX17" i="30"/>
  <c r="AY17" i="30"/>
  <c r="AZ17" i="30"/>
  <c r="BA17" i="30"/>
  <c r="AR34" i="30"/>
  <c r="AS34" i="30"/>
  <c r="AT34" i="30"/>
  <c r="AU34" i="30"/>
  <c r="AY24" i="30"/>
  <c r="AZ24" i="30"/>
  <c r="BA24" i="30"/>
  <c r="AX24" i="30"/>
  <c r="J14" i="23"/>
  <c r="W14" i="23"/>
  <c r="AU14" i="23"/>
  <c r="AS35" i="23"/>
  <c r="AH14" i="23"/>
  <c r="AF14" i="23"/>
  <c r="AH35" i="23"/>
  <c r="AR31" i="30"/>
  <c r="AX14" i="30" s="1"/>
  <c r="AS31" i="30"/>
  <c r="AY14" i="30" s="1"/>
  <c r="AT31" i="30"/>
  <c r="AU31" i="30"/>
  <c r="BA14" i="30" s="1"/>
  <c r="AR32" i="30"/>
  <c r="AX15" i="30" s="1"/>
  <c r="AS32" i="30"/>
  <c r="AY15" i="30" s="1"/>
  <c r="AT32" i="30"/>
  <c r="AU32" i="30"/>
  <c r="BA15" i="30" s="1"/>
  <c r="AR33" i="30"/>
  <c r="AX16" i="30" s="1"/>
  <c r="AS33" i="30"/>
  <c r="AY16" i="30" s="1"/>
  <c r="AT33" i="30"/>
  <c r="AU33" i="30"/>
  <c r="BA16" i="30" s="1"/>
  <c r="AR35" i="30"/>
  <c r="AX18" i="30" s="1"/>
  <c r="AS35" i="30"/>
  <c r="AY18" i="30" s="1"/>
  <c r="AT35" i="30"/>
  <c r="AU35" i="30"/>
  <c r="BA18" i="30" s="1"/>
  <c r="AR36" i="30"/>
  <c r="AX19" i="30" s="1"/>
  <c r="AS36" i="30"/>
  <c r="AY19" i="30" s="1"/>
  <c r="AT36" i="30"/>
  <c r="AU36" i="30"/>
  <c r="BA19" i="30" s="1"/>
  <c r="AR37" i="30"/>
  <c r="AX20" i="30" s="1"/>
  <c r="AS37" i="30"/>
  <c r="AY20" i="30" s="1"/>
  <c r="AT37" i="30"/>
  <c r="AU37" i="30"/>
  <c r="BA20" i="30" s="1"/>
  <c r="AR38" i="30"/>
  <c r="AX21" i="30" s="1"/>
  <c r="AS38" i="30"/>
  <c r="AY21" i="30" s="1"/>
  <c r="AT38" i="30"/>
  <c r="AU38" i="30"/>
  <c r="BA21" i="30" s="1"/>
  <c r="AS30" i="30"/>
  <c r="AY13" i="30" s="1"/>
  <c r="AT30" i="30"/>
  <c r="AZ13" i="30" s="1"/>
  <c r="AU30" i="30"/>
  <c r="BA13" i="30" s="1"/>
  <c r="AR30" i="30"/>
  <c r="AX13" i="30"/>
  <c r="AZ14" i="30"/>
  <c r="AZ15" i="30"/>
  <c r="AZ16" i="30"/>
  <c r="AZ18" i="30"/>
  <c r="AZ19" i="30"/>
  <c r="AZ20" i="30"/>
  <c r="AZ21" i="30"/>
  <c r="AR22" i="30"/>
  <c r="AS22" i="30"/>
  <c r="AT22" i="30"/>
  <c r="AU22" i="30"/>
  <c r="AS23" i="30"/>
  <c r="AT23" i="30"/>
  <c r="AU23" i="30"/>
  <c r="AS24" i="30"/>
  <c r="AT24" i="30"/>
  <c r="AZ7" i="30" s="1"/>
  <c r="AU24" i="30"/>
  <c r="AT25" i="30"/>
  <c r="AZ8" i="30" s="1"/>
  <c r="AU25" i="30"/>
  <c r="BA8" i="30" s="1"/>
  <c r="AS26" i="30"/>
  <c r="AT26" i="30"/>
  <c r="AU26" i="30"/>
  <c r="BA9" i="30" s="1"/>
  <c r="AS27" i="30"/>
  <c r="AY10" i="30" s="1"/>
  <c r="AT27" i="30"/>
  <c r="AU27" i="30"/>
  <c r="AS28" i="30"/>
  <c r="AT28" i="30"/>
  <c r="AU28" i="30"/>
  <c r="AS29" i="30"/>
  <c r="AT29" i="30"/>
  <c r="AU29" i="30"/>
  <c r="BA12" i="30" s="1"/>
  <c r="AR23" i="30"/>
  <c r="AR24" i="30"/>
  <c r="AR25" i="30"/>
  <c r="AR26" i="30"/>
  <c r="AX9" i="30" s="1"/>
  <c r="AR27" i="30"/>
  <c r="AR28" i="30"/>
  <c r="AR29" i="30"/>
  <c r="BC6" i="30"/>
  <c r="BD6" i="30"/>
  <c r="BC7" i="30"/>
  <c r="BD7" i="30"/>
  <c r="BC8" i="30"/>
  <c r="BD8" i="30"/>
  <c r="BC9" i="30"/>
  <c r="BD9" i="30"/>
  <c r="BC10" i="30"/>
  <c r="BD10" i="30"/>
  <c r="BE6" i="30"/>
  <c r="BE7" i="30"/>
  <c r="BE8" i="30"/>
  <c r="BE9" i="30"/>
  <c r="BE10" i="30"/>
  <c r="BD5" i="30"/>
  <c r="BE5" i="30"/>
  <c r="BC5" i="30"/>
  <c r="AX6" i="30"/>
  <c r="AY6" i="30"/>
  <c r="AZ6" i="30"/>
  <c r="BA6" i="30"/>
  <c r="AX7" i="30"/>
  <c r="AY7" i="30"/>
  <c r="BA7" i="30"/>
  <c r="AX8" i="30"/>
  <c r="AY8" i="30"/>
  <c r="AY9" i="30"/>
  <c r="AZ9" i="30"/>
  <c r="AX10" i="30"/>
  <c r="AZ10" i="30"/>
  <c r="BA10" i="30"/>
  <c r="AX11" i="30"/>
  <c r="AY11" i="30"/>
  <c r="AZ11" i="30"/>
  <c r="BA11" i="30"/>
  <c r="AX12" i="30"/>
  <c r="AY12" i="30"/>
  <c r="AZ12" i="30"/>
  <c r="AY5" i="30"/>
  <c r="AZ5" i="30"/>
  <c r="BA5" i="30"/>
  <c r="AX5" i="30"/>
  <c r="AU14" i="30"/>
  <c r="AU15" i="30"/>
  <c r="AU16" i="30"/>
  <c r="AU17" i="30"/>
  <c r="AU18" i="30"/>
  <c r="AU19" i="30"/>
  <c r="AU20" i="30"/>
  <c r="AU13" i="30"/>
  <c r="AE34" i="30"/>
  <c r="AE35" i="30"/>
  <c r="AE36" i="30"/>
  <c r="AE33" i="30"/>
  <c r="AD33" i="30"/>
  <c r="AR14" i="30"/>
  <c r="AS14" i="30"/>
  <c r="AT14" i="30"/>
  <c r="AR15" i="30"/>
  <c r="AS15" i="30"/>
  <c r="AT15" i="30"/>
  <c r="AR16" i="30"/>
  <c r="AS16" i="30"/>
  <c r="AT16" i="30"/>
  <c r="AR17" i="30"/>
  <c r="AS17" i="30"/>
  <c r="AT17" i="30"/>
  <c r="AR18" i="30"/>
  <c r="AS18" i="30"/>
  <c r="AT18" i="30"/>
  <c r="AR19" i="30"/>
  <c r="AS19" i="30"/>
  <c r="AT19" i="30"/>
  <c r="AR20" i="30"/>
  <c r="AS20" i="30"/>
  <c r="AT20" i="30"/>
  <c r="AT13" i="30"/>
  <c r="AS13" i="30"/>
  <c r="AR13" i="30"/>
  <c r="T90" i="12"/>
  <c r="U161" i="12"/>
  <c r="G163" i="12"/>
  <c r="W162" i="12"/>
  <c r="V162" i="12"/>
  <c r="T161" i="6"/>
  <c r="P161" i="6"/>
  <c r="U162" i="12"/>
  <c r="Y162" i="12" s="1"/>
  <c r="D161" i="12" s="1"/>
  <c r="R162" i="12"/>
  <c r="T109" i="6"/>
  <c r="AC34" i="30"/>
  <c r="AD34" i="30" s="1"/>
  <c r="AC35" i="30"/>
  <c r="AD35" i="30" s="1"/>
  <c r="AC36" i="30"/>
  <c r="AD36" i="30" s="1"/>
  <c r="AC33" i="30"/>
  <c r="O44" i="25"/>
  <c r="P44" i="25"/>
  <c r="S3" i="30"/>
  <c r="AD19" i="30"/>
  <c r="AE19" i="30" s="1"/>
  <c r="AD18" i="30"/>
  <c r="AE18" i="30" s="1"/>
  <c r="AC20" i="30"/>
  <c r="AD20" i="30" s="1"/>
  <c r="AE20" i="30" s="1"/>
  <c r="P116" i="6"/>
  <c r="R116" i="12"/>
  <c r="H94" i="12"/>
  <c r="J94" i="12" s="1"/>
  <c r="J93" i="12"/>
  <c r="R161" i="12"/>
  <c r="D107" i="12"/>
  <c r="F107" i="12" s="1"/>
  <c r="AC11" i="30"/>
  <c r="AI5" i="30" s="1"/>
  <c r="AD11" i="30"/>
  <c r="AB11" i="30"/>
  <c r="B101" i="6"/>
  <c r="K94" i="6" s="1"/>
  <c r="C105" i="11"/>
  <c r="C163" i="11"/>
  <c r="C115" i="10"/>
  <c r="C252" i="10"/>
  <c r="S163" i="11"/>
  <c r="S161" i="11"/>
  <c r="S164" i="11" s="1"/>
  <c r="S160" i="11"/>
  <c r="G53" i="30"/>
  <c r="V4" i="30" s="1"/>
  <c r="G40" i="30"/>
  <c r="U4" i="30" s="1"/>
  <c r="G22" i="30"/>
  <c r="S4" i="30"/>
  <c r="T4" i="30"/>
  <c r="S5" i="30"/>
  <c r="T5" i="30"/>
  <c r="S6" i="30"/>
  <c r="T6" i="30"/>
  <c r="U6" i="30"/>
  <c r="AI4" i="30" l="1"/>
  <c r="AL46" i="30"/>
  <c r="AL45" i="30"/>
  <c r="AL44" i="30"/>
  <c r="AL43" i="30"/>
  <c r="AL42" i="30"/>
  <c r="AL41" i="30"/>
  <c r="AL40" i="30"/>
  <c r="AL39" i="30"/>
  <c r="AL38" i="30"/>
  <c r="AL37" i="30"/>
  <c r="AL36" i="30"/>
  <c r="AL35" i="30"/>
  <c r="AL34" i="30"/>
  <c r="AL33" i="30"/>
  <c r="AL32" i="30"/>
  <c r="AL31" i="30"/>
  <c r="AL30" i="30"/>
  <c r="AL29" i="30"/>
  <c r="AL28" i="30"/>
  <c r="AL27" i="30"/>
  <c r="AL26" i="30"/>
  <c r="AL25" i="30"/>
  <c r="AL24" i="30"/>
  <c r="AL23" i="30"/>
  <c r="AL22" i="30"/>
  <c r="AL21" i="30"/>
  <c r="AL20" i="30"/>
  <c r="AL19" i="30"/>
  <c r="AL18" i="30"/>
  <c r="AL17" i="30"/>
  <c r="AL16" i="30"/>
  <c r="AL15" i="30"/>
  <c r="AL14" i="30"/>
  <c r="AL13" i="30"/>
  <c r="AL12" i="30"/>
  <c r="AL11" i="30"/>
  <c r="AL10" i="30"/>
  <c r="AL9" i="30"/>
  <c r="AL8" i="30"/>
  <c r="AL7" i="30"/>
  <c r="AL6" i="30"/>
  <c r="AL5" i="30"/>
  <c r="B102" i="6"/>
  <c r="AJ4" i="30"/>
  <c r="AK46" i="30"/>
  <c r="AK45" i="30"/>
  <c r="AK44" i="30"/>
  <c r="AK43" i="30"/>
  <c r="AK42" i="30"/>
  <c r="AK41" i="30"/>
  <c r="AK40" i="30"/>
  <c r="AK39" i="30"/>
  <c r="AK38" i="30"/>
  <c r="AK37" i="30"/>
  <c r="AK36" i="30"/>
  <c r="AK35" i="30"/>
  <c r="AK34" i="30"/>
  <c r="AK33" i="30"/>
  <c r="AK32" i="30"/>
  <c r="AK31" i="30"/>
  <c r="AK30" i="30"/>
  <c r="AK29" i="30"/>
  <c r="AK28" i="30"/>
  <c r="AK27" i="30"/>
  <c r="AK26" i="30"/>
  <c r="AK25" i="30"/>
  <c r="AK24" i="30"/>
  <c r="AK23" i="30"/>
  <c r="AK22" i="30"/>
  <c r="AK21" i="30"/>
  <c r="AK20" i="30"/>
  <c r="AK19" i="30"/>
  <c r="AK18" i="30"/>
  <c r="AK17" i="30"/>
  <c r="AK16" i="30"/>
  <c r="AK15" i="30"/>
  <c r="AK14" i="30"/>
  <c r="AK13" i="30"/>
  <c r="AK12" i="30"/>
  <c r="AK11" i="30"/>
  <c r="AK10" i="30"/>
  <c r="AK9" i="30"/>
  <c r="AK8" i="30"/>
  <c r="AK7" i="30"/>
  <c r="AK6" i="30"/>
  <c r="AK5" i="30"/>
  <c r="AK4" i="30"/>
  <c r="AJ46" i="30"/>
  <c r="AJ45" i="30"/>
  <c r="AJ44" i="30"/>
  <c r="AJ43" i="30"/>
  <c r="AJ42" i="30"/>
  <c r="AJ41" i="30"/>
  <c r="AJ40" i="30"/>
  <c r="AJ39" i="30"/>
  <c r="AJ38" i="30"/>
  <c r="AJ37" i="30"/>
  <c r="AJ36" i="30"/>
  <c r="AJ35" i="30"/>
  <c r="AJ34" i="30"/>
  <c r="AJ33" i="30"/>
  <c r="AJ32" i="30"/>
  <c r="AJ31" i="30"/>
  <c r="AJ30" i="30"/>
  <c r="AJ29" i="30"/>
  <c r="AJ28" i="30"/>
  <c r="AJ27" i="30"/>
  <c r="AJ26" i="30"/>
  <c r="AJ25" i="30"/>
  <c r="AJ24" i="30"/>
  <c r="AJ23" i="30"/>
  <c r="AJ22" i="30"/>
  <c r="AJ21" i="30"/>
  <c r="AJ20" i="30"/>
  <c r="AJ19" i="30"/>
  <c r="AJ18" i="30"/>
  <c r="AJ17" i="30"/>
  <c r="AJ16" i="30"/>
  <c r="AJ15" i="30"/>
  <c r="AJ14" i="30"/>
  <c r="AJ13" i="30"/>
  <c r="AJ12" i="30"/>
  <c r="AJ11" i="30"/>
  <c r="AJ10" i="30"/>
  <c r="AJ9" i="30"/>
  <c r="AJ8" i="30"/>
  <c r="AJ7" i="30"/>
  <c r="AJ6" i="30"/>
  <c r="AJ5" i="30"/>
  <c r="AL4" i="30"/>
  <c r="AI46" i="30"/>
  <c r="AI45" i="30"/>
  <c r="AI44" i="30"/>
  <c r="AI43" i="30"/>
  <c r="AI42" i="30"/>
  <c r="AI41" i="30"/>
  <c r="AI40" i="30"/>
  <c r="AI39" i="30"/>
  <c r="AI38" i="30"/>
  <c r="AI37" i="30"/>
  <c r="AI36" i="30"/>
  <c r="AI35" i="30"/>
  <c r="AI34" i="30"/>
  <c r="AI33" i="30"/>
  <c r="AI32" i="30"/>
  <c r="AI31" i="30"/>
  <c r="AI30" i="30"/>
  <c r="AI29" i="30"/>
  <c r="AI28" i="30"/>
  <c r="AI27" i="30"/>
  <c r="AI26" i="30"/>
  <c r="AI25" i="30"/>
  <c r="AI24" i="30"/>
  <c r="AI23" i="30"/>
  <c r="AI22" i="30"/>
  <c r="AI21" i="30"/>
  <c r="AI20" i="30"/>
  <c r="AI19" i="30"/>
  <c r="AI18" i="30"/>
  <c r="AI17" i="30"/>
  <c r="AI16" i="30"/>
  <c r="AI15" i="30"/>
  <c r="AI14" i="30"/>
  <c r="AI13" i="30"/>
  <c r="AI12" i="30"/>
  <c r="AI11" i="30"/>
  <c r="AI10" i="30"/>
  <c r="AI9" i="30"/>
  <c r="AI8" i="30"/>
  <c r="AI7" i="30"/>
  <c r="AI6" i="30"/>
  <c r="V5" i="30"/>
  <c r="V6" i="30"/>
  <c r="U5" i="30"/>
  <c r="F14" i="23"/>
  <c r="S14" i="23"/>
  <c r="AS14" i="23"/>
  <c r="V105" i="30"/>
  <c r="V71" i="30"/>
  <c r="V79" i="30"/>
  <c r="V28" i="30"/>
  <c r="S36" i="30"/>
  <c r="S38" i="30"/>
  <c r="S40" i="30"/>
  <c r="S42" i="30"/>
  <c r="S44" i="30"/>
  <c r="S46" i="30"/>
  <c r="S48" i="30"/>
  <c r="S50" i="30"/>
  <c r="S52" i="30"/>
  <c r="S54" i="30"/>
  <c r="S56" i="30"/>
  <c r="AV30" i="23"/>
  <c r="AS30" i="23"/>
  <c r="S9" i="30"/>
  <c r="V9" i="30"/>
  <c r="E54" i="30"/>
  <c r="G54" i="30" s="1"/>
  <c r="E53" i="30"/>
  <c r="E52" i="30"/>
  <c r="G52" i="30" s="1"/>
  <c r="K48" i="30"/>
  <c r="J48" i="30"/>
  <c r="K47" i="30"/>
  <c r="J47" i="30"/>
  <c r="K46" i="30"/>
  <c r="J46" i="30"/>
  <c r="E40" i="30"/>
  <c r="E41" i="30"/>
  <c r="G41" i="30" s="1"/>
  <c r="E39" i="30"/>
  <c r="G39" i="30" s="1"/>
  <c r="K34" i="30"/>
  <c r="J34" i="30"/>
  <c r="K33" i="30"/>
  <c r="J33" i="30"/>
  <c r="K32" i="30"/>
  <c r="J32" i="30"/>
  <c r="K17" i="30"/>
  <c r="K18" i="30"/>
  <c r="K16" i="30"/>
  <c r="J17" i="30"/>
  <c r="J18" i="30"/>
  <c r="J16" i="30"/>
  <c r="G4" i="30"/>
  <c r="D22" i="30"/>
  <c r="D23" i="30"/>
  <c r="G23" i="30" s="1"/>
  <c r="D21" i="30"/>
  <c r="G21" i="30" s="1"/>
  <c r="C23" i="30"/>
  <c r="G9" i="30"/>
  <c r="H5" i="30"/>
  <c r="H6" i="30"/>
  <c r="H4" i="30"/>
  <c r="G5" i="30"/>
  <c r="G6" i="30"/>
  <c r="V22" i="23"/>
  <c r="T22" i="23"/>
  <c r="D11" i="30"/>
  <c r="G11" i="30" s="1"/>
  <c r="D10" i="30"/>
  <c r="G10" i="30" s="1"/>
  <c r="D9" i="30"/>
  <c r="D36" i="25"/>
  <c r="Z29" i="25"/>
  <c r="P22" i="23"/>
  <c r="G265" i="6"/>
  <c r="H265" i="6" s="1"/>
  <c r="T30" i="22"/>
  <c r="S30" i="22"/>
  <c r="T27" i="22"/>
  <c r="S27" i="22"/>
  <c r="R30" i="22"/>
  <c r="R27" i="22"/>
  <c r="Q30" i="22"/>
  <c r="Q27" i="22"/>
  <c r="P30" i="22"/>
  <c r="P27" i="22"/>
  <c r="T45" i="17"/>
  <c r="T46" i="17"/>
  <c r="T47" i="17"/>
  <c r="T48" i="17"/>
  <c r="T49" i="17"/>
  <c r="T50" i="17"/>
  <c r="T51" i="17"/>
  <c r="T52" i="17"/>
  <c r="T53" i="17"/>
  <c r="T54" i="17"/>
  <c r="T55" i="17"/>
  <c r="T56" i="17"/>
  <c r="T44" i="17"/>
  <c r="U248" i="12"/>
  <c r="S249" i="12"/>
  <c r="S250" i="12"/>
  <c r="S248" i="12"/>
  <c r="H254" i="12"/>
  <c r="S245" i="12"/>
  <c r="S246" i="12"/>
  <c r="S244" i="12"/>
  <c r="F110" i="12"/>
  <c r="D202" i="11"/>
  <c r="C247" i="10"/>
  <c r="C302" i="10"/>
  <c r="O29" i="25"/>
  <c r="U19" i="29"/>
  <c r="T19" i="29"/>
  <c r="T138" i="30" l="1"/>
  <c r="T12" i="30"/>
  <c r="T10" i="30"/>
  <c r="T107" i="30"/>
  <c r="T109" i="30"/>
  <c r="T111" i="30"/>
  <c r="T113" i="30"/>
  <c r="T115" i="30"/>
  <c r="T117" i="30"/>
  <c r="T119" i="30"/>
  <c r="T121" i="30"/>
  <c r="T123" i="30"/>
  <c r="T125" i="30"/>
  <c r="T127" i="30"/>
  <c r="T129" i="30"/>
  <c r="T131" i="30"/>
  <c r="T133" i="30"/>
  <c r="T135" i="30"/>
  <c r="T137" i="30"/>
  <c r="T140" i="30"/>
  <c r="T142" i="30"/>
  <c r="T144" i="30"/>
  <c r="T146" i="30"/>
  <c r="T148" i="30"/>
  <c r="T150" i="30"/>
  <c r="T152" i="30"/>
  <c r="T154" i="30"/>
  <c r="T156" i="30"/>
  <c r="T158" i="30"/>
  <c r="T160" i="30"/>
  <c r="T162" i="30"/>
  <c r="T164" i="30"/>
  <c r="T166" i="30"/>
  <c r="T168" i="30"/>
  <c r="T170" i="30"/>
  <c r="T172" i="30"/>
  <c r="T174" i="30"/>
  <c r="T176" i="30"/>
  <c r="T178" i="30"/>
  <c r="T180" i="30"/>
  <c r="T182" i="30"/>
  <c r="T186" i="30"/>
  <c r="T185" i="30"/>
  <c r="T108" i="30"/>
  <c r="T112" i="30"/>
  <c r="T116" i="30"/>
  <c r="T120" i="30"/>
  <c r="T124" i="30"/>
  <c r="T128" i="30"/>
  <c r="T132" i="30"/>
  <c r="T136" i="30"/>
  <c r="T141" i="30"/>
  <c r="T145" i="30"/>
  <c r="T149" i="30"/>
  <c r="T153" i="30"/>
  <c r="T157" i="30"/>
  <c r="T161" i="30"/>
  <c r="T165" i="30"/>
  <c r="T169" i="30"/>
  <c r="T173" i="30"/>
  <c r="T177" i="30"/>
  <c r="T181" i="30"/>
  <c r="T184" i="30"/>
  <c r="T189" i="30"/>
  <c r="T191" i="30"/>
  <c r="T193" i="30"/>
  <c r="T195" i="30"/>
  <c r="T197" i="30"/>
  <c r="T199" i="30"/>
  <c r="T201" i="30"/>
  <c r="T203" i="30"/>
  <c r="T205" i="30"/>
  <c r="T207" i="30"/>
  <c r="T209" i="30"/>
  <c r="T80" i="30"/>
  <c r="T82" i="30"/>
  <c r="T84" i="30"/>
  <c r="T86" i="30"/>
  <c r="T88" i="30"/>
  <c r="T90" i="30"/>
  <c r="T92" i="30"/>
  <c r="T94" i="30"/>
  <c r="T96" i="30"/>
  <c r="T98" i="30"/>
  <c r="T102" i="30"/>
  <c r="T106" i="30"/>
  <c r="T60" i="30"/>
  <c r="T64" i="30"/>
  <c r="T68" i="30"/>
  <c r="T72" i="30"/>
  <c r="T76" i="30"/>
  <c r="T21" i="30"/>
  <c r="T25" i="30"/>
  <c r="T29" i="30"/>
  <c r="T33" i="30"/>
  <c r="T7" i="30"/>
  <c r="T9" i="30"/>
  <c r="T187" i="30"/>
  <c r="T101" i="30"/>
  <c r="T105" i="30"/>
  <c r="T59" i="30"/>
  <c r="T63" i="30"/>
  <c r="T67" i="30"/>
  <c r="T71" i="30"/>
  <c r="T75" i="30"/>
  <c r="T79" i="30"/>
  <c r="T24" i="30"/>
  <c r="T28" i="30"/>
  <c r="T32" i="30"/>
  <c r="T3" i="30"/>
  <c r="T8" i="30"/>
  <c r="T110" i="30"/>
  <c r="T114" i="30"/>
  <c r="T118" i="30"/>
  <c r="T122" i="30"/>
  <c r="T126" i="30"/>
  <c r="T130" i="30"/>
  <c r="T134" i="30"/>
  <c r="T139" i="30"/>
  <c r="T143" i="30"/>
  <c r="T147" i="30"/>
  <c r="T151" i="30"/>
  <c r="T155" i="30"/>
  <c r="T159" i="30"/>
  <c r="T163" i="30"/>
  <c r="T167" i="30"/>
  <c r="T171" i="30"/>
  <c r="T175" i="30"/>
  <c r="T179" i="30"/>
  <c r="T188" i="30"/>
  <c r="T190" i="30"/>
  <c r="T192" i="30"/>
  <c r="T194" i="30"/>
  <c r="T196" i="30"/>
  <c r="T198" i="30"/>
  <c r="T200" i="30"/>
  <c r="T202" i="30"/>
  <c r="T204" i="30"/>
  <c r="T206" i="30"/>
  <c r="T208" i="30"/>
  <c r="T210" i="30"/>
  <c r="T81" i="30"/>
  <c r="T83" i="30"/>
  <c r="T85" i="30"/>
  <c r="T87" i="30"/>
  <c r="T89" i="30"/>
  <c r="T91" i="30"/>
  <c r="T93" i="30"/>
  <c r="T95" i="30"/>
  <c r="T97" i="30"/>
  <c r="T100" i="30"/>
  <c r="T104" i="30"/>
  <c r="T58" i="30"/>
  <c r="T62" i="30"/>
  <c r="T66" i="30"/>
  <c r="T57" i="30"/>
  <c r="T70" i="30"/>
  <c r="T78" i="30"/>
  <c r="T27" i="30"/>
  <c r="T14" i="30"/>
  <c r="T16" i="30"/>
  <c r="T18" i="30"/>
  <c r="T20" i="30"/>
  <c r="T103" i="30"/>
  <c r="T73" i="30"/>
  <c r="T22" i="30"/>
  <c r="T30" i="30"/>
  <c r="T35" i="30"/>
  <c r="T37" i="30"/>
  <c r="T39" i="30"/>
  <c r="T41" i="30"/>
  <c r="T43" i="30"/>
  <c r="T45" i="30"/>
  <c r="T47" i="30"/>
  <c r="T49" i="30"/>
  <c r="T51" i="30"/>
  <c r="T53" i="30"/>
  <c r="T55" i="30"/>
  <c r="T11" i="30"/>
  <c r="T99" i="30"/>
  <c r="T65" i="30"/>
  <c r="T74" i="30"/>
  <c r="T23" i="30"/>
  <c r="T31" i="30"/>
  <c r="T13" i="30"/>
  <c r="T15" i="30"/>
  <c r="T17" i="30"/>
  <c r="T19" i="30"/>
  <c r="T183" i="30"/>
  <c r="T61" i="30"/>
  <c r="T69" i="30"/>
  <c r="T77" i="30"/>
  <c r="T26" i="30"/>
  <c r="T34" i="30"/>
  <c r="T36" i="30"/>
  <c r="T38" i="30"/>
  <c r="T40" i="30"/>
  <c r="T42" i="30"/>
  <c r="T44" i="30"/>
  <c r="T46" i="30"/>
  <c r="T48" i="30"/>
  <c r="T50" i="30"/>
  <c r="T52" i="30"/>
  <c r="T54" i="30"/>
  <c r="T56" i="30"/>
  <c r="U138" i="30"/>
  <c r="U183" i="30"/>
  <c r="U187" i="30"/>
  <c r="U10" i="30"/>
  <c r="U107" i="30"/>
  <c r="U109" i="30"/>
  <c r="U111" i="30"/>
  <c r="U113" i="30"/>
  <c r="U115" i="30"/>
  <c r="U117" i="30"/>
  <c r="U119" i="30"/>
  <c r="U121" i="30"/>
  <c r="U123" i="30"/>
  <c r="U125" i="30"/>
  <c r="U127" i="30"/>
  <c r="U129" i="30"/>
  <c r="U131" i="30"/>
  <c r="U133" i="30"/>
  <c r="U135" i="30"/>
  <c r="U137" i="30"/>
  <c r="U140" i="30"/>
  <c r="U142" i="30"/>
  <c r="U144" i="30"/>
  <c r="U146" i="30"/>
  <c r="U148" i="30"/>
  <c r="U150" i="30"/>
  <c r="U152" i="30"/>
  <c r="U154" i="30"/>
  <c r="U156" i="30"/>
  <c r="U158" i="30"/>
  <c r="U160" i="30"/>
  <c r="U162" i="30"/>
  <c r="U164" i="30"/>
  <c r="U166" i="30"/>
  <c r="U168" i="30"/>
  <c r="U170" i="30"/>
  <c r="U172" i="30"/>
  <c r="U174" i="30"/>
  <c r="U176" i="30"/>
  <c r="U178" i="30"/>
  <c r="U180" i="30"/>
  <c r="U182" i="30"/>
  <c r="U186" i="30"/>
  <c r="U12" i="30"/>
  <c r="U99" i="30"/>
  <c r="U103" i="30"/>
  <c r="U57" i="30"/>
  <c r="U61" i="30"/>
  <c r="U65" i="30"/>
  <c r="U69" i="30"/>
  <c r="U73" i="30"/>
  <c r="U77" i="30"/>
  <c r="U22" i="30"/>
  <c r="U26" i="30"/>
  <c r="U30" i="30"/>
  <c r="U34" i="30"/>
  <c r="U35" i="30"/>
  <c r="U36" i="30"/>
  <c r="U37" i="30"/>
  <c r="U38" i="30"/>
  <c r="U39" i="30"/>
  <c r="U40" i="30"/>
  <c r="U41" i="30"/>
  <c r="U42" i="30"/>
  <c r="U43" i="30"/>
  <c r="U44" i="30"/>
  <c r="U45" i="30"/>
  <c r="U46" i="30"/>
  <c r="U47" i="30"/>
  <c r="U48" i="30"/>
  <c r="U49" i="30"/>
  <c r="U50" i="30"/>
  <c r="U51" i="30"/>
  <c r="U52" i="30"/>
  <c r="U53" i="30"/>
  <c r="U54" i="30"/>
  <c r="U55" i="30"/>
  <c r="U56" i="30"/>
  <c r="U11" i="30"/>
  <c r="U3" i="30"/>
  <c r="U108" i="30"/>
  <c r="U112" i="30"/>
  <c r="U116" i="30"/>
  <c r="U120" i="30"/>
  <c r="U124" i="30"/>
  <c r="U128" i="30"/>
  <c r="U132" i="30"/>
  <c r="U136" i="30"/>
  <c r="U141" i="30"/>
  <c r="U145" i="30"/>
  <c r="U149" i="30"/>
  <c r="U153" i="30"/>
  <c r="U157" i="30"/>
  <c r="U161" i="30"/>
  <c r="U165" i="30"/>
  <c r="U169" i="30"/>
  <c r="U173" i="30"/>
  <c r="U177" i="30"/>
  <c r="U181" i="30"/>
  <c r="U184" i="30"/>
  <c r="U189" i="30"/>
  <c r="U191" i="30"/>
  <c r="U193" i="30"/>
  <c r="U195" i="30"/>
  <c r="U197" i="30"/>
  <c r="U199" i="30"/>
  <c r="U201" i="30"/>
  <c r="U203" i="30"/>
  <c r="U205" i="30"/>
  <c r="U207" i="30"/>
  <c r="U209" i="30"/>
  <c r="U80" i="30"/>
  <c r="U82" i="30"/>
  <c r="U84" i="30"/>
  <c r="U86" i="30"/>
  <c r="U88" i="30"/>
  <c r="U90" i="30"/>
  <c r="U92" i="30"/>
  <c r="U94" i="30"/>
  <c r="U96" i="30"/>
  <c r="U98" i="30"/>
  <c r="U102" i="30"/>
  <c r="U106" i="30"/>
  <c r="U60" i="30"/>
  <c r="U64" i="30"/>
  <c r="U68" i="30"/>
  <c r="U72" i="30"/>
  <c r="U76" i="30"/>
  <c r="U21" i="30"/>
  <c r="U25" i="30"/>
  <c r="U29" i="30"/>
  <c r="U33" i="30"/>
  <c r="U7" i="30"/>
  <c r="U9" i="30"/>
  <c r="U185" i="30"/>
  <c r="U101" i="30"/>
  <c r="U105" i="30"/>
  <c r="U59" i="30"/>
  <c r="U63" i="30"/>
  <c r="U8" i="30"/>
  <c r="U122" i="30"/>
  <c r="U139" i="30"/>
  <c r="U155" i="30"/>
  <c r="U171" i="30"/>
  <c r="U194" i="30"/>
  <c r="U202" i="30"/>
  <c r="U210" i="30"/>
  <c r="U87" i="30"/>
  <c r="U95" i="30"/>
  <c r="U62" i="30"/>
  <c r="U67" i="30"/>
  <c r="U75" i="30"/>
  <c r="U24" i="30"/>
  <c r="U32" i="30"/>
  <c r="U110" i="30"/>
  <c r="U126" i="30"/>
  <c r="U143" i="30"/>
  <c r="U159" i="30"/>
  <c r="U175" i="30"/>
  <c r="U188" i="30"/>
  <c r="U196" i="30"/>
  <c r="U204" i="30"/>
  <c r="U81" i="30"/>
  <c r="U89" i="30"/>
  <c r="U97" i="30"/>
  <c r="U58" i="30"/>
  <c r="U70" i="30"/>
  <c r="U78" i="30"/>
  <c r="U27" i="30"/>
  <c r="U14" i="30"/>
  <c r="U16" i="30"/>
  <c r="U18" i="30"/>
  <c r="U20" i="30"/>
  <c r="U114" i="30"/>
  <c r="U130" i="30"/>
  <c r="U147" i="30"/>
  <c r="U163" i="30"/>
  <c r="U179" i="30"/>
  <c r="U190" i="30"/>
  <c r="U198" i="30"/>
  <c r="U206" i="30"/>
  <c r="U83" i="30"/>
  <c r="U91" i="30"/>
  <c r="U104" i="30"/>
  <c r="U71" i="30"/>
  <c r="U79" i="30"/>
  <c r="U28" i="30"/>
  <c r="U118" i="30"/>
  <c r="U134" i="30"/>
  <c r="U151" i="30"/>
  <c r="U167" i="30"/>
  <c r="U192" i="30"/>
  <c r="U200" i="30"/>
  <c r="U208" i="30"/>
  <c r="U85" i="30"/>
  <c r="U93" i="30"/>
  <c r="U100" i="30"/>
  <c r="U66" i="30"/>
  <c r="U74" i="30"/>
  <c r="U23" i="30"/>
  <c r="U31" i="30"/>
  <c r="U13" i="30"/>
  <c r="U15" i="30"/>
  <c r="U17" i="30"/>
  <c r="U19" i="30"/>
  <c r="V11" i="30"/>
  <c r="V10" i="30"/>
  <c r="V8" i="30"/>
  <c r="V107" i="30"/>
  <c r="V108" i="30"/>
  <c r="V109" i="30"/>
  <c r="V110" i="30"/>
  <c r="V111" i="30"/>
  <c r="V112" i="30"/>
  <c r="V113" i="30"/>
  <c r="V114" i="30"/>
  <c r="V115" i="30"/>
  <c r="V116" i="30"/>
  <c r="V117" i="30"/>
  <c r="V118" i="30"/>
  <c r="V119" i="30"/>
  <c r="V120" i="30"/>
  <c r="V121" i="30"/>
  <c r="V122" i="30"/>
  <c r="V123" i="30"/>
  <c r="V124" i="30"/>
  <c r="V125" i="30"/>
  <c r="V126" i="30"/>
  <c r="V127" i="30"/>
  <c r="V128" i="30"/>
  <c r="V129" i="30"/>
  <c r="V130" i="30"/>
  <c r="V131" i="30"/>
  <c r="V132" i="30"/>
  <c r="V133" i="30"/>
  <c r="V134" i="30"/>
  <c r="V135" i="30"/>
  <c r="V136" i="30"/>
  <c r="V137" i="30"/>
  <c r="V139" i="30"/>
  <c r="V140" i="30"/>
  <c r="V141" i="30"/>
  <c r="V142" i="30"/>
  <c r="V143" i="30"/>
  <c r="V144" i="30"/>
  <c r="V145" i="30"/>
  <c r="V146" i="30"/>
  <c r="V147" i="30"/>
  <c r="V148" i="30"/>
  <c r="V149" i="30"/>
  <c r="V150" i="30"/>
  <c r="V151" i="30"/>
  <c r="V152" i="30"/>
  <c r="V153" i="30"/>
  <c r="V154" i="30"/>
  <c r="V155" i="30"/>
  <c r="V156" i="30"/>
  <c r="V157" i="30"/>
  <c r="V158" i="30"/>
  <c r="V159" i="30"/>
  <c r="V160" i="30"/>
  <c r="V161" i="30"/>
  <c r="V162" i="30"/>
  <c r="V163" i="30"/>
  <c r="V164" i="30"/>
  <c r="V165" i="30"/>
  <c r="V166" i="30"/>
  <c r="V167" i="30"/>
  <c r="V168" i="30"/>
  <c r="V169" i="30"/>
  <c r="V170" i="30"/>
  <c r="V171" i="30"/>
  <c r="V172" i="30"/>
  <c r="V173" i="30"/>
  <c r="V174" i="30"/>
  <c r="V175" i="30"/>
  <c r="V176" i="30"/>
  <c r="V177" i="30"/>
  <c r="V178" i="30"/>
  <c r="V179" i="30"/>
  <c r="V180" i="30"/>
  <c r="V181" i="30"/>
  <c r="V184" i="30"/>
  <c r="V188" i="30"/>
  <c r="V189" i="30"/>
  <c r="V190" i="30"/>
  <c r="V191" i="30"/>
  <c r="V192" i="30"/>
  <c r="V193" i="30"/>
  <c r="V194" i="30"/>
  <c r="V195" i="30"/>
  <c r="V196" i="30"/>
  <c r="V197" i="30"/>
  <c r="V198" i="30"/>
  <c r="V199" i="30"/>
  <c r="V200" i="30"/>
  <c r="V201" i="30"/>
  <c r="V202" i="30"/>
  <c r="V203" i="30"/>
  <c r="V204" i="30"/>
  <c r="V205" i="30"/>
  <c r="V206" i="30"/>
  <c r="V207" i="30"/>
  <c r="V208" i="30"/>
  <c r="V209" i="30"/>
  <c r="V210" i="30"/>
  <c r="V80" i="30"/>
  <c r="V81" i="30"/>
  <c r="V82" i="30"/>
  <c r="V83" i="30"/>
  <c r="V84" i="30"/>
  <c r="V85" i="30"/>
  <c r="V86" i="30"/>
  <c r="V87" i="30"/>
  <c r="V88" i="30"/>
  <c r="V89" i="30"/>
  <c r="V90" i="30"/>
  <c r="V91" i="30"/>
  <c r="V92" i="30"/>
  <c r="V93" i="30"/>
  <c r="V94" i="30"/>
  <c r="V95" i="30"/>
  <c r="V96" i="30"/>
  <c r="V97" i="30"/>
  <c r="V138" i="30"/>
  <c r="V183" i="30"/>
  <c r="V187" i="30"/>
  <c r="V186" i="30"/>
  <c r="V100" i="30"/>
  <c r="V104" i="30"/>
  <c r="V58" i="30"/>
  <c r="V62" i="30"/>
  <c r="V66" i="30"/>
  <c r="V70" i="30"/>
  <c r="V74" i="30"/>
  <c r="V78" i="30"/>
  <c r="V23" i="30"/>
  <c r="V27" i="30"/>
  <c r="V31" i="30"/>
  <c r="V13" i="30"/>
  <c r="V14" i="30"/>
  <c r="V15" i="30"/>
  <c r="V16" i="30"/>
  <c r="V17" i="30"/>
  <c r="V18" i="30"/>
  <c r="V19" i="30"/>
  <c r="V20" i="30"/>
  <c r="V12" i="30"/>
  <c r="V99" i="30"/>
  <c r="V103" i="30"/>
  <c r="V57" i="30"/>
  <c r="V61" i="30"/>
  <c r="V65" i="30"/>
  <c r="V69" i="30"/>
  <c r="V73" i="30"/>
  <c r="V77" i="30"/>
  <c r="V22" i="30"/>
  <c r="V26" i="30"/>
  <c r="V30" i="30"/>
  <c r="V34" i="30"/>
  <c r="V35" i="30"/>
  <c r="V36" i="30"/>
  <c r="V37" i="30"/>
  <c r="V38" i="30"/>
  <c r="V39" i="30"/>
  <c r="V40" i="30"/>
  <c r="V41" i="30"/>
  <c r="V42" i="30"/>
  <c r="V43" i="30"/>
  <c r="V44" i="30"/>
  <c r="V45" i="30"/>
  <c r="V46" i="30"/>
  <c r="V47" i="30"/>
  <c r="V48" i="30"/>
  <c r="V49" i="30"/>
  <c r="V50" i="30"/>
  <c r="V51" i="30"/>
  <c r="V52" i="30"/>
  <c r="V53" i="30"/>
  <c r="V54" i="30"/>
  <c r="V55" i="30"/>
  <c r="V56" i="30"/>
  <c r="V182" i="30"/>
  <c r="V98" i="30"/>
  <c r="V102" i="30"/>
  <c r="V106" i="30"/>
  <c r="V60" i="30"/>
  <c r="V64" i="30"/>
  <c r="V33" i="30"/>
  <c r="V25" i="30"/>
  <c r="V76" i="30"/>
  <c r="V68" i="30"/>
  <c r="V59" i="30"/>
  <c r="V7" i="30"/>
  <c r="V32" i="30"/>
  <c r="V24" i="30"/>
  <c r="V75" i="30"/>
  <c r="V67" i="30"/>
  <c r="V63" i="30"/>
  <c r="S138" i="30"/>
  <c r="S12" i="30"/>
  <c r="S10" i="30"/>
  <c r="S8" i="30"/>
  <c r="S107" i="30"/>
  <c r="S108" i="30"/>
  <c r="S109" i="30"/>
  <c r="S110" i="30"/>
  <c r="S111" i="30"/>
  <c r="S112" i="30"/>
  <c r="S113" i="30"/>
  <c r="S114" i="30"/>
  <c r="S115" i="30"/>
  <c r="S116" i="30"/>
  <c r="S117" i="30"/>
  <c r="S118" i="30"/>
  <c r="S119" i="30"/>
  <c r="S120" i="30"/>
  <c r="S121" i="30"/>
  <c r="S122" i="30"/>
  <c r="S123" i="30"/>
  <c r="S124" i="30"/>
  <c r="S125" i="30"/>
  <c r="S126" i="30"/>
  <c r="S127" i="30"/>
  <c r="S128" i="30"/>
  <c r="S129" i="30"/>
  <c r="S130" i="30"/>
  <c r="S131" i="30"/>
  <c r="S132" i="30"/>
  <c r="S133" i="30"/>
  <c r="S134" i="30"/>
  <c r="S135" i="30"/>
  <c r="S136" i="30"/>
  <c r="S137" i="30"/>
  <c r="S139" i="30"/>
  <c r="S140" i="30"/>
  <c r="S141" i="30"/>
  <c r="S142" i="30"/>
  <c r="S143" i="30"/>
  <c r="S144" i="30"/>
  <c r="S145" i="30"/>
  <c r="S146" i="30"/>
  <c r="S147" i="30"/>
  <c r="S148" i="30"/>
  <c r="S149" i="30"/>
  <c r="S150" i="30"/>
  <c r="S151" i="30"/>
  <c r="S152" i="30"/>
  <c r="S153" i="30"/>
  <c r="S154" i="30"/>
  <c r="S155" i="30"/>
  <c r="S156" i="30"/>
  <c r="S157" i="30"/>
  <c r="S158" i="30"/>
  <c r="S159" i="30"/>
  <c r="S160" i="30"/>
  <c r="S161" i="30"/>
  <c r="S162" i="30"/>
  <c r="S163" i="30"/>
  <c r="S164" i="30"/>
  <c r="S165" i="30"/>
  <c r="S166" i="30"/>
  <c r="S167" i="30"/>
  <c r="S168" i="30"/>
  <c r="S169" i="30"/>
  <c r="S170" i="30"/>
  <c r="S171" i="30"/>
  <c r="S172" i="30"/>
  <c r="S173" i="30"/>
  <c r="S174" i="30"/>
  <c r="S175" i="30"/>
  <c r="S176" i="30"/>
  <c r="S177" i="30"/>
  <c r="S178" i="30"/>
  <c r="S179" i="30"/>
  <c r="S180" i="30"/>
  <c r="S181" i="30"/>
  <c r="S182" i="30"/>
  <c r="S183" i="30"/>
  <c r="S184" i="30"/>
  <c r="S185" i="30"/>
  <c r="S186" i="30"/>
  <c r="S187" i="30"/>
  <c r="S188" i="30"/>
  <c r="S189" i="30"/>
  <c r="S190" i="30"/>
  <c r="S191" i="30"/>
  <c r="S192" i="30"/>
  <c r="S193" i="30"/>
  <c r="S194" i="30"/>
  <c r="S195" i="30"/>
  <c r="S196" i="30"/>
  <c r="S197" i="30"/>
  <c r="S198" i="30"/>
  <c r="S199" i="30"/>
  <c r="S200" i="30"/>
  <c r="S201" i="30"/>
  <c r="S202" i="30"/>
  <c r="S203" i="30"/>
  <c r="S204" i="30"/>
  <c r="S205" i="30"/>
  <c r="S206" i="30"/>
  <c r="S207" i="30"/>
  <c r="S208" i="30"/>
  <c r="S209" i="30"/>
  <c r="S210" i="30"/>
  <c r="S80" i="30"/>
  <c r="S81" i="30"/>
  <c r="S82" i="30"/>
  <c r="S83" i="30"/>
  <c r="S84" i="30"/>
  <c r="S85" i="30"/>
  <c r="S86" i="30"/>
  <c r="S87" i="30"/>
  <c r="S88" i="30"/>
  <c r="S89" i="30"/>
  <c r="S90" i="30"/>
  <c r="S91" i="30"/>
  <c r="S92" i="30"/>
  <c r="S93" i="30"/>
  <c r="S94" i="30"/>
  <c r="S95" i="30"/>
  <c r="S96" i="30"/>
  <c r="S97" i="30"/>
  <c r="S98" i="30"/>
  <c r="S99" i="30"/>
  <c r="S100" i="30"/>
  <c r="S101" i="30"/>
  <c r="S102" i="30"/>
  <c r="S103" i="30"/>
  <c r="S104" i="30"/>
  <c r="S105" i="30"/>
  <c r="S106" i="30"/>
  <c r="S57" i="30"/>
  <c r="S58" i="30"/>
  <c r="S59" i="30"/>
  <c r="S60" i="30"/>
  <c r="S61" i="30"/>
  <c r="S62" i="30"/>
  <c r="S63" i="30"/>
  <c r="S64" i="30"/>
  <c r="S65" i="30"/>
  <c r="S66" i="30"/>
  <c r="S67" i="30"/>
  <c r="S68" i="30"/>
  <c r="S69" i="30"/>
  <c r="S70" i="30"/>
  <c r="S71" i="30"/>
  <c r="S72" i="30"/>
  <c r="S73" i="30"/>
  <c r="S74" i="30"/>
  <c r="S75" i="30"/>
  <c r="S76" i="30"/>
  <c r="S77" i="30"/>
  <c r="S78" i="30"/>
  <c r="S79" i="30"/>
  <c r="S21" i="30"/>
  <c r="S22" i="30"/>
  <c r="S23" i="30"/>
  <c r="S24" i="30"/>
  <c r="S25" i="30"/>
  <c r="S26" i="30"/>
  <c r="S27" i="30"/>
  <c r="S28" i="30"/>
  <c r="S29" i="30"/>
  <c r="S30" i="30"/>
  <c r="S31" i="30"/>
  <c r="S32" i="30"/>
  <c r="S33" i="30"/>
  <c r="S34" i="30"/>
  <c r="S13" i="30"/>
  <c r="S14" i="30"/>
  <c r="S15" i="30"/>
  <c r="S16" i="30"/>
  <c r="S17" i="30"/>
  <c r="S18" i="30"/>
  <c r="S19" i="30"/>
  <c r="S20" i="30"/>
  <c r="V3" i="30"/>
  <c r="S7" i="30"/>
  <c r="S11" i="30"/>
  <c r="S55" i="30"/>
  <c r="S53" i="30"/>
  <c r="S51" i="30"/>
  <c r="S49" i="30"/>
  <c r="S47" i="30"/>
  <c r="S45" i="30"/>
  <c r="S43" i="30"/>
  <c r="S41" i="30"/>
  <c r="S39" i="30"/>
  <c r="S37" i="30"/>
  <c r="S35" i="30"/>
  <c r="V29" i="30"/>
  <c r="V21" i="30"/>
  <c r="V72" i="30"/>
  <c r="V101" i="30"/>
  <c r="V185" i="30"/>
  <c r="H14" i="23"/>
  <c r="I14" i="23"/>
  <c r="G14" i="23"/>
  <c r="E14" i="23"/>
  <c r="F73" i="25"/>
  <c r="F74" i="25"/>
  <c r="F71" i="25"/>
  <c r="E72" i="25"/>
  <c r="E73" i="25"/>
  <c r="E74" i="25"/>
  <c r="E71" i="25"/>
  <c r="D72" i="25"/>
  <c r="D73" i="25"/>
  <c r="D74" i="25"/>
  <c r="D71" i="25"/>
  <c r="AE29" i="25"/>
  <c r="R6" i="29"/>
  <c r="R7" i="29"/>
  <c r="R8" i="29"/>
  <c r="R9" i="29"/>
  <c r="R10" i="29"/>
  <c r="R11" i="29"/>
  <c r="R12" i="29"/>
  <c r="R13" i="29"/>
  <c r="R14" i="29"/>
  <c r="R15" i="29"/>
  <c r="R16" i="29"/>
  <c r="R17" i="29"/>
  <c r="R18" i="29"/>
  <c r="R19" i="29"/>
  <c r="R5" i="29"/>
  <c r="Q5" i="29"/>
  <c r="Q6" i="29"/>
  <c r="Q7" i="29"/>
  <c r="Q8" i="29"/>
  <c r="Q9" i="29"/>
  <c r="Q10" i="29"/>
  <c r="Q11" i="29"/>
  <c r="Q12" i="29"/>
  <c r="Q13" i="29"/>
  <c r="Q14" i="29"/>
  <c r="Q15" i="29"/>
  <c r="Q16" i="29"/>
  <c r="Q17" i="29"/>
  <c r="Q18" i="29"/>
  <c r="Q19" i="29"/>
  <c r="CY24" i="6"/>
  <c r="F10" i="29"/>
  <c r="G10" i="29"/>
  <c r="H34" i="29"/>
  <c r="H39" i="29"/>
  <c r="F27" i="29"/>
  <c r="H27" i="29" s="1"/>
  <c r="F28" i="29"/>
  <c r="H28" i="29" s="1"/>
  <c r="F29" i="29"/>
  <c r="H29" i="29" s="1"/>
  <c r="F30" i="29"/>
  <c r="H30" i="29" s="1"/>
  <c r="F31" i="29"/>
  <c r="H31" i="29" s="1"/>
  <c r="F32" i="29"/>
  <c r="H32" i="29" s="1"/>
  <c r="F33" i="29"/>
  <c r="H33" i="29" s="1"/>
  <c r="F34" i="29"/>
  <c r="F35" i="29"/>
  <c r="H35" i="29" s="1"/>
  <c r="F36" i="29"/>
  <c r="H36" i="29" s="1"/>
  <c r="F37" i="29"/>
  <c r="H37" i="29" s="1"/>
  <c r="F38" i="29"/>
  <c r="H38" i="29" s="1"/>
  <c r="F39" i="29"/>
  <c r="F40" i="29"/>
  <c r="H40" i="29" s="1"/>
  <c r="F26" i="29"/>
  <c r="H26" i="29" s="1"/>
  <c r="K252" i="6"/>
  <c r="D280" i="6"/>
  <c r="F13" i="29"/>
  <c r="G13" i="29"/>
  <c r="F14" i="29"/>
  <c r="G14" i="29"/>
  <c r="F15" i="29"/>
  <c r="G15" i="29"/>
  <c r="F16" i="29"/>
  <c r="G16" i="29"/>
  <c r="F17" i="29"/>
  <c r="G17" i="29"/>
  <c r="F18" i="29"/>
  <c r="G18" i="29"/>
  <c r="F19" i="29"/>
  <c r="G19" i="29"/>
  <c r="E14" i="29"/>
  <c r="E15" i="29"/>
  <c r="E16" i="29"/>
  <c r="E17" i="29"/>
  <c r="E18" i="29"/>
  <c r="E19" i="29"/>
  <c r="E13" i="29"/>
  <c r="E10" i="29"/>
  <c r="G12" i="29"/>
  <c r="F12" i="29"/>
  <c r="G11" i="29"/>
  <c r="F11" i="29"/>
  <c r="G6" i="29"/>
  <c r="G7" i="29"/>
  <c r="G8" i="29"/>
  <c r="G9" i="29"/>
  <c r="G5" i="29"/>
  <c r="F6" i="29"/>
  <c r="F7" i="29"/>
  <c r="F8" i="29"/>
  <c r="F9" i="29"/>
  <c r="F5" i="29"/>
  <c r="C40" i="11"/>
  <c r="D10" i="29"/>
  <c r="D19" i="29"/>
  <c r="D18" i="29"/>
  <c r="D17" i="29"/>
  <c r="D16" i="29"/>
  <c r="D15" i="29"/>
  <c r="D14" i="29"/>
  <c r="D13" i="29"/>
  <c r="B104" i="6"/>
  <c r="K277" i="6"/>
  <c r="K251" i="6"/>
  <c r="P82" i="23"/>
  <c r="Q15" i="23"/>
  <c r="Q16" i="23"/>
  <c r="Y247" i="6"/>
  <c r="G264" i="6"/>
  <c r="G263" i="6"/>
  <c r="G262" i="6"/>
  <c r="G261" i="6"/>
  <c r="G260" i="6"/>
  <c r="G259" i="6"/>
  <c r="G258" i="6"/>
  <c r="I113" i="6"/>
  <c r="I110" i="6"/>
  <c r="Z28" i="30" l="1"/>
  <c r="AA28" i="30"/>
  <c r="AA44" i="25"/>
  <c r="Z44" i="25"/>
  <c r="P47" i="25"/>
  <c r="P46" i="25"/>
  <c r="O47" i="25"/>
  <c r="O46" i="25"/>
  <c r="F29" i="27"/>
  <c r="J39" i="27" s="1"/>
  <c r="AC38" i="27"/>
  <c r="AC29" i="27"/>
  <c r="AG39" i="27" s="1"/>
  <c r="AB29" i="27"/>
  <c r="AG38" i="27" s="1"/>
  <c r="AA29" i="27"/>
  <c r="AG37" i="27" s="1"/>
  <c r="Z29" i="27"/>
  <c r="AA36" i="27" s="1"/>
  <c r="R29" i="27"/>
  <c r="V39" i="27" s="1"/>
  <c r="Q29" i="27"/>
  <c r="V38" i="27" s="1"/>
  <c r="P29" i="27"/>
  <c r="V37" i="27" s="1"/>
  <c r="O29" i="27"/>
  <c r="S36" i="27" s="1"/>
  <c r="E29" i="27"/>
  <c r="J38" i="27" s="1"/>
  <c r="D29" i="27"/>
  <c r="F37" i="27" s="1"/>
  <c r="C29" i="27"/>
  <c r="H36" i="27" s="1"/>
  <c r="O17" i="27"/>
  <c r="U36" i="27" s="1"/>
  <c r="O16" i="27"/>
  <c r="D16" i="27"/>
  <c r="C16" i="27"/>
  <c r="O15" i="27"/>
  <c r="D15" i="27"/>
  <c r="C15" i="27"/>
  <c r="O14" i="27"/>
  <c r="D14" i="27"/>
  <c r="C14" i="27"/>
  <c r="O13" i="27"/>
  <c r="D13" i="27"/>
  <c r="C13" i="27"/>
  <c r="O12" i="27"/>
  <c r="O11" i="27"/>
  <c r="D11" i="27"/>
  <c r="C11" i="27"/>
  <c r="O10" i="27"/>
  <c r="D10" i="27"/>
  <c r="C10" i="27"/>
  <c r="O9" i="27"/>
  <c r="D9" i="27"/>
  <c r="O8" i="27"/>
  <c r="AG39" i="25"/>
  <c r="AG38" i="25"/>
  <c r="AC39" i="25"/>
  <c r="AC38" i="25"/>
  <c r="AB36" i="25"/>
  <c r="AA36" i="25"/>
  <c r="Z36" i="25"/>
  <c r="V39" i="25"/>
  <c r="V38" i="25"/>
  <c r="R39" i="25"/>
  <c r="R38" i="25"/>
  <c r="U36" i="25"/>
  <c r="T36" i="25"/>
  <c r="S36" i="25"/>
  <c r="J39" i="25"/>
  <c r="J38" i="25"/>
  <c r="J37" i="25"/>
  <c r="I36" i="25"/>
  <c r="H36" i="25"/>
  <c r="G36" i="25"/>
  <c r="F39" i="25"/>
  <c r="F38" i="25"/>
  <c r="F37" i="25"/>
  <c r="E36" i="25"/>
  <c r="C36" i="25"/>
  <c r="AC29" i="25"/>
  <c r="AB29" i="25"/>
  <c r="R29" i="25"/>
  <c r="Q29" i="25"/>
  <c r="P29" i="25"/>
  <c r="V37" i="25" s="1"/>
  <c r="O45" i="25" s="1"/>
  <c r="P45" i="25" s="1"/>
  <c r="D29" i="25"/>
  <c r="E29" i="25"/>
  <c r="F29" i="25"/>
  <c r="C29" i="25"/>
  <c r="O16" i="25"/>
  <c r="O15" i="25"/>
  <c r="O14" i="25"/>
  <c r="O13" i="25"/>
  <c r="O11" i="25"/>
  <c r="O10" i="25"/>
  <c r="V14" i="23"/>
  <c r="AG14" i="23"/>
  <c r="AI9" i="23"/>
  <c r="O17" i="25"/>
  <c r="O12" i="25"/>
  <c r="O9" i="25"/>
  <c r="O8" i="25"/>
  <c r="D16" i="25"/>
  <c r="D15" i="25"/>
  <c r="D14" i="25"/>
  <c r="D13" i="25"/>
  <c r="D11" i="25"/>
  <c r="D10" i="25"/>
  <c r="D9" i="25"/>
  <c r="C16" i="25"/>
  <c r="C15" i="25"/>
  <c r="C14" i="25"/>
  <c r="C13" i="25"/>
  <c r="C11" i="25"/>
  <c r="C10" i="25"/>
  <c r="R26" i="19"/>
  <c r="R25" i="19"/>
  <c r="C68" i="12"/>
  <c r="C76" i="12"/>
  <c r="CZ46" i="6"/>
  <c r="CZ45" i="6"/>
  <c r="BI31" i="17"/>
  <c r="BI26" i="17"/>
  <c r="BI23" i="17"/>
  <c r="BI22" i="17"/>
  <c r="FE45" i="17"/>
  <c r="FE44" i="17"/>
  <c r="FE43" i="17"/>
  <c r="FE42" i="17"/>
  <c r="FE41" i="17"/>
  <c r="FE40" i="17"/>
  <c r="FE39" i="17"/>
  <c r="FE38" i="17"/>
  <c r="FE37" i="17"/>
  <c r="FE36" i="17"/>
  <c r="AB28" i="30" l="1"/>
  <c r="AC28" i="30" s="1"/>
  <c r="R39" i="27"/>
  <c r="F38" i="27"/>
  <c r="AB36" i="27"/>
  <c r="Z36" i="27"/>
  <c r="T36" i="27"/>
  <c r="D36" i="27"/>
  <c r="G36" i="27"/>
  <c r="I36" i="27"/>
  <c r="E36" i="27"/>
  <c r="AC37" i="27"/>
  <c r="R38" i="27"/>
  <c r="F39" i="27"/>
  <c r="AC39" i="27"/>
  <c r="J37" i="27"/>
  <c r="C36" i="27"/>
  <c r="DL28" i="6" l="1"/>
  <c r="DL27" i="6"/>
  <c r="DL26" i="6"/>
  <c r="DL25" i="6"/>
  <c r="DL24" i="6"/>
  <c r="DL23" i="6"/>
  <c r="DP17" i="6"/>
  <c r="DL17" i="6"/>
  <c r="DP16" i="6"/>
  <c r="DL16" i="6"/>
  <c r="DL15" i="6"/>
  <c r="DL10" i="6"/>
  <c r="DL8" i="6"/>
  <c r="DL11" i="6"/>
  <c r="DL7" i="6"/>
  <c r="DL9" i="6"/>
  <c r="DK4" i="6"/>
  <c r="H6" i="19"/>
  <c r="C27" i="12" l="1"/>
  <c r="D27" i="12"/>
  <c r="E27" i="12"/>
  <c r="F27" i="12"/>
  <c r="G27" i="12"/>
  <c r="H27" i="12"/>
  <c r="I27" i="12"/>
  <c r="J27" i="12"/>
  <c r="K27" i="12"/>
  <c r="L27" i="12"/>
  <c r="M27" i="12"/>
  <c r="N27" i="12"/>
  <c r="O27" i="12"/>
  <c r="B27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B23" i="12"/>
  <c r="B43" i="12"/>
  <c r="AC5" i="19"/>
  <c r="AD5" i="19"/>
  <c r="AD6" i="19"/>
  <c r="AD7" i="19"/>
  <c r="AD8" i="19"/>
  <c r="AD9" i="19"/>
  <c r="AD10" i="19"/>
  <c r="AD11" i="19"/>
  <c r="AD12" i="19"/>
  <c r="AD13" i="19"/>
  <c r="AD14" i="19"/>
  <c r="AD15" i="19"/>
  <c r="AD16" i="19"/>
  <c r="AD17" i="19"/>
  <c r="AD18" i="19"/>
  <c r="AD19" i="19"/>
  <c r="C25" i="12"/>
  <c r="D40" i="11"/>
  <c r="O6" i="19"/>
  <c r="AC6" i="19" s="1"/>
  <c r="AG6" i="19" s="1"/>
  <c r="O7" i="19"/>
  <c r="P7" i="19" s="1"/>
  <c r="O8" i="19"/>
  <c r="P8" i="19" s="1"/>
  <c r="O9" i="19"/>
  <c r="AC9" i="19" s="1"/>
  <c r="AG9" i="19" s="1"/>
  <c r="O10" i="19"/>
  <c r="AC10" i="19" s="1"/>
  <c r="AG10" i="19" s="1"/>
  <c r="O11" i="19"/>
  <c r="P11" i="19" s="1"/>
  <c r="O12" i="19"/>
  <c r="P12" i="19" s="1"/>
  <c r="O13" i="19"/>
  <c r="AC13" i="19" s="1"/>
  <c r="AG13" i="19" s="1"/>
  <c r="O14" i="19"/>
  <c r="AC14" i="19" s="1"/>
  <c r="AG14" i="19" s="1"/>
  <c r="O15" i="19"/>
  <c r="P15" i="19" s="1"/>
  <c r="O16" i="19"/>
  <c r="P16" i="19" s="1"/>
  <c r="O17" i="19"/>
  <c r="AC17" i="19" s="1"/>
  <c r="AG17" i="19" s="1"/>
  <c r="O18" i="19"/>
  <c r="AC18" i="19" s="1"/>
  <c r="AG18" i="19" s="1"/>
  <c r="O19" i="19"/>
  <c r="P19" i="19" s="1"/>
  <c r="M5" i="19"/>
  <c r="AB5" i="19" s="1"/>
  <c r="M6" i="19"/>
  <c r="AB6" i="19" s="1"/>
  <c r="AF6" i="19" s="1"/>
  <c r="M7" i="19"/>
  <c r="AB7" i="19" s="1"/>
  <c r="AF7" i="19" s="1"/>
  <c r="M8" i="19"/>
  <c r="AB8" i="19" s="1"/>
  <c r="AF8" i="19" s="1"/>
  <c r="M9" i="19"/>
  <c r="AB9" i="19" s="1"/>
  <c r="AF9" i="19" s="1"/>
  <c r="M10" i="19"/>
  <c r="AB10" i="19" s="1"/>
  <c r="AF10" i="19" s="1"/>
  <c r="M11" i="19"/>
  <c r="AB11" i="19" s="1"/>
  <c r="AF11" i="19" s="1"/>
  <c r="M12" i="19"/>
  <c r="AB12" i="19" s="1"/>
  <c r="AF12" i="19" s="1"/>
  <c r="M13" i="19"/>
  <c r="AB13" i="19" s="1"/>
  <c r="AF13" i="19" s="1"/>
  <c r="M14" i="19"/>
  <c r="AB14" i="19" s="1"/>
  <c r="AF14" i="19" s="1"/>
  <c r="M15" i="19"/>
  <c r="AB15" i="19" s="1"/>
  <c r="AF15" i="19" s="1"/>
  <c r="M16" i="19"/>
  <c r="AB16" i="19" s="1"/>
  <c r="AF16" i="19" s="1"/>
  <c r="M17" i="19"/>
  <c r="AB17" i="19" s="1"/>
  <c r="AF17" i="19" s="1"/>
  <c r="M18" i="19"/>
  <c r="AB18" i="19" s="1"/>
  <c r="AF18" i="19" s="1"/>
  <c r="M19" i="19"/>
  <c r="AB19" i="19" s="1"/>
  <c r="AF19" i="19" s="1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B28" i="12"/>
  <c r="B17" i="12"/>
  <c r="F2" i="19"/>
  <c r="R35" i="13"/>
  <c r="I35" i="13"/>
  <c r="AC11" i="19" l="1"/>
  <c r="AG11" i="19" s="1"/>
  <c r="P17" i="19"/>
  <c r="AC7" i="19"/>
  <c r="AG7" i="19" s="1"/>
  <c r="AC19" i="19"/>
  <c r="AG19" i="19" s="1"/>
  <c r="P13" i="19"/>
  <c r="P9" i="19"/>
  <c r="AC15" i="19"/>
  <c r="AG15" i="19" s="1"/>
  <c r="P18" i="19"/>
  <c r="P14" i="19"/>
  <c r="P10" i="19"/>
  <c r="AC16" i="19"/>
  <c r="AG16" i="19" s="1"/>
  <c r="AC12" i="19"/>
  <c r="AG12" i="19" s="1"/>
  <c r="AC8" i="19"/>
  <c r="AG8" i="19" s="1"/>
  <c r="P6" i="19"/>
  <c r="FE6" i="17"/>
  <c r="FJ22" i="17"/>
  <c r="FJ23" i="17"/>
  <c r="FJ24" i="17"/>
  <c r="FJ25" i="17"/>
  <c r="FJ26" i="17"/>
  <c r="FJ27" i="17"/>
  <c r="FJ28" i="17"/>
  <c r="FJ29" i="17"/>
  <c r="FJ30" i="17"/>
  <c r="FH22" i="17"/>
  <c r="FH23" i="17"/>
  <c r="FH24" i="17"/>
  <c r="FH25" i="17"/>
  <c r="FH26" i="17"/>
  <c r="FH27" i="17"/>
  <c r="FH28" i="17"/>
  <c r="FH29" i="17"/>
  <c r="FH30" i="17"/>
  <c r="FF22" i="17"/>
  <c r="FF23" i="17"/>
  <c r="FF24" i="17"/>
  <c r="FF25" i="17"/>
  <c r="FF26" i="17"/>
  <c r="FF27" i="17"/>
  <c r="FF28" i="17"/>
  <c r="FF29" i="17"/>
  <c r="FF30" i="17"/>
  <c r="FJ21" i="17"/>
  <c r="FH21" i="17"/>
  <c r="FF21" i="17"/>
  <c r="CT24" i="1" l="1"/>
  <c r="Y17" i="17"/>
  <c r="AL70" i="1"/>
  <c r="O36" i="17"/>
  <c r="O37" i="17"/>
  <c r="O38" i="17"/>
  <c r="O39" i="17"/>
  <c r="O40" i="17"/>
  <c r="O41" i="17"/>
  <c r="O35" i="17"/>
  <c r="O34" i="17"/>
  <c r="H23" i="17"/>
  <c r="H22" i="17"/>
  <c r="H21" i="17"/>
  <c r="I21" i="17"/>
  <c r="J21" i="17"/>
  <c r="L21" i="17"/>
  <c r="I22" i="17"/>
  <c r="J22" i="17"/>
  <c r="L22" i="17"/>
  <c r="I23" i="17"/>
  <c r="J23" i="17"/>
  <c r="L23" i="17"/>
  <c r="K28" i="17"/>
  <c r="L28" i="17" s="1"/>
  <c r="I26" i="17"/>
  <c r="I27" i="17"/>
  <c r="K27" i="17" s="1"/>
  <c r="L27" i="17" s="1"/>
  <c r="I28" i="17"/>
  <c r="I29" i="17"/>
  <c r="K29" i="17" s="1"/>
  <c r="L29" i="17" s="1"/>
  <c r="I30" i="17"/>
  <c r="K30" i="17" s="1"/>
  <c r="L30" i="17" s="1"/>
  <c r="I31" i="17"/>
  <c r="K31" i="17" s="1"/>
  <c r="L31" i="17" s="1"/>
  <c r="I32" i="17"/>
  <c r="K32" i="17" s="1"/>
  <c r="L32" i="17" s="1"/>
  <c r="I33" i="17"/>
  <c r="K33" i="17" s="1"/>
  <c r="L33" i="17" s="1"/>
  <c r="I34" i="17"/>
  <c r="K34" i="17" s="1"/>
  <c r="L34" i="17" s="1"/>
  <c r="I35" i="17"/>
  <c r="K35" i="17" s="1"/>
  <c r="L35" i="17" s="1"/>
  <c r="I36" i="17"/>
  <c r="K36" i="17" s="1"/>
  <c r="L36" i="17" s="1"/>
  <c r="I37" i="17"/>
  <c r="K37" i="17" s="1"/>
  <c r="L37" i="17" s="1"/>
  <c r="I38" i="17"/>
  <c r="K38" i="17" s="1"/>
  <c r="L38" i="17" s="1"/>
  <c r="I39" i="17"/>
  <c r="K39" i="17" s="1"/>
  <c r="L39" i="17" s="1"/>
  <c r="I40" i="17"/>
  <c r="K40" i="17" s="1"/>
  <c r="L40" i="17" s="1"/>
  <c r="I41" i="17"/>
  <c r="K41" i="17" s="1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J100" i="12"/>
  <c r="H100" i="12"/>
  <c r="R107" i="12"/>
  <c r="Y107" i="12"/>
  <c r="W107" i="12"/>
  <c r="Q101" i="12"/>
  <c r="V107" i="12" s="1"/>
  <c r="R89" i="12"/>
  <c r="G27" i="20"/>
  <c r="I48" i="17" l="1"/>
  <c r="M48" i="17" s="1"/>
  <c r="J48" i="17"/>
  <c r="H48" i="17"/>
  <c r="L41" i="17"/>
  <c r="H57" i="17"/>
  <c r="J57" i="17"/>
  <c r="I57" i="17"/>
  <c r="H55" i="17"/>
  <c r="I55" i="17"/>
  <c r="J55" i="17"/>
  <c r="J45" i="17"/>
  <c r="H45" i="17"/>
  <c r="M45" i="17" s="1"/>
  <c r="I45" i="17"/>
  <c r="I50" i="17"/>
  <c r="M50" i="17" s="1"/>
  <c r="H50" i="17"/>
  <c r="J50" i="17"/>
  <c r="J53" i="17"/>
  <c r="H53" i="17"/>
  <c r="I53" i="17"/>
  <c r="I56" i="17"/>
  <c r="J56" i="17"/>
  <c r="H56" i="17"/>
  <c r="H49" i="17"/>
  <c r="J49" i="17"/>
  <c r="I49" i="17"/>
  <c r="M49" i="17" s="1"/>
  <c r="H47" i="17"/>
  <c r="I47" i="17"/>
  <c r="M47" i="17" s="1"/>
  <c r="J47" i="17"/>
  <c r="H54" i="17"/>
  <c r="I54" i="17"/>
  <c r="J54" i="17"/>
  <c r="H46" i="17"/>
  <c r="M46" i="17" s="1"/>
  <c r="I46" i="17"/>
  <c r="J46" i="17"/>
  <c r="I52" i="17"/>
  <c r="H52" i="17"/>
  <c r="J52" i="17"/>
  <c r="J44" i="17"/>
  <c r="I44" i="17"/>
  <c r="H44" i="17"/>
  <c r="M44" i="17" s="1"/>
  <c r="H51" i="17"/>
  <c r="I51" i="17"/>
  <c r="J51" i="17"/>
  <c r="AC139" i="5"/>
  <c r="AF194" i="5"/>
  <c r="I58" i="17" l="1"/>
  <c r="H58" i="17"/>
  <c r="J58" i="17"/>
  <c r="N34" i="17"/>
  <c r="N37" i="17"/>
  <c r="M53" i="17" s="1"/>
  <c r="N38" i="17"/>
  <c r="M54" i="17" s="1"/>
  <c r="N40" i="17"/>
  <c r="M56" i="17" s="1"/>
  <c r="N35" i="17"/>
  <c r="M51" i="17" s="1"/>
  <c r="N39" i="17"/>
  <c r="M55" i="17" s="1"/>
  <c r="N36" i="17"/>
  <c r="M52" i="17" s="1"/>
  <c r="N41" i="17"/>
  <c r="M41" i="17" s="1"/>
  <c r="C35" i="13"/>
  <c r="C61" i="13"/>
  <c r="W56" i="1"/>
  <c r="BR5" i="17"/>
  <c r="BQ6" i="17"/>
  <c r="BQ7" i="17"/>
  <c r="BJ5" i="17"/>
  <c r="BH6" i="17"/>
  <c r="BI6" i="17"/>
  <c r="BH7" i="17"/>
  <c r="BI7" i="17"/>
  <c r="BB16" i="17"/>
  <c r="BB17" i="17"/>
  <c r="BB6" i="17"/>
  <c r="BB7" i="17"/>
  <c r="BB8" i="17"/>
  <c r="AT16" i="17"/>
  <c r="AT17" i="17"/>
  <c r="AT6" i="17"/>
  <c r="AT7" i="17"/>
  <c r="AT8" i="17"/>
  <c r="AM17" i="17"/>
  <c r="AM6" i="17"/>
  <c r="AM16" i="17" s="1"/>
  <c r="AM7" i="17"/>
  <c r="AM8" i="17"/>
  <c r="AN8" i="17" s="1"/>
  <c r="AF17" i="17"/>
  <c r="AF16" i="17"/>
  <c r="Y7" i="17"/>
  <c r="AF6" i="17"/>
  <c r="AF7" i="17"/>
  <c r="AF8" i="17"/>
  <c r="AG8" i="17" s="1"/>
  <c r="M57" i="17" l="1"/>
  <c r="AG22" i="1"/>
  <c r="J7" i="17"/>
  <c r="E46" i="20"/>
  <c r="Q24" i="6" l="1"/>
  <c r="B63" i="12"/>
  <c r="B49" i="12"/>
  <c r="Q9" i="6"/>
  <c r="O86" i="6"/>
  <c r="C20" i="24" l="1"/>
  <c r="C26" i="24"/>
  <c r="H8" i="23"/>
  <c r="I8" i="23"/>
  <c r="K9" i="24"/>
  <c r="C12" i="24"/>
  <c r="D27" i="24"/>
  <c r="I9" i="24"/>
  <c r="D18" i="24"/>
  <c r="Z131" i="23"/>
  <c r="AA131" i="23"/>
  <c r="AB131" i="23"/>
  <c r="AA129" i="23"/>
  <c r="AB129" i="23"/>
  <c r="Z129" i="23"/>
  <c r="AA127" i="23"/>
  <c r="AB127" i="23"/>
  <c r="Z127" i="23"/>
  <c r="AA125" i="23"/>
  <c r="AB125" i="23"/>
  <c r="Z125" i="23"/>
  <c r="AT90" i="23"/>
  <c r="AV90" i="23" s="1"/>
  <c r="AT91" i="23"/>
  <c r="AV91" i="23"/>
  <c r="AT92" i="23"/>
  <c r="AV92" i="23" s="1"/>
  <c r="AT93" i="23"/>
  <c r="AV93" i="23"/>
  <c r="AT94" i="23"/>
  <c r="AV94" i="23" s="1"/>
  <c r="AT95" i="23"/>
  <c r="AV95" i="23"/>
  <c r="AT96" i="23"/>
  <c r="AV96" i="23" s="1"/>
  <c r="AT97" i="23"/>
  <c r="AV97" i="23"/>
  <c r="AT98" i="23"/>
  <c r="AV98" i="23" s="1"/>
  <c r="AT99" i="23"/>
  <c r="AV99" i="23"/>
  <c r="AT100" i="23"/>
  <c r="AV100" i="23" s="1"/>
  <c r="AT101" i="23"/>
  <c r="AV101" i="23"/>
  <c r="AT102" i="23"/>
  <c r="AV102" i="23" s="1"/>
  <c r="AT103" i="23"/>
  <c r="AV103" i="23"/>
  <c r="AT104" i="23"/>
  <c r="AV104" i="23" s="1"/>
  <c r="AG90" i="23"/>
  <c r="AI90" i="23" s="1"/>
  <c r="AG91" i="23"/>
  <c r="AI91" i="23"/>
  <c r="AG92" i="23"/>
  <c r="AI92" i="23"/>
  <c r="AG93" i="23"/>
  <c r="AI93" i="23" s="1"/>
  <c r="AG94" i="23"/>
  <c r="AI94" i="23" s="1"/>
  <c r="AG95" i="23"/>
  <c r="AI95" i="23"/>
  <c r="AG96" i="23"/>
  <c r="AI96" i="23"/>
  <c r="AG97" i="23"/>
  <c r="AI97" i="23" s="1"/>
  <c r="AG98" i="23"/>
  <c r="AI98" i="23" s="1"/>
  <c r="AG99" i="23"/>
  <c r="AI99" i="23"/>
  <c r="AG100" i="23"/>
  <c r="AI100" i="23"/>
  <c r="AG101" i="23"/>
  <c r="AI101" i="23" s="1"/>
  <c r="AG102" i="23"/>
  <c r="AI102" i="23" s="1"/>
  <c r="AG103" i="23"/>
  <c r="AI103" i="23"/>
  <c r="AG104" i="23"/>
  <c r="AI104" i="23"/>
  <c r="T90" i="23"/>
  <c r="V90" i="23" s="1"/>
  <c r="T91" i="23"/>
  <c r="V91" i="23"/>
  <c r="T92" i="23"/>
  <c r="V92" i="23" s="1"/>
  <c r="T93" i="23"/>
  <c r="V93" i="23"/>
  <c r="T94" i="23"/>
  <c r="V94" i="23" s="1"/>
  <c r="T95" i="23"/>
  <c r="V95" i="23"/>
  <c r="T96" i="23"/>
  <c r="V96" i="23" s="1"/>
  <c r="T97" i="23"/>
  <c r="V97" i="23"/>
  <c r="T98" i="23"/>
  <c r="V98" i="23" s="1"/>
  <c r="T99" i="23"/>
  <c r="V99" i="23"/>
  <c r="T100" i="23"/>
  <c r="V100" i="23" s="1"/>
  <c r="T101" i="23"/>
  <c r="V101" i="23"/>
  <c r="T102" i="23"/>
  <c r="V102" i="23" s="1"/>
  <c r="T103" i="23"/>
  <c r="V103" i="23"/>
  <c r="T104" i="23"/>
  <c r="V104" i="23" s="1"/>
  <c r="B89" i="23"/>
  <c r="L89" i="23"/>
  <c r="M89" i="23"/>
  <c r="N89" i="23"/>
  <c r="O89" i="23"/>
  <c r="P89" i="23"/>
  <c r="Q89" i="23"/>
  <c r="R89" i="23"/>
  <c r="T89" i="23"/>
  <c r="V89" i="23"/>
  <c r="Y89" i="23"/>
  <c r="Z89" i="23"/>
  <c r="AA89" i="23"/>
  <c r="AB89" i="23"/>
  <c r="AC89" i="23"/>
  <c r="AD89" i="23"/>
  <c r="AE89" i="23"/>
  <c r="AG89" i="23"/>
  <c r="AI89" i="23"/>
  <c r="AJ89" i="23"/>
  <c r="AL89" i="23"/>
  <c r="AM89" i="23"/>
  <c r="AN89" i="23"/>
  <c r="AO89" i="23"/>
  <c r="AP89" i="23"/>
  <c r="AQ89" i="23"/>
  <c r="AR89" i="23"/>
  <c r="AT89" i="23"/>
  <c r="AV89" i="23"/>
  <c r="AY89" i="23"/>
  <c r="AZ89" i="23"/>
  <c r="BB89" i="23"/>
  <c r="BC89" i="23"/>
  <c r="BE89" i="23"/>
  <c r="BF89" i="23"/>
  <c r="BH89" i="23"/>
  <c r="BI89" i="23"/>
  <c r="BL89" i="23"/>
  <c r="BM89" i="23"/>
  <c r="BN89" i="23"/>
  <c r="BO89" i="23"/>
  <c r="BP89" i="23"/>
  <c r="BQ89" i="23"/>
  <c r="BR89" i="23"/>
  <c r="BS89" i="23"/>
  <c r="BV89" i="23"/>
  <c r="BW89" i="23"/>
  <c r="BX89" i="23"/>
  <c r="BY89" i="23"/>
  <c r="BZ89" i="23"/>
  <c r="CA89" i="23"/>
  <c r="B90" i="23"/>
  <c r="D90" i="23"/>
  <c r="H90" i="23"/>
  <c r="L90" i="23"/>
  <c r="M90" i="23"/>
  <c r="N90" i="23"/>
  <c r="O90" i="23"/>
  <c r="Q90" i="23"/>
  <c r="R90" i="23"/>
  <c r="Y90" i="23"/>
  <c r="Z90" i="23"/>
  <c r="AA90" i="23"/>
  <c r="AB90" i="23"/>
  <c r="AC90" i="23"/>
  <c r="AD90" i="23"/>
  <c r="AE90" i="23"/>
  <c r="AJ90" i="23"/>
  <c r="AL90" i="23"/>
  <c r="AM90" i="23"/>
  <c r="AN90" i="23"/>
  <c r="AO90" i="23"/>
  <c r="AQ90" i="23"/>
  <c r="AR90" i="23"/>
  <c r="AY90" i="23"/>
  <c r="AZ90" i="23"/>
  <c r="BB90" i="23"/>
  <c r="BC90" i="23"/>
  <c r="BE90" i="23"/>
  <c r="BF90" i="23"/>
  <c r="BH90" i="23"/>
  <c r="BI90" i="23"/>
  <c r="BL90" i="23"/>
  <c r="BM90" i="23"/>
  <c r="BN90" i="23"/>
  <c r="BO90" i="23"/>
  <c r="BP90" i="23"/>
  <c r="BQ90" i="23"/>
  <c r="BR90" i="23"/>
  <c r="BS90" i="23"/>
  <c r="BV90" i="23"/>
  <c r="BW90" i="23"/>
  <c r="BX90" i="23"/>
  <c r="BY90" i="23"/>
  <c r="BZ90" i="23"/>
  <c r="CA90" i="23"/>
  <c r="B91" i="23"/>
  <c r="D91" i="23"/>
  <c r="H91" i="23"/>
  <c r="L91" i="23"/>
  <c r="M91" i="23"/>
  <c r="N91" i="23"/>
  <c r="O91" i="23"/>
  <c r="Q91" i="23"/>
  <c r="R91" i="23"/>
  <c r="Y91" i="23"/>
  <c r="Z91" i="23"/>
  <c r="AA91" i="23"/>
  <c r="AB91" i="23"/>
  <c r="AC91" i="23"/>
  <c r="AD91" i="23"/>
  <c r="AE91" i="23"/>
  <c r="AJ91" i="23"/>
  <c r="AL91" i="23"/>
  <c r="AM91" i="23"/>
  <c r="AN91" i="23"/>
  <c r="AO91" i="23"/>
  <c r="AQ91" i="23"/>
  <c r="AR91" i="23"/>
  <c r="AY91" i="23"/>
  <c r="AZ91" i="23"/>
  <c r="BB91" i="23"/>
  <c r="BC91" i="23"/>
  <c r="BE91" i="23"/>
  <c r="BF91" i="23"/>
  <c r="BH91" i="23"/>
  <c r="BI91" i="23"/>
  <c r="BL91" i="23"/>
  <c r="BM91" i="23"/>
  <c r="BN91" i="23"/>
  <c r="BO91" i="23"/>
  <c r="BP91" i="23"/>
  <c r="BQ91" i="23"/>
  <c r="BR91" i="23"/>
  <c r="BS91" i="23"/>
  <c r="BV91" i="23"/>
  <c r="BW91" i="23"/>
  <c r="BX91" i="23"/>
  <c r="BY91" i="23"/>
  <c r="BZ91" i="23"/>
  <c r="CA91" i="23"/>
  <c r="B92" i="23"/>
  <c r="D92" i="23"/>
  <c r="H92" i="23"/>
  <c r="L92" i="23"/>
  <c r="M92" i="23"/>
  <c r="N92" i="23"/>
  <c r="O92" i="23"/>
  <c r="Q92" i="23"/>
  <c r="R92" i="23"/>
  <c r="Y92" i="23"/>
  <c r="Z92" i="23"/>
  <c r="AA92" i="23"/>
  <c r="AB92" i="23"/>
  <c r="AC92" i="23"/>
  <c r="AD92" i="23"/>
  <c r="AE92" i="23"/>
  <c r="AJ92" i="23"/>
  <c r="AL92" i="23"/>
  <c r="AM92" i="23"/>
  <c r="AN92" i="23"/>
  <c r="AO92" i="23"/>
  <c r="AQ92" i="23"/>
  <c r="AR92" i="23"/>
  <c r="AY92" i="23"/>
  <c r="AZ92" i="23"/>
  <c r="BB92" i="23"/>
  <c r="BC92" i="23"/>
  <c r="BE92" i="23"/>
  <c r="BF92" i="23"/>
  <c r="BH92" i="23"/>
  <c r="BI92" i="23"/>
  <c r="BL92" i="23"/>
  <c r="BM92" i="23"/>
  <c r="BN92" i="23"/>
  <c r="BO92" i="23"/>
  <c r="BP92" i="23"/>
  <c r="BQ92" i="23"/>
  <c r="BR92" i="23"/>
  <c r="BS92" i="23"/>
  <c r="BV92" i="23"/>
  <c r="BW92" i="23"/>
  <c r="BX92" i="23"/>
  <c r="BY92" i="23"/>
  <c r="BZ92" i="23"/>
  <c r="CA92" i="23"/>
  <c r="B93" i="23"/>
  <c r="D93" i="23"/>
  <c r="H93" i="23"/>
  <c r="L93" i="23"/>
  <c r="M93" i="23"/>
  <c r="N93" i="23"/>
  <c r="O93" i="23"/>
  <c r="Q93" i="23"/>
  <c r="R93" i="23"/>
  <c r="Y93" i="23"/>
  <c r="Z93" i="23"/>
  <c r="AA93" i="23"/>
  <c r="AB93" i="23"/>
  <c r="AC93" i="23"/>
  <c r="AD93" i="23"/>
  <c r="AE93" i="23"/>
  <c r="AJ93" i="23"/>
  <c r="AL93" i="23"/>
  <c r="AM93" i="23"/>
  <c r="AN93" i="23"/>
  <c r="AO93" i="23"/>
  <c r="AQ93" i="23"/>
  <c r="AR93" i="23"/>
  <c r="AY93" i="23"/>
  <c r="AZ93" i="23"/>
  <c r="BB93" i="23"/>
  <c r="BC93" i="23"/>
  <c r="BE93" i="23"/>
  <c r="BF93" i="23"/>
  <c r="BH93" i="23"/>
  <c r="BI93" i="23"/>
  <c r="BL93" i="23"/>
  <c r="BM93" i="23"/>
  <c r="BN93" i="23"/>
  <c r="BO93" i="23"/>
  <c r="BP93" i="23"/>
  <c r="BQ93" i="23"/>
  <c r="BR93" i="23"/>
  <c r="BS93" i="23"/>
  <c r="BV93" i="23"/>
  <c r="BW93" i="23"/>
  <c r="BX93" i="23"/>
  <c r="BY93" i="23"/>
  <c r="BZ93" i="23"/>
  <c r="CA93" i="23"/>
  <c r="B94" i="23"/>
  <c r="D94" i="23"/>
  <c r="H94" i="23"/>
  <c r="L94" i="23"/>
  <c r="M94" i="23"/>
  <c r="N94" i="23"/>
  <c r="O94" i="23"/>
  <c r="Q94" i="23"/>
  <c r="R94" i="23"/>
  <c r="Y94" i="23"/>
  <c r="Z94" i="23"/>
  <c r="AA94" i="23"/>
  <c r="AB94" i="23"/>
  <c r="AC94" i="23"/>
  <c r="AD94" i="23"/>
  <c r="AE94" i="23"/>
  <c r="AJ94" i="23"/>
  <c r="AL94" i="23"/>
  <c r="AM94" i="23"/>
  <c r="AN94" i="23"/>
  <c r="AO94" i="23"/>
  <c r="AQ94" i="23"/>
  <c r="AR94" i="23"/>
  <c r="AY94" i="23"/>
  <c r="AZ94" i="23"/>
  <c r="BB94" i="23"/>
  <c r="BC94" i="23"/>
  <c r="BE94" i="23"/>
  <c r="BF94" i="23"/>
  <c r="BH94" i="23"/>
  <c r="BI94" i="23"/>
  <c r="BL94" i="23"/>
  <c r="BM94" i="23"/>
  <c r="BN94" i="23"/>
  <c r="BO94" i="23"/>
  <c r="BP94" i="23"/>
  <c r="BQ94" i="23"/>
  <c r="BR94" i="23"/>
  <c r="BS94" i="23"/>
  <c r="BV94" i="23"/>
  <c r="BW94" i="23"/>
  <c r="BX94" i="23"/>
  <c r="BY94" i="23"/>
  <c r="BZ94" i="23"/>
  <c r="CA94" i="23"/>
  <c r="B95" i="23"/>
  <c r="D95" i="23"/>
  <c r="H95" i="23"/>
  <c r="L95" i="23"/>
  <c r="M95" i="23"/>
  <c r="N95" i="23"/>
  <c r="O95" i="23"/>
  <c r="Q95" i="23"/>
  <c r="R95" i="23"/>
  <c r="Y95" i="23"/>
  <c r="Z95" i="23"/>
  <c r="AA95" i="23"/>
  <c r="AB95" i="23"/>
  <c r="AC95" i="23"/>
  <c r="AD95" i="23"/>
  <c r="AE95" i="23"/>
  <c r="AJ95" i="23"/>
  <c r="AL95" i="23"/>
  <c r="AM95" i="23"/>
  <c r="AN95" i="23"/>
  <c r="AO95" i="23"/>
  <c r="AQ95" i="23"/>
  <c r="AR95" i="23"/>
  <c r="AY95" i="23"/>
  <c r="AZ95" i="23"/>
  <c r="BB95" i="23"/>
  <c r="BC95" i="23"/>
  <c r="BE95" i="23"/>
  <c r="BF95" i="23"/>
  <c r="BH95" i="23"/>
  <c r="BI95" i="23"/>
  <c r="BL95" i="23"/>
  <c r="BM95" i="23"/>
  <c r="BN95" i="23"/>
  <c r="BO95" i="23"/>
  <c r="BP95" i="23"/>
  <c r="BQ95" i="23"/>
  <c r="BR95" i="23"/>
  <c r="BS95" i="23"/>
  <c r="BV95" i="23"/>
  <c r="BW95" i="23"/>
  <c r="BX95" i="23"/>
  <c r="BY95" i="23"/>
  <c r="BZ95" i="23"/>
  <c r="CA95" i="23"/>
  <c r="B96" i="23"/>
  <c r="D96" i="23"/>
  <c r="H96" i="23"/>
  <c r="L96" i="23"/>
  <c r="M96" i="23"/>
  <c r="N96" i="23"/>
  <c r="O96" i="23"/>
  <c r="Q96" i="23"/>
  <c r="R96" i="23"/>
  <c r="Y96" i="23"/>
  <c r="Z96" i="23"/>
  <c r="AA96" i="23"/>
  <c r="AB96" i="23"/>
  <c r="AC96" i="23"/>
  <c r="AD96" i="23"/>
  <c r="AE96" i="23"/>
  <c r="AJ96" i="23"/>
  <c r="AL96" i="23"/>
  <c r="AM96" i="23"/>
  <c r="AN96" i="23"/>
  <c r="AO96" i="23"/>
  <c r="AQ96" i="23"/>
  <c r="AR96" i="23"/>
  <c r="AY96" i="23"/>
  <c r="AZ96" i="23"/>
  <c r="BB96" i="23"/>
  <c r="BC96" i="23"/>
  <c r="BE96" i="23"/>
  <c r="BF96" i="23"/>
  <c r="BH96" i="23"/>
  <c r="BI96" i="23"/>
  <c r="BL96" i="23"/>
  <c r="BM96" i="23"/>
  <c r="BN96" i="23"/>
  <c r="BO96" i="23"/>
  <c r="BP96" i="23"/>
  <c r="BQ96" i="23"/>
  <c r="BR96" i="23"/>
  <c r="BS96" i="23"/>
  <c r="BV96" i="23"/>
  <c r="BW96" i="23"/>
  <c r="BX96" i="23"/>
  <c r="BY96" i="23"/>
  <c r="BZ96" i="23"/>
  <c r="CA96" i="23"/>
  <c r="B97" i="23"/>
  <c r="D97" i="23"/>
  <c r="H97" i="23"/>
  <c r="L97" i="23"/>
  <c r="M97" i="23"/>
  <c r="N97" i="23"/>
  <c r="O97" i="23"/>
  <c r="Q97" i="23"/>
  <c r="R97" i="23"/>
  <c r="Y97" i="23"/>
  <c r="Z97" i="23"/>
  <c r="AA97" i="23"/>
  <c r="AB97" i="23"/>
  <c r="AC97" i="23"/>
  <c r="AD97" i="23"/>
  <c r="AE97" i="23"/>
  <c r="AJ97" i="23"/>
  <c r="AL97" i="23"/>
  <c r="AM97" i="23"/>
  <c r="AN97" i="23"/>
  <c r="AO97" i="23"/>
  <c r="AQ97" i="23"/>
  <c r="AR97" i="23"/>
  <c r="AY97" i="23"/>
  <c r="AZ97" i="23"/>
  <c r="BB97" i="23"/>
  <c r="BC97" i="23"/>
  <c r="BE97" i="23"/>
  <c r="BF97" i="23"/>
  <c r="BH97" i="23"/>
  <c r="BI97" i="23"/>
  <c r="BL97" i="23"/>
  <c r="BM97" i="23"/>
  <c r="BN97" i="23"/>
  <c r="BO97" i="23"/>
  <c r="BP97" i="23"/>
  <c r="BQ97" i="23"/>
  <c r="BR97" i="23"/>
  <c r="BS97" i="23"/>
  <c r="BV97" i="23"/>
  <c r="BW97" i="23"/>
  <c r="BX97" i="23"/>
  <c r="BY97" i="23"/>
  <c r="BZ97" i="23"/>
  <c r="CA97" i="23"/>
  <c r="B98" i="23"/>
  <c r="D98" i="23"/>
  <c r="H98" i="23"/>
  <c r="L98" i="23"/>
  <c r="M98" i="23"/>
  <c r="N98" i="23"/>
  <c r="O98" i="23"/>
  <c r="Q98" i="23"/>
  <c r="R98" i="23"/>
  <c r="Y98" i="23"/>
  <c r="Z98" i="23"/>
  <c r="AA98" i="23"/>
  <c r="AB98" i="23"/>
  <c r="AC98" i="23"/>
  <c r="AD98" i="23"/>
  <c r="AE98" i="23"/>
  <c r="AJ98" i="23"/>
  <c r="AL98" i="23"/>
  <c r="AM98" i="23"/>
  <c r="AN98" i="23"/>
  <c r="AO98" i="23"/>
  <c r="AQ98" i="23"/>
  <c r="AR98" i="23"/>
  <c r="AY98" i="23"/>
  <c r="AZ98" i="23"/>
  <c r="BB98" i="23"/>
  <c r="BC98" i="23"/>
  <c r="BE98" i="23"/>
  <c r="BF98" i="23"/>
  <c r="BH98" i="23"/>
  <c r="BI98" i="23"/>
  <c r="BL98" i="23"/>
  <c r="BM98" i="23"/>
  <c r="BN98" i="23"/>
  <c r="BO98" i="23"/>
  <c r="BP98" i="23"/>
  <c r="BQ98" i="23"/>
  <c r="BR98" i="23"/>
  <c r="BS98" i="23"/>
  <c r="BV98" i="23"/>
  <c r="BW98" i="23"/>
  <c r="BX98" i="23"/>
  <c r="BY98" i="23"/>
  <c r="BZ98" i="23"/>
  <c r="CA98" i="23"/>
  <c r="B99" i="23"/>
  <c r="D99" i="23"/>
  <c r="H99" i="23"/>
  <c r="L99" i="23"/>
  <c r="M99" i="23"/>
  <c r="N99" i="23"/>
  <c r="O99" i="23"/>
  <c r="Q99" i="23"/>
  <c r="R99" i="23"/>
  <c r="Y99" i="23"/>
  <c r="Z99" i="23"/>
  <c r="AA99" i="23"/>
  <c r="AB99" i="23"/>
  <c r="AC99" i="23"/>
  <c r="AD99" i="23"/>
  <c r="AE99" i="23"/>
  <c r="AJ99" i="23"/>
  <c r="AL99" i="23"/>
  <c r="AM99" i="23"/>
  <c r="AN99" i="23"/>
  <c r="AO99" i="23"/>
  <c r="AQ99" i="23"/>
  <c r="AR99" i="23"/>
  <c r="AY99" i="23"/>
  <c r="AZ99" i="23"/>
  <c r="BB99" i="23"/>
  <c r="BC99" i="23"/>
  <c r="BE99" i="23"/>
  <c r="BF99" i="23"/>
  <c r="BH99" i="23"/>
  <c r="BI99" i="23"/>
  <c r="BL99" i="23"/>
  <c r="BM99" i="23"/>
  <c r="BN99" i="23"/>
  <c r="BO99" i="23"/>
  <c r="BP99" i="23"/>
  <c r="BQ99" i="23"/>
  <c r="BR99" i="23"/>
  <c r="BS99" i="23"/>
  <c r="BV99" i="23"/>
  <c r="BW99" i="23"/>
  <c r="BX99" i="23"/>
  <c r="BY99" i="23"/>
  <c r="BZ99" i="23"/>
  <c r="CA99" i="23"/>
  <c r="B100" i="23"/>
  <c r="D100" i="23"/>
  <c r="H100" i="23"/>
  <c r="L100" i="23"/>
  <c r="M100" i="23"/>
  <c r="N100" i="23"/>
  <c r="O100" i="23"/>
  <c r="Q100" i="23"/>
  <c r="R100" i="23"/>
  <c r="Y100" i="23"/>
  <c r="Z100" i="23"/>
  <c r="AA100" i="23"/>
  <c r="AB100" i="23"/>
  <c r="AC100" i="23"/>
  <c r="AD100" i="23"/>
  <c r="AE100" i="23"/>
  <c r="AJ100" i="23"/>
  <c r="AL100" i="23"/>
  <c r="AM100" i="23"/>
  <c r="AN100" i="23"/>
  <c r="AO100" i="23"/>
  <c r="AQ100" i="23"/>
  <c r="AR100" i="23"/>
  <c r="AY100" i="23"/>
  <c r="AZ100" i="23"/>
  <c r="BB100" i="23"/>
  <c r="BC100" i="23"/>
  <c r="BE100" i="23"/>
  <c r="BF100" i="23"/>
  <c r="BH100" i="23"/>
  <c r="BI100" i="23"/>
  <c r="BL100" i="23"/>
  <c r="BM100" i="23"/>
  <c r="BN100" i="23"/>
  <c r="BO100" i="23"/>
  <c r="BP100" i="23"/>
  <c r="BQ100" i="23"/>
  <c r="BR100" i="23"/>
  <c r="BS100" i="23"/>
  <c r="BV100" i="23"/>
  <c r="BW100" i="23"/>
  <c r="BX100" i="23"/>
  <c r="BY100" i="23"/>
  <c r="BZ100" i="23"/>
  <c r="CA100" i="23"/>
  <c r="B101" i="23"/>
  <c r="D101" i="23"/>
  <c r="H101" i="23"/>
  <c r="L101" i="23"/>
  <c r="M101" i="23"/>
  <c r="N101" i="23"/>
  <c r="O101" i="23"/>
  <c r="Q101" i="23"/>
  <c r="R101" i="23"/>
  <c r="Y101" i="23"/>
  <c r="Z101" i="23"/>
  <c r="AA101" i="23"/>
  <c r="AB101" i="23"/>
  <c r="AC101" i="23"/>
  <c r="AD101" i="23"/>
  <c r="AE101" i="23"/>
  <c r="AJ101" i="23"/>
  <c r="AL101" i="23"/>
  <c r="AM101" i="23"/>
  <c r="AN101" i="23"/>
  <c r="AO101" i="23"/>
  <c r="AQ101" i="23"/>
  <c r="AR101" i="23"/>
  <c r="AY101" i="23"/>
  <c r="AZ101" i="23"/>
  <c r="BB101" i="23"/>
  <c r="BC101" i="23"/>
  <c r="BE101" i="23"/>
  <c r="BF101" i="23"/>
  <c r="BH101" i="23"/>
  <c r="BI101" i="23"/>
  <c r="BL101" i="23"/>
  <c r="BM101" i="23"/>
  <c r="BN101" i="23"/>
  <c r="BO101" i="23"/>
  <c r="BP101" i="23"/>
  <c r="BQ101" i="23"/>
  <c r="BR101" i="23"/>
  <c r="BS101" i="23"/>
  <c r="BV101" i="23"/>
  <c r="BW101" i="23"/>
  <c r="BX101" i="23"/>
  <c r="BY101" i="23"/>
  <c r="BZ101" i="23"/>
  <c r="CA101" i="23"/>
  <c r="B102" i="23"/>
  <c r="D102" i="23"/>
  <c r="H102" i="23"/>
  <c r="L102" i="23"/>
  <c r="M102" i="23"/>
  <c r="N102" i="23"/>
  <c r="O102" i="23"/>
  <c r="Q102" i="23"/>
  <c r="R102" i="23"/>
  <c r="Y102" i="23"/>
  <c r="Z102" i="23"/>
  <c r="AA102" i="23"/>
  <c r="AB102" i="23"/>
  <c r="AC102" i="23"/>
  <c r="AD102" i="23"/>
  <c r="AE102" i="23"/>
  <c r="AJ102" i="23"/>
  <c r="AL102" i="23"/>
  <c r="AM102" i="23"/>
  <c r="AN102" i="23"/>
  <c r="AO102" i="23"/>
  <c r="AQ102" i="23"/>
  <c r="AR102" i="23"/>
  <c r="AY102" i="23"/>
  <c r="AZ102" i="23"/>
  <c r="BB102" i="23"/>
  <c r="BC102" i="23"/>
  <c r="BE102" i="23"/>
  <c r="BF102" i="23"/>
  <c r="BH102" i="23"/>
  <c r="BI102" i="23"/>
  <c r="BL102" i="23"/>
  <c r="BM102" i="23"/>
  <c r="BN102" i="23"/>
  <c r="BO102" i="23"/>
  <c r="BP102" i="23"/>
  <c r="BQ102" i="23"/>
  <c r="BR102" i="23"/>
  <c r="BS102" i="23"/>
  <c r="BV102" i="23"/>
  <c r="BW102" i="23"/>
  <c r="BX102" i="23"/>
  <c r="BY102" i="23"/>
  <c r="BZ102" i="23"/>
  <c r="CA102" i="23"/>
  <c r="B103" i="23"/>
  <c r="D103" i="23"/>
  <c r="H103" i="23"/>
  <c r="L103" i="23"/>
  <c r="M103" i="23"/>
  <c r="N103" i="23"/>
  <c r="O103" i="23"/>
  <c r="Q103" i="23"/>
  <c r="R103" i="23"/>
  <c r="Y103" i="23"/>
  <c r="Z103" i="23"/>
  <c r="AA103" i="23"/>
  <c r="AB103" i="23"/>
  <c r="AC103" i="23"/>
  <c r="AD103" i="23"/>
  <c r="AE103" i="23"/>
  <c r="AJ103" i="23"/>
  <c r="AL103" i="23"/>
  <c r="AM103" i="23"/>
  <c r="AN103" i="23"/>
  <c r="AO103" i="23"/>
  <c r="AQ103" i="23"/>
  <c r="AR103" i="23"/>
  <c r="AY103" i="23"/>
  <c r="AZ103" i="23"/>
  <c r="BB103" i="23"/>
  <c r="BC103" i="23"/>
  <c r="BE103" i="23"/>
  <c r="BF103" i="23"/>
  <c r="BH103" i="23"/>
  <c r="BI103" i="23"/>
  <c r="BL103" i="23"/>
  <c r="BM103" i="23"/>
  <c r="BN103" i="23"/>
  <c r="BO103" i="23"/>
  <c r="BP103" i="23"/>
  <c r="BQ103" i="23"/>
  <c r="BR103" i="23"/>
  <c r="BS103" i="23"/>
  <c r="BV103" i="23"/>
  <c r="BW103" i="23"/>
  <c r="BX103" i="23"/>
  <c r="BY103" i="23"/>
  <c r="BZ103" i="23"/>
  <c r="CA103" i="23"/>
  <c r="B104" i="23"/>
  <c r="D104" i="23"/>
  <c r="H104" i="23"/>
  <c r="L104" i="23"/>
  <c r="M104" i="23"/>
  <c r="N104" i="23"/>
  <c r="O104" i="23"/>
  <c r="Q104" i="23"/>
  <c r="R104" i="23"/>
  <c r="Y104" i="23"/>
  <c r="Z104" i="23"/>
  <c r="AA104" i="23"/>
  <c r="AB104" i="23"/>
  <c r="AC104" i="23"/>
  <c r="AD104" i="23"/>
  <c r="AE104" i="23"/>
  <c r="AJ104" i="23"/>
  <c r="AL104" i="23"/>
  <c r="AM104" i="23"/>
  <c r="AN104" i="23"/>
  <c r="AO104" i="23"/>
  <c r="AQ104" i="23"/>
  <c r="AR104" i="23"/>
  <c r="AY104" i="23"/>
  <c r="AZ104" i="23"/>
  <c r="BB104" i="23"/>
  <c r="BC104" i="23"/>
  <c r="BE104" i="23"/>
  <c r="BF104" i="23"/>
  <c r="BH104" i="23"/>
  <c r="BI104" i="23"/>
  <c r="BL104" i="23"/>
  <c r="BM104" i="23"/>
  <c r="BN104" i="23"/>
  <c r="BO104" i="23"/>
  <c r="BP104" i="23"/>
  <c r="BQ104" i="23"/>
  <c r="BR104" i="23"/>
  <c r="BS104" i="23"/>
  <c r="BV104" i="23"/>
  <c r="BW104" i="23"/>
  <c r="BX104" i="23"/>
  <c r="BY104" i="23"/>
  <c r="BZ104" i="23"/>
  <c r="CA104" i="23"/>
  <c r="BO85" i="23"/>
  <c r="BN85" i="23"/>
  <c r="BN86" i="23"/>
  <c r="BO86" i="23" s="1"/>
  <c r="BG86" i="23"/>
  <c r="BF86" i="23"/>
  <c r="BC86" i="23"/>
  <c r="BB86" i="23"/>
  <c r="BU83" i="23"/>
  <c r="BU69" i="23"/>
  <c r="BS83" i="23"/>
  <c r="BS69" i="23"/>
  <c r="BN74" i="23"/>
  <c r="BN75" i="23"/>
  <c r="BN76" i="23"/>
  <c r="BN73" i="23"/>
  <c r="BK74" i="23"/>
  <c r="BL74" i="23"/>
  <c r="BK75" i="23"/>
  <c r="BL75" i="23"/>
  <c r="BK76" i="23"/>
  <c r="BL76" i="23"/>
  <c r="BL73" i="23"/>
  <c r="BK73" i="23"/>
  <c r="AR83" i="23"/>
  <c r="AQ83" i="23"/>
  <c r="AP83" i="23"/>
  <c r="AO83" i="23"/>
  <c r="AN83" i="23"/>
  <c r="AM83" i="23"/>
  <c r="AT83" i="23" s="1"/>
  <c r="AV83" i="23" s="1"/>
  <c r="AL83" i="23"/>
  <c r="AR82" i="23"/>
  <c r="AQ82" i="23"/>
  <c r="AP82" i="23"/>
  <c r="AO82" i="23"/>
  <c r="AN82" i="23"/>
  <c r="AT82" i="23" s="1"/>
  <c r="AV82" i="23" s="1"/>
  <c r="AM82" i="23"/>
  <c r="AL82" i="23"/>
  <c r="AR81" i="23"/>
  <c r="AQ81" i="23"/>
  <c r="AP81" i="23"/>
  <c r="AO81" i="23"/>
  <c r="AT81" i="23" s="1"/>
  <c r="AV81" i="23" s="1"/>
  <c r="AN81" i="23"/>
  <c r="AM81" i="23"/>
  <c r="AL81" i="23"/>
  <c r="AR80" i="23"/>
  <c r="AQ80" i="23"/>
  <c r="AP80" i="23"/>
  <c r="AO80" i="23"/>
  <c r="AN80" i="23"/>
  <c r="AM80" i="23"/>
  <c r="AT80" i="23" s="1"/>
  <c r="AV80" i="23" s="1"/>
  <c r="AL80" i="23"/>
  <c r="AR79" i="23"/>
  <c r="AQ79" i="23"/>
  <c r="AP79" i="23"/>
  <c r="AO79" i="23"/>
  <c r="AN79" i="23"/>
  <c r="AM79" i="23"/>
  <c r="AT79" i="23" s="1"/>
  <c r="AV79" i="23" s="1"/>
  <c r="AL79" i="23"/>
  <c r="AR78" i="23"/>
  <c r="AQ78" i="23"/>
  <c r="AP78" i="23"/>
  <c r="AO78" i="23"/>
  <c r="AN78" i="23"/>
  <c r="AT78" i="23" s="1"/>
  <c r="AV78" i="23" s="1"/>
  <c r="AM78" i="23"/>
  <c r="AL78" i="23"/>
  <c r="AR77" i="23"/>
  <c r="AQ77" i="23"/>
  <c r="AP77" i="23"/>
  <c r="AO77" i="23"/>
  <c r="AT77" i="23" s="1"/>
  <c r="AV77" i="23" s="1"/>
  <c r="AN77" i="23"/>
  <c r="AM77" i="23"/>
  <c r="AL77" i="23"/>
  <c r="AR76" i="23"/>
  <c r="AQ76" i="23"/>
  <c r="AP76" i="23"/>
  <c r="AO76" i="23"/>
  <c r="AN76" i="23"/>
  <c r="AM76" i="23"/>
  <c r="AT76" i="23" s="1"/>
  <c r="AV76" i="23" s="1"/>
  <c r="AL76" i="23"/>
  <c r="AR75" i="23"/>
  <c r="AQ75" i="23"/>
  <c r="AP75" i="23"/>
  <c r="AO75" i="23"/>
  <c r="AN75" i="23"/>
  <c r="AM75" i="23"/>
  <c r="AT75" i="23" s="1"/>
  <c r="AV75" i="23" s="1"/>
  <c r="AL75" i="23"/>
  <c r="AR74" i="23"/>
  <c r="AQ74" i="23"/>
  <c r="AP74" i="23"/>
  <c r="AO74" i="23"/>
  <c r="AN74" i="23"/>
  <c r="AM74" i="23"/>
  <c r="AT74" i="23" s="1"/>
  <c r="AV74" i="23" s="1"/>
  <c r="AL74" i="23"/>
  <c r="AT73" i="23"/>
  <c r="AV73" i="23" s="1"/>
  <c r="AR73" i="23"/>
  <c r="AQ73" i="23"/>
  <c r="AP73" i="23"/>
  <c r="AO73" i="23"/>
  <c r="AN73" i="23"/>
  <c r="AM73" i="23"/>
  <c r="AL73" i="23"/>
  <c r="AR72" i="23"/>
  <c r="AQ72" i="23"/>
  <c r="AP72" i="23"/>
  <c r="AO72" i="23"/>
  <c r="AN72" i="23"/>
  <c r="AM72" i="23"/>
  <c r="AT72" i="23" s="1"/>
  <c r="AV72" i="23" s="1"/>
  <c r="AL72" i="23"/>
  <c r="AR71" i="23"/>
  <c r="AQ71" i="23"/>
  <c r="AP71" i="23"/>
  <c r="AO71" i="23"/>
  <c r="AN71" i="23"/>
  <c r="AM71" i="23"/>
  <c r="AT71" i="23" s="1"/>
  <c r="AV71" i="23" s="1"/>
  <c r="AL71" i="23"/>
  <c r="AR70" i="23"/>
  <c r="AQ70" i="23"/>
  <c r="AP70" i="23"/>
  <c r="AO70" i="23"/>
  <c r="AN70" i="23"/>
  <c r="AM70" i="23"/>
  <c r="AT70" i="23" s="1"/>
  <c r="AV70" i="23" s="1"/>
  <c r="AL70" i="23"/>
  <c r="AR69" i="23"/>
  <c r="AQ69" i="23"/>
  <c r="AP69" i="23"/>
  <c r="AO69" i="23"/>
  <c r="AT69" i="23" s="1"/>
  <c r="AV69" i="23" s="1"/>
  <c r="AN69" i="23"/>
  <c r="AM69" i="23"/>
  <c r="AL69" i="23"/>
  <c r="AR68" i="23"/>
  <c r="AQ68" i="23"/>
  <c r="AO68" i="23"/>
  <c r="AN68" i="23"/>
  <c r="AM68" i="23"/>
  <c r="AL68" i="23"/>
  <c r="AL67" i="23"/>
  <c r="AE83" i="23"/>
  <c r="AD83" i="23"/>
  <c r="AC83" i="23"/>
  <c r="AB83" i="23"/>
  <c r="AA83" i="23"/>
  <c r="Z83" i="23"/>
  <c r="AG83" i="23" s="1"/>
  <c r="AI83" i="23" s="1"/>
  <c r="Y83" i="23"/>
  <c r="AE82" i="23"/>
  <c r="AD82" i="23"/>
  <c r="AC82" i="23"/>
  <c r="AB82" i="23"/>
  <c r="AA82" i="23"/>
  <c r="AG82" i="23" s="1"/>
  <c r="AI82" i="23" s="1"/>
  <c r="Z82" i="23"/>
  <c r="Y82" i="23"/>
  <c r="AG81" i="23"/>
  <c r="AI81" i="23" s="1"/>
  <c r="AE81" i="23"/>
  <c r="AD81" i="23"/>
  <c r="AC81" i="23"/>
  <c r="AB81" i="23"/>
  <c r="AA81" i="23"/>
  <c r="Z81" i="23"/>
  <c r="Y81" i="23"/>
  <c r="AE80" i="23"/>
  <c r="AD80" i="23"/>
  <c r="AC80" i="23"/>
  <c r="AB80" i="23"/>
  <c r="AA80" i="23"/>
  <c r="Z80" i="23"/>
  <c r="AG80" i="23" s="1"/>
  <c r="AI80" i="23" s="1"/>
  <c r="Y80" i="23"/>
  <c r="AE79" i="23"/>
  <c r="AD79" i="23"/>
  <c r="AC79" i="23"/>
  <c r="AB79" i="23"/>
  <c r="AA79" i="23"/>
  <c r="Z79" i="23"/>
  <c r="AG79" i="23" s="1"/>
  <c r="AI79" i="23" s="1"/>
  <c r="Y79" i="23"/>
  <c r="AE78" i="23"/>
  <c r="AD78" i="23"/>
  <c r="AC78" i="23"/>
  <c r="AB78" i="23"/>
  <c r="AA78" i="23"/>
  <c r="Z78" i="23"/>
  <c r="AG78" i="23" s="1"/>
  <c r="AI78" i="23" s="1"/>
  <c r="Y78" i="23"/>
  <c r="AG77" i="23"/>
  <c r="AI77" i="23" s="1"/>
  <c r="AE77" i="23"/>
  <c r="AD77" i="23"/>
  <c r="AC77" i="23"/>
  <c r="AB77" i="23"/>
  <c r="AA77" i="23"/>
  <c r="Z77" i="23"/>
  <c r="Y77" i="23"/>
  <c r="AE76" i="23"/>
  <c r="AD76" i="23"/>
  <c r="AC76" i="23"/>
  <c r="AB76" i="23"/>
  <c r="AA76" i="23"/>
  <c r="Z76" i="23"/>
  <c r="AG76" i="23" s="1"/>
  <c r="AI76" i="23" s="1"/>
  <c r="Y76" i="23"/>
  <c r="AE75" i="23"/>
  <c r="AD75" i="23"/>
  <c r="AC75" i="23"/>
  <c r="AB75" i="23"/>
  <c r="AA75" i="23"/>
  <c r="Z75" i="23"/>
  <c r="AG75" i="23" s="1"/>
  <c r="AI75" i="23" s="1"/>
  <c r="Y75" i="23"/>
  <c r="AE74" i="23"/>
  <c r="AD74" i="23"/>
  <c r="AC74" i="23"/>
  <c r="AB74" i="23"/>
  <c r="AA74" i="23"/>
  <c r="Z74" i="23"/>
  <c r="AG74" i="23" s="1"/>
  <c r="AI74" i="23" s="1"/>
  <c r="Y74" i="23"/>
  <c r="AG73" i="23"/>
  <c r="AI73" i="23" s="1"/>
  <c r="AE73" i="23"/>
  <c r="AD73" i="23"/>
  <c r="AC73" i="23"/>
  <c r="AB73" i="23"/>
  <c r="AA73" i="23"/>
  <c r="Z73" i="23"/>
  <c r="Y73" i="23"/>
  <c r="AE72" i="23"/>
  <c r="AD72" i="23"/>
  <c r="AC72" i="23"/>
  <c r="AB72" i="23"/>
  <c r="AA72" i="23"/>
  <c r="Z72" i="23"/>
  <c r="AG72" i="23" s="1"/>
  <c r="AI72" i="23" s="1"/>
  <c r="Y72" i="23"/>
  <c r="AE71" i="23"/>
  <c r="AD71" i="23"/>
  <c r="AC71" i="23"/>
  <c r="AB71" i="23"/>
  <c r="AA71" i="23"/>
  <c r="Z71" i="23"/>
  <c r="AG71" i="23" s="1"/>
  <c r="AI71" i="23" s="1"/>
  <c r="Y71" i="23"/>
  <c r="AE70" i="23"/>
  <c r="AD70" i="23"/>
  <c r="AC70" i="23"/>
  <c r="AB70" i="23"/>
  <c r="AA70" i="23"/>
  <c r="Z70" i="23"/>
  <c r="AG70" i="23" s="1"/>
  <c r="AI70" i="23" s="1"/>
  <c r="Y70" i="23"/>
  <c r="AG69" i="23"/>
  <c r="AI69" i="23" s="1"/>
  <c r="AE69" i="23"/>
  <c r="AD69" i="23"/>
  <c r="AC69" i="23"/>
  <c r="AB69" i="23"/>
  <c r="AA69" i="23"/>
  <c r="Z69" i="23"/>
  <c r="Y69" i="23"/>
  <c r="AE68" i="23"/>
  <c r="AD68" i="23"/>
  <c r="AB68" i="23"/>
  <c r="AA68" i="23"/>
  <c r="Z68" i="23"/>
  <c r="Y68" i="23"/>
  <c r="Y67" i="23"/>
  <c r="P70" i="23"/>
  <c r="T70" i="23" s="1"/>
  <c r="V70" i="23" s="1"/>
  <c r="P71" i="23"/>
  <c r="T71" i="23" s="1"/>
  <c r="V71" i="23" s="1"/>
  <c r="P72" i="23"/>
  <c r="T72" i="23" s="1"/>
  <c r="V72" i="23" s="1"/>
  <c r="P73" i="23"/>
  <c r="T73" i="23" s="1"/>
  <c r="V73" i="23" s="1"/>
  <c r="P74" i="23"/>
  <c r="P75" i="23"/>
  <c r="T75" i="23" s="1"/>
  <c r="V75" i="23" s="1"/>
  <c r="P76" i="23"/>
  <c r="P77" i="23"/>
  <c r="T77" i="23" s="1"/>
  <c r="V77" i="23" s="1"/>
  <c r="P78" i="23"/>
  <c r="P79" i="23"/>
  <c r="T79" i="23" s="1"/>
  <c r="V79" i="23" s="1"/>
  <c r="P80" i="23"/>
  <c r="T80" i="23" s="1"/>
  <c r="V80" i="23" s="1"/>
  <c r="P81" i="23"/>
  <c r="T81" i="23" s="1"/>
  <c r="V81" i="23" s="1"/>
  <c r="T82" i="23"/>
  <c r="V82" i="23" s="1"/>
  <c r="P83" i="23"/>
  <c r="T83" i="23" s="1"/>
  <c r="V83" i="23" s="1"/>
  <c r="P69" i="23"/>
  <c r="T69" i="23" s="1"/>
  <c r="V69" i="23" s="1"/>
  <c r="S50" i="23"/>
  <c r="T78" i="23"/>
  <c r="V78" i="23" s="1"/>
  <c r="T76" i="23"/>
  <c r="V76" i="23" s="1"/>
  <c r="T74" i="23"/>
  <c r="V74" i="23" s="1"/>
  <c r="Q68" i="23"/>
  <c r="R68" i="23"/>
  <c r="Q69" i="23"/>
  <c r="R69" i="23"/>
  <c r="Q70" i="23"/>
  <c r="R70" i="23"/>
  <c r="Q71" i="23"/>
  <c r="R71" i="23"/>
  <c r="Q72" i="23"/>
  <c r="R72" i="23"/>
  <c r="Q73" i="23"/>
  <c r="R73" i="23"/>
  <c r="Q74" i="23"/>
  <c r="R74" i="23"/>
  <c r="Q75" i="23"/>
  <c r="R75" i="23"/>
  <c r="Q76" i="23"/>
  <c r="R76" i="23"/>
  <c r="Q77" i="23"/>
  <c r="R77" i="23"/>
  <c r="Q78" i="23"/>
  <c r="R78" i="23"/>
  <c r="Q79" i="23"/>
  <c r="R79" i="23"/>
  <c r="Q80" i="23"/>
  <c r="R80" i="23"/>
  <c r="Q81" i="23"/>
  <c r="R81" i="23"/>
  <c r="Q82" i="23"/>
  <c r="R82" i="23"/>
  <c r="Q83" i="23"/>
  <c r="R83" i="23"/>
  <c r="L68" i="23"/>
  <c r="M68" i="23"/>
  <c r="N68" i="23"/>
  <c r="O68" i="23"/>
  <c r="L69" i="23"/>
  <c r="M69" i="23"/>
  <c r="N69" i="23"/>
  <c r="O69" i="23"/>
  <c r="L70" i="23"/>
  <c r="M70" i="23"/>
  <c r="N70" i="23"/>
  <c r="O70" i="23"/>
  <c r="L71" i="23"/>
  <c r="M71" i="23"/>
  <c r="N71" i="23"/>
  <c r="O71" i="23"/>
  <c r="L72" i="23"/>
  <c r="M72" i="23"/>
  <c r="N72" i="23"/>
  <c r="O72" i="23"/>
  <c r="L73" i="23"/>
  <c r="M73" i="23"/>
  <c r="N73" i="23"/>
  <c r="O73" i="23"/>
  <c r="L74" i="23"/>
  <c r="M74" i="23"/>
  <c r="N74" i="23"/>
  <c r="O74" i="23"/>
  <c r="L75" i="23"/>
  <c r="M75" i="23"/>
  <c r="N75" i="23"/>
  <c r="O75" i="23"/>
  <c r="L76" i="23"/>
  <c r="M76" i="23"/>
  <c r="N76" i="23"/>
  <c r="O76" i="23"/>
  <c r="L77" i="23"/>
  <c r="M77" i="23"/>
  <c r="N77" i="23"/>
  <c r="O77" i="23"/>
  <c r="L78" i="23"/>
  <c r="M78" i="23"/>
  <c r="N78" i="23"/>
  <c r="O78" i="23"/>
  <c r="L79" i="23"/>
  <c r="M79" i="23"/>
  <c r="N79" i="23"/>
  <c r="O79" i="23"/>
  <c r="L80" i="23"/>
  <c r="M80" i="23"/>
  <c r="N80" i="23"/>
  <c r="O80" i="23"/>
  <c r="L81" i="23"/>
  <c r="M81" i="23"/>
  <c r="N81" i="23"/>
  <c r="O81" i="23"/>
  <c r="L82" i="23"/>
  <c r="M82" i="23"/>
  <c r="N82" i="23"/>
  <c r="O82" i="23"/>
  <c r="L83" i="23"/>
  <c r="M83" i="23"/>
  <c r="N83" i="23"/>
  <c r="O83" i="23"/>
  <c r="L67" i="23"/>
  <c r="H68" i="16"/>
  <c r="B68" i="23"/>
  <c r="B69" i="23"/>
  <c r="D69" i="23"/>
  <c r="H69" i="23"/>
  <c r="B70" i="23"/>
  <c r="D70" i="23"/>
  <c r="H70" i="23"/>
  <c r="B71" i="23"/>
  <c r="D71" i="23"/>
  <c r="H71" i="23"/>
  <c r="B72" i="23"/>
  <c r="D72" i="23"/>
  <c r="H72" i="23"/>
  <c r="B73" i="23"/>
  <c r="D73" i="23"/>
  <c r="H73" i="23"/>
  <c r="B74" i="23"/>
  <c r="D74" i="23"/>
  <c r="H74" i="23"/>
  <c r="B75" i="23"/>
  <c r="D75" i="23"/>
  <c r="H75" i="23"/>
  <c r="B76" i="23"/>
  <c r="D76" i="23"/>
  <c r="H76" i="23"/>
  <c r="B77" i="23"/>
  <c r="D77" i="23"/>
  <c r="H77" i="23"/>
  <c r="B78" i="23"/>
  <c r="D78" i="23"/>
  <c r="H78" i="23"/>
  <c r="B79" i="23"/>
  <c r="D79" i="23"/>
  <c r="H79" i="23"/>
  <c r="B80" i="23"/>
  <c r="D80" i="23"/>
  <c r="H80" i="23"/>
  <c r="B81" i="23"/>
  <c r="D81" i="23"/>
  <c r="H81" i="23"/>
  <c r="B82" i="23"/>
  <c r="D82" i="23"/>
  <c r="H82" i="23"/>
  <c r="B83" i="23"/>
  <c r="D83" i="23"/>
  <c r="H83" i="23"/>
  <c r="L50" i="23"/>
  <c r="D92" i="22"/>
  <c r="C14" i="24" l="1"/>
  <c r="C15" i="24" s="1"/>
  <c r="C18" i="24" s="1"/>
  <c r="I7" i="17"/>
  <c r="I8" i="17"/>
  <c r="J275" i="12"/>
  <c r="B281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75" i="12"/>
  <c r="L63" i="23"/>
  <c r="L62" i="23"/>
  <c r="L61" i="23"/>
  <c r="L60" i="23"/>
  <c r="L59" i="23"/>
  <c r="L58" i="23"/>
  <c r="L57" i="23"/>
  <c r="L56" i="23"/>
  <c r="L55" i="23"/>
  <c r="L54" i="23"/>
  <c r="L53" i="23"/>
  <c r="L52" i="23"/>
  <c r="L51" i="23"/>
  <c r="L49" i="23"/>
  <c r="L48" i="23"/>
  <c r="C48" i="23"/>
  <c r="D48" i="23"/>
  <c r="E48" i="23"/>
  <c r="I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B28" i="22"/>
  <c r="AJ30" i="23"/>
  <c r="AJ31" i="23"/>
  <c r="AJ32" i="23"/>
  <c r="AJ33" i="23"/>
  <c r="AJ34" i="23"/>
  <c r="AJ35" i="23"/>
  <c r="AJ36" i="23"/>
  <c r="AJ37" i="23"/>
  <c r="AJ38" i="23"/>
  <c r="AJ39" i="23"/>
  <c r="AJ40" i="23"/>
  <c r="AJ41" i="23"/>
  <c r="AJ42" i="23"/>
  <c r="AJ43" i="23"/>
  <c r="AJ29" i="23"/>
  <c r="AP47" i="23"/>
  <c r="AN48" i="23"/>
  <c r="AN49" i="23"/>
  <c r="AN50" i="23"/>
  <c r="AN51" i="23"/>
  <c r="AN52" i="23"/>
  <c r="AN47" i="23"/>
  <c r="AS2" i="23"/>
  <c r="CA47" i="23"/>
  <c r="BY47" i="23"/>
  <c r="BW47" i="23"/>
  <c r="AT30" i="23"/>
  <c r="AT31" i="23"/>
  <c r="AV31" i="23"/>
  <c r="AT32" i="23"/>
  <c r="AV32" i="23"/>
  <c r="AT33" i="23"/>
  <c r="AV33" i="23"/>
  <c r="AT34" i="23"/>
  <c r="AV34" i="23"/>
  <c r="AT35" i="23"/>
  <c r="AV35" i="23"/>
  <c r="AT36" i="23"/>
  <c r="AV36" i="23"/>
  <c r="AT37" i="23"/>
  <c r="AV37" i="23"/>
  <c r="AT38" i="23"/>
  <c r="AV38" i="23"/>
  <c r="AT39" i="23"/>
  <c r="AV39" i="23"/>
  <c r="AT40" i="23"/>
  <c r="AV40" i="23"/>
  <c r="AT41" i="23"/>
  <c r="AV41" i="23"/>
  <c r="AT42" i="23"/>
  <c r="AV42" i="23"/>
  <c r="AT43" i="23"/>
  <c r="AV43" i="23"/>
  <c r="AG30" i="23"/>
  <c r="AI30" i="23" s="1"/>
  <c r="AG31" i="23"/>
  <c r="AI31" i="23"/>
  <c r="AG32" i="23"/>
  <c r="AI32" i="23" s="1"/>
  <c r="AG33" i="23"/>
  <c r="AI33" i="23"/>
  <c r="AG34" i="23"/>
  <c r="AI34" i="23" s="1"/>
  <c r="AG35" i="23"/>
  <c r="AI35" i="23"/>
  <c r="AG36" i="23"/>
  <c r="AI36" i="23" s="1"/>
  <c r="AG37" i="23"/>
  <c r="AI37" i="23"/>
  <c r="AG38" i="23"/>
  <c r="AI38" i="23" s="1"/>
  <c r="AG39" i="23"/>
  <c r="AI39" i="23"/>
  <c r="AG40" i="23"/>
  <c r="AI40" i="23" s="1"/>
  <c r="AG41" i="23"/>
  <c r="AI41" i="23"/>
  <c r="AG42" i="23"/>
  <c r="AI42" i="23" s="1"/>
  <c r="AG43" i="23"/>
  <c r="AI43" i="23"/>
  <c r="AT29" i="23"/>
  <c r="AV29" i="23" s="1"/>
  <c r="AG29" i="23"/>
  <c r="AI29" i="23" s="1"/>
  <c r="U237" i="10"/>
  <c r="V237" i="10"/>
  <c r="W237" i="10"/>
  <c r="X237" i="10"/>
  <c r="Y237" i="10"/>
  <c r="Z237" i="10"/>
  <c r="AA237" i="10"/>
  <c r="AB237" i="10"/>
  <c r="AC237" i="10"/>
  <c r="AD237" i="10"/>
  <c r="AE237" i="10"/>
  <c r="AF237" i="10"/>
  <c r="AG237" i="10"/>
  <c r="AH237" i="10"/>
  <c r="T237" i="10"/>
  <c r="U134" i="11"/>
  <c r="V134" i="11"/>
  <c r="W134" i="11"/>
  <c r="X134" i="11"/>
  <c r="Y134" i="11"/>
  <c r="Z134" i="11"/>
  <c r="AA134" i="11"/>
  <c r="AB134" i="11"/>
  <c r="AC134" i="11"/>
  <c r="AD134" i="11"/>
  <c r="AE134" i="11"/>
  <c r="AF134" i="11"/>
  <c r="AG134" i="11"/>
  <c r="AH134" i="11"/>
  <c r="T134" i="11"/>
  <c r="BB9" i="23"/>
  <c r="BC9" i="23"/>
  <c r="BB10" i="23"/>
  <c r="BC10" i="23"/>
  <c r="BB11" i="23"/>
  <c r="BC11" i="23"/>
  <c r="BB12" i="23"/>
  <c r="BC12" i="23"/>
  <c r="BB13" i="23"/>
  <c r="BC13" i="23"/>
  <c r="BC14" i="23"/>
  <c r="BB15" i="23"/>
  <c r="BC15" i="23"/>
  <c r="BB16" i="23"/>
  <c r="BC16" i="23"/>
  <c r="BB17" i="23"/>
  <c r="BC17" i="23"/>
  <c r="BB18" i="23"/>
  <c r="BC18" i="23"/>
  <c r="BB19" i="23"/>
  <c r="BC19" i="23"/>
  <c r="BB20" i="23"/>
  <c r="BC20" i="23"/>
  <c r="BB21" i="23"/>
  <c r="BC21" i="23"/>
  <c r="BB22" i="23"/>
  <c r="BC22" i="23"/>
  <c r="BC8" i="23"/>
  <c r="BB8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C136" i="11"/>
  <c r="C141" i="11" s="1"/>
  <c r="T43" i="23"/>
  <c r="V43" i="23" s="1"/>
  <c r="T42" i="23"/>
  <c r="V42" i="23" s="1"/>
  <c r="T41" i="23"/>
  <c r="V41" i="23" s="1"/>
  <c r="T40" i="23"/>
  <c r="V40" i="23" s="1"/>
  <c r="T39" i="23"/>
  <c r="V39" i="23" s="1"/>
  <c r="T38" i="23"/>
  <c r="V38" i="23" s="1"/>
  <c r="T37" i="23"/>
  <c r="V37" i="23" s="1"/>
  <c r="T36" i="23"/>
  <c r="V36" i="23" s="1"/>
  <c r="T35" i="23"/>
  <c r="V35" i="23" s="1"/>
  <c r="T34" i="23"/>
  <c r="V34" i="23" s="1"/>
  <c r="T33" i="23"/>
  <c r="V33" i="23" s="1"/>
  <c r="T32" i="23"/>
  <c r="V32" i="23" s="1"/>
  <c r="T31" i="23"/>
  <c r="V31" i="23" s="1"/>
  <c r="T30" i="23"/>
  <c r="V30" i="23" s="1"/>
  <c r="T29" i="23"/>
  <c r="V29" i="23" s="1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24" i="6"/>
  <c r="G324" i="6"/>
  <c r="E82" i="22"/>
  <c r="C75" i="22"/>
  <c r="C74" i="22"/>
  <c r="C70" i="22"/>
  <c r="C69" i="22"/>
  <c r="C60" i="22"/>
  <c r="C214" i="10"/>
  <c r="C218" i="10"/>
  <c r="C82" i="22"/>
  <c r="C79" i="22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29" i="23"/>
  <c r="AM30" i="23"/>
  <c r="AN30" i="23"/>
  <c r="AO30" i="23"/>
  <c r="AM31" i="23"/>
  <c r="AN31" i="23"/>
  <c r="AO31" i="23"/>
  <c r="AM32" i="23"/>
  <c r="AN32" i="23"/>
  <c r="AO32" i="23"/>
  <c r="AM33" i="23"/>
  <c r="AN33" i="23"/>
  <c r="AO33" i="23"/>
  <c r="AM34" i="23"/>
  <c r="AN34" i="23"/>
  <c r="AO34" i="23"/>
  <c r="AM35" i="23"/>
  <c r="AN35" i="23"/>
  <c r="AO35" i="23"/>
  <c r="AM36" i="23"/>
  <c r="AN36" i="23"/>
  <c r="AO36" i="23"/>
  <c r="AM37" i="23"/>
  <c r="AN37" i="23"/>
  <c r="AO37" i="23"/>
  <c r="AM38" i="23"/>
  <c r="AN38" i="23"/>
  <c r="AO38" i="23"/>
  <c r="AM39" i="23"/>
  <c r="AN39" i="23"/>
  <c r="AO39" i="23"/>
  <c r="AM40" i="23"/>
  <c r="AN40" i="23"/>
  <c r="AO40" i="23"/>
  <c r="AM41" i="23"/>
  <c r="AN41" i="23"/>
  <c r="AO41" i="23"/>
  <c r="AM42" i="23"/>
  <c r="AN42" i="23"/>
  <c r="AO42" i="23"/>
  <c r="AM43" i="23"/>
  <c r="AN43" i="23"/>
  <c r="AO43" i="23"/>
  <c r="Z30" i="23"/>
  <c r="AA30" i="23"/>
  <c r="AB30" i="23"/>
  <c r="AC30" i="23"/>
  <c r="Z31" i="23"/>
  <c r="AA31" i="23"/>
  <c r="AB31" i="23"/>
  <c r="AC31" i="23"/>
  <c r="Z32" i="23"/>
  <c r="AA32" i="23"/>
  <c r="AB32" i="23"/>
  <c r="AC32" i="23"/>
  <c r="Z33" i="23"/>
  <c r="AA33" i="23"/>
  <c r="AB33" i="23"/>
  <c r="AC33" i="23"/>
  <c r="Z34" i="23"/>
  <c r="AA34" i="23"/>
  <c r="AB34" i="23"/>
  <c r="AC34" i="23"/>
  <c r="Z35" i="23"/>
  <c r="AA35" i="23"/>
  <c r="AB35" i="23"/>
  <c r="AC35" i="23"/>
  <c r="Z36" i="23"/>
  <c r="AA36" i="23"/>
  <c r="AB36" i="23"/>
  <c r="AC36" i="23"/>
  <c r="Z37" i="23"/>
  <c r="AA37" i="23"/>
  <c r="AB37" i="23"/>
  <c r="AC37" i="23"/>
  <c r="Z38" i="23"/>
  <c r="AA38" i="23"/>
  <c r="AB38" i="23"/>
  <c r="AC38" i="23"/>
  <c r="Z39" i="23"/>
  <c r="AA39" i="23"/>
  <c r="AB39" i="23"/>
  <c r="AC39" i="23"/>
  <c r="Z40" i="23"/>
  <c r="AA40" i="23"/>
  <c r="AB40" i="23"/>
  <c r="AC40" i="23"/>
  <c r="Z41" i="23"/>
  <c r="AA41" i="23"/>
  <c r="AB41" i="23"/>
  <c r="AC41" i="23"/>
  <c r="Z42" i="23"/>
  <c r="AA42" i="23"/>
  <c r="AB42" i="23"/>
  <c r="AC42" i="23"/>
  <c r="Z43" i="23"/>
  <c r="AA43" i="23"/>
  <c r="AB43" i="23"/>
  <c r="AC43" i="23"/>
  <c r="AC29" i="23"/>
  <c r="AB29" i="23"/>
  <c r="AO29" i="23"/>
  <c r="AM29" i="23"/>
  <c r="Z29" i="23"/>
  <c r="AN29" i="23"/>
  <c r="AA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29" i="23"/>
  <c r="N30" i="23"/>
  <c r="N31" i="23"/>
  <c r="N32" i="23"/>
  <c r="N33" i="23"/>
  <c r="N34" i="23"/>
  <c r="N35" i="23"/>
  <c r="N36" i="23"/>
  <c r="N37" i="23"/>
  <c r="N38" i="23"/>
  <c r="N39" i="23"/>
  <c r="N40" i="23"/>
  <c r="N41" i="23"/>
  <c r="N42" i="23"/>
  <c r="N43" i="23"/>
  <c r="N29" i="23"/>
  <c r="M30" i="23"/>
  <c r="M31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29" i="23"/>
  <c r="N3" i="23"/>
  <c r="M19" i="23"/>
  <c r="CH10" i="23"/>
  <c r="CF10" i="23"/>
  <c r="CC11" i="23"/>
  <c r="CD11" i="23"/>
  <c r="CC12" i="23"/>
  <c r="CD12" i="23"/>
  <c r="CC13" i="23"/>
  <c r="CD13" i="23"/>
  <c r="CC14" i="23"/>
  <c r="CD14" i="23"/>
  <c r="CC15" i="23"/>
  <c r="CD15" i="23"/>
  <c r="CD10" i="23"/>
  <c r="CC10" i="23"/>
  <c r="CA10" i="23"/>
  <c r="BY10" i="23"/>
  <c r="BV24" i="23"/>
  <c r="BW24" i="23"/>
  <c r="BV11" i="23"/>
  <c r="BW11" i="23"/>
  <c r="BV12" i="23"/>
  <c r="BW12" i="23"/>
  <c r="BV13" i="23"/>
  <c r="BW13" i="23"/>
  <c r="BV14" i="23"/>
  <c r="BW14" i="23"/>
  <c r="BV15" i="23"/>
  <c r="BW15" i="23"/>
  <c r="BV16" i="23"/>
  <c r="BW16" i="23"/>
  <c r="BV17" i="23"/>
  <c r="BW17" i="23"/>
  <c r="BV18" i="23"/>
  <c r="BW18" i="23"/>
  <c r="BV19" i="23"/>
  <c r="BW19" i="23"/>
  <c r="BV20" i="23"/>
  <c r="BW20" i="23"/>
  <c r="BV21" i="23"/>
  <c r="BW21" i="23"/>
  <c r="BV22" i="23"/>
  <c r="BW22" i="23"/>
  <c r="BV23" i="23"/>
  <c r="BW23" i="23"/>
  <c r="BW10" i="23"/>
  <c r="BV10" i="23"/>
  <c r="D70" i="22"/>
  <c r="C66" i="22"/>
  <c r="F61" i="22"/>
  <c r="AN16" i="23"/>
  <c r="AA16" i="23"/>
  <c r="C63" i="22"/>
  <c r="AT22" i="23" l="1"/>
  <c r="AV22" i="23" s="1"/>
  <c r="AT21" i="23"/>
  <c r="AV21" i="23" s="1"/>
  <c r="AT20" i="23"/>
  <c r="AV20" i="23" s="1"/>
  <c r="AT19" i="23"/>
  <c r="AV19" i="23" s="1"/>
  <c r="AT18" i="23"/>
  <c r="AV18" i="23" s="1"/>
  <c r="AT17" i="23"/>
  <c r="AV17" i="23" s="1"/>
  <c r="AT15" i="23"/>
  <c r="AV15" i="23" s="1"/>
  <c r="AT14" i="23"/>
  <c r="AV14" i="23" s="1"/>
  <c r="AT13" i="23"/>
  <c r="AV13" i="23" s="1"/>
  <c r="AT12" i="23"/>
  <c r="AV12" i="23" s="1"/>
  <c r="AT11" i="23"/>
  <c r="AV11" i="23" s="1"/>
  <c r="AT10" i="23"/>
  <c r="AV10" i="23" s="1"/>
  <c r="AT9" i="23"/>
  <c r="AV9" i="23" s="1"/>
  <c r="AT8" i="23"/>
  <c r="AV8" i="23" s="1"/>
  <c r="T286" i="10"/>
  <c r="U286" i="10"/>
  <c r="V286" i="10"/>
  <c r="W286" i="10"/>
  <c r="X286" i="10"/>
  <c r="Y286" i="10"/>
  <c r="Z286" i="10"/>
  <c r="AA286" i="10"/>
  <c r="AB286" i="10"/>
  <c r="AC286" i="10"/>
  <c r="AD286" i="10"/>
  <c r="AE286" i="10"/>
  <c r="AF286" i="10"/>
  <c r="AG286" i="10"/>
  <c r="S286" i="10"/>
  <c r="Q368" i="10"/>
  <c r="P368" i="10"/>
  <c r="O368" i="10"/>
  <c r="N368" i="10"/>
  <c r="M368" i="10"/>
  <c r="L368" i="10"/>
  <c r="K368" i="10"/>
  <c r="J368" i="10"/>
  <c r="I368" i="10"/>
  <c r="H368" i="10"/>
  <c r="G368" i="10"/>
  <c r="F368" i="10"/>
  <c r="E368" i="10"/>
  <c r="D368" i="10"/>
  <c r="C368" i="10"/>
  <c r="AG8" i="23"/>
  <c r="AI8" i="23" s="1"/>
  <c r="AG9" i="23"/>
  <c r="AG10" i="23"/>
  <c r="AI10" i="23" s="1"/>
  <c r="AG11" i="23"/>
  <c r="AI11" i="23" s="1"/>
  <c r="AG12" i="23"/>
  <c r="AG13" i="23"/>
  <c r="AI13" i="23" s="1"/>
  <c r="AI14" i="23"/>
  <c r="BB14" i="23" s="1"/>
  <c r="AG15" i="23"/>
  <c r="AI15" i="23" s="1"/>
  <c r="AG17" i="23"/>
  <c r="AG18" i="23"/>
  <c r="AI18" i="23" s="1"/>
  <c r="AG19" i="23"/>
  <c r="AI19" i="23" s="1"/>
  <c r="AG20" i="23"/>
  <c r="AI20" i="23" s="1"/>
  <c r="AG21" i="23"/>
  <c r="AI21" i="23" s="1"/>
  <c r="AG22" i="23"/>
  <c r="AI22" i="23" s="1"/>
  <c r="AG16" i="23"/>
  <c r="AI16" i="23" s="1"/>
  <c r="AI12" i="23"/>
  <c r="AI17" i="23"/>
  <c r="T188" i="11"/>
  <c r="U188" i="11"/>
  <c r="V188" i="11"/>
  <c r="W188" i="11"/>
  <c r="X188" i="11"/>
  <c r="Y188" i="11"/>
  <c r="Z188" i="11"/>
  <c r="AA188" i="11"/>
  <c r="AB188" i="11"/>
  <c r="AC188" i="11"/>
  <c r="AD188" i="11"/>
  <c r="AE188" i="11"/>
  <c r="AF188" i="11"/>
  <c r="AG188" i="11"/>
  <c r="D248" i="11"/>
  <c r="E248" i="11"/>
  <c r="F248" i="11"/>
  <c r="G248" i="11"/>
  <c r="H248" i="11"/>
  <c r="I248" i="11"/>
  <c r="J248" i="11"/>
  <c r="K248" i="11"/>
  <c r="L248" i="11"/>
  <c r="M248" i="11"/>
  <c r="N248" i="11"/>
  <c r="O248" i="11"/>
  <c r="P248" i="11"/>
  <c r="Q248" i="11"/>
  <c r="D245" i="11"/>
  <c r="E245" i="11"/>
  <c r="F245" i="11"/>
  <c r="G245" i="11"/>
  <c r="H245" i="11"/>
  <c r="I245" i="11"/>
  <c r="J245" i="11"/>
  <c r="K245" i="11"/>
  <c r="L245" i="11"/>
  <c r="M245" i="11"/>
  <c r="N245" i="11"/>
  <c r="O245" i="11"/>
  <c r="P245" i="11"/>
  <c r="Q245" i="11"/>
  <c r="AT16" i="23"/>
  <c r="AV16" i="23" s="1"/>
  <c r="Y136" i="12"/>
  <c r="Y137" i="12"/>
  <c r="Y138" i="12"/>
  <c r="Y139" i="12"/>
  <c r="Y140" i="12"/>
  <c r="Y141" i="12"/>
  <c r="Y142" i="12"/>
  <c r="Y143" i="12"/>
  <c r="Y145" i="12"/>
  <c r="Y146" i="12"/>
  <c r="Y147" i="12"/>
  <c r="Y148" i="12"/>
  <c r="Y149" i="12"/>
  <c r="Y150" i="12"/>
  <c r="Y151" i="12"/>
  <c r="Y152" i="12"/>
  <c r="Y154" i="12"/>
  <c r="Y155" i="12"/>
  <c r="Y156" i="12"/>
  <c r="Y157" i="12"/>
  <c r="Y158" i="12"/>
  <c r="Y159" i="12"/>
  <c r="Y160" i="12"/>
  <c r="Y134" i="12"/>
  <c r="Y117" i="12"/>
  <c r="Y118" i="12"/>
  <c r="Y119" i="12"/>
  <c r="Y120" i="12"/>
  <c r="Y121" i="12"/>
  <c r="Y122" i="12"/>
  <c r="Y123" i="12"/>
  <c r="Y124" i="12"/>
  <c r="Y125" i="12"/>
  <c r="Y126" i="12"/>
  <c r="Y127" i="12"/>
  <c r="Y128" i="12"/>
  <c r="Y129" i="12"/>
  <c r="Y130" i="12"/>
  <c r="Y131" i="12"/>
  <c r="Y132" i="12"/>
  <c r="Y133" i="12"/>
  <c r="J45" i="22"/>
  <c r="J48" i="22" s="1"/>
  <c r="Y56" i="22"/>
  <c r="Y43" i="22"/>
  <c r="Y44" i="22"/>
  <c r="Y45" i="22"/>
  <c r="Y46" i="22"/>
  <c r="Y47" i="22"/>
  <c r="Y48" i="22"/>
  <c r="Y49" i="22"/>
  <c r="Y50" i="22"/>
  <c r="Y51" i="22"/>
  <c r="Y52" i="22"/>
  <c r="Y53" i="22"/>
  <c r="Y54" i="22"/>
  <c r="Y55" i="22"/>
  <c r="Y42" i="22"/>
  <c r="E48" i="22"/>
  <c r="F48" i="22"/>
  <c r="G48" i="22"/>
  <c r="I48" i="22"/>
  <c r="I51" i="22" s="1"/>
  <c r="I52" i="22" s="1"/>
  <c r="K48" i="22"/>
  <c r="L48" i="22"/>
  <c r="N48" i="22"/>
  <c r="O48" i="22"/>
  <c r="O51" i="22" s="1"/>
  <c r="O52" i="22" s="1"/>
  <c r="P48" i="22"/>
  <c r="C46" i="22"/>
  <c r="C49" i="22" s="1"/>
  <c r="D44" i="22"/>
  <c r="D46" i="22" s="1"/>
  <c r="D49" i="22" s="1"/>
  <c r="E44" i="22"/>
  <c r="E46" i="22" s="1"/>
  <c r="E49" i="22" s="1"/>
  <c r="F44" i="22"/>
  <c r="F46" i="22" s="1"/>
  <c r="F49" i="22" s="1"/>
  <c r="G44" i="22"/>
  <c r="G46" i="22" s="1"/>
  <c r="G49" i="22" s="1"/>
  <c r="H44" i="22"/>
  <c r="H46" i="22" s="1"/>
  <c r="H49" i="22" s="1"/>
  <c r="I44" i="22"/>
  <c r="I46" i="22" s="1"/>
  <c r="I49" i="22" s="1"/>
  <c r="J44" i="22"/>
  <c r="J46" i="22" s="1"/>
  <c r="J49" i="22" s="1"/>
  <c r="K44" i="22"/>
  <c r="K46" i="22" s="1"/>
  <c r="K49" i="22" s="1"/>
  <c r="L44" i="22"/>
  <c r="L46" i="22" s="1"/>
  <c r="L49" i="22" s="1"/>
  <c r="M44" i="22"/>
  <c r="M46" i="22" s="1"/>
  <c r="M49" i="22" s="1"/>
  <c r="N44" i="22"/>
  <c r="N46" i="22" s="1"/>
  <c r="N49" i="22" s="1"/>
  <c r="N51" i="22" s="1"/>
  <c r="N52" i="22" s="1"/>
  <c r="O44" i="22"/>
  <c r="O46" i="22" s="1"/>
  <c r="O49" i="22" s="1"/>
  <c r="P44" i="22"/>
  <c r="P46" i="22" s="1"/>
  <c r="P49" i="22" s="1"/>
  <c r="Q44" i="22"/>
  <c r="Q46" i="22" s="1"/>
  <c r="Q49" i="22" s="1"/>
  <c r="D45" i="22"/>
  <c r="D48" i="22" s="1"/>
  <c r="E45" i="22"/>
  <c r="F45" i="22"/>
  <c r="G45" i="22"/>
  <c r="H45" i="22"/>
  <c r="H48" i="22" s="1"/>
  <c r="I45" i="22"/>
  <c r="K45" i="22"/>
  <c r="L45" i="22"/>
  <c r="M45" i="22"/>
  <c r="M48" i="22" s="1"/>
  <c r="M51" i="22" s="1"/>
  <c r="M52" i="22" s="1"/>
  <c r="N45" i="22"/>
  <c r="O45" i="22"/>
  <c r="P45" i="22"/>
  <c r="Q45" i="22"/>
  <c r="Q48" i="22" s="1"/>
  <c r="Q51" i="22" s="1"/>
  <c r="Q52" i="22" s="1"/>
  <c r="C45" i="22"/>
  <c r="C48" i="22" s="1"/>
  <c r="C51" i="22" s="1"/>
  <c r="C52" i="22" s="1"/>
  <c r="C44" i="22"/>
  <c r="D43" i="22"/>
  <c r="E43" i="22"/>
  <c r="F43" i="22"/>
  <c r="G43" i="22"/>
  <c r="H43" i="22"/>
  <c r="I43" i="22"/>
  <c r="J43" i="22"/>
  <c r="K43" i="22"/>
  <c r="L43" i="22"/>
  <c r="M43" i="22"/>
  <c r="N43" i="22"/>
  <c r="O43" i="22"/>
  <c r="P43" i="22"/>
  <c r="Q43" i="22"/>
  <c r="C43" i="22"/>
  <c r="Q9" i="23"/>
  <c r="Q8" i="23" s="1"/>
  <c r="Q10" i="23"/>
  <c r="Q11" i="23"/>
  <c r="Q12" i="23"/>
  <c r="Q13" i="23"/>
  <c r="Q14" i="23"/>
  <c r="Q17" i="23"/>
  <c r="Q18" i="23"/>
  <c r="Q19" i="23"/>
  <c r="Q20" i="23"/>
  <c r="Q21" i="23"/>
  <c r="Q22" i="23"/>
  <c r="R8" i="23"/>
  <c r="R9" i="23"/>
  <c r="R10" i="23"/>
  <c r="R11" i="23"/>
  <c r="R12" i="23"/>
  <c r="R13" i="23"/>
  <c r="R14" i="23"/>
  <c r="R15" i="23"/>
  <c r="R16" i="23"/>
  <c r="R17" i="23"/>
  <c r="R18" i="23"/>
  <c r="R19" i="23"/>
  <c r="R20" i="23"/>
  <c r="R21" i="23"/>
  <c r="R22" i="23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C220" i="10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299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24" i="6"/>
  <c r="C289" i="10"/>
  <c r="C63" i="13"/>
  <c r="C70" i="13"/>
  <c r="L277" i="6"/>
  <c r="M277" i="6"/>
  <c r="N277" i="6"/>
  <c r="O277" i="6"/>
  <c r="P277" i="6"/>
  <c r="Q277" i="6"/>
  <c r="K275" i="6"/>
  <c r="L275" i="6"/>
  <c r="M275" i="6"/>
  <c r="N275" i="6"/>
  <c r="O275" i="6"/>
  <c r="P275" i="6"/>
  <c r="Q275" i="6"/>
  <c r="Y275" i="6"/>
  <c r="K274" i="6"/>
  <c r="L274" i="6"/>
  <c r="M274" i="6"/>
  <c r="N274" i="6"/>
  <c r="O274" i="6"/>
  <c r="P274" i="6"/>
  <c r="Q274" i="6"/>
  <c r="Y274" i="6"/>
  <c r="L252" i="6"/>
  <c r="M252" i="6"/>
  <c r="N252" i="6"/>
  <c r="O252" i="6"/>
  <c r="P252" i="6"/>
  <c r="Q252" i="6"/>
  <c r="Y252" i="6"/>
  <c r="K253" i="6"/>
  <c r="L253" i="6"/>
  <c r="M253" i="6"/>
  <c r="N253" i="6"/>
  <c r="O253" i="6"/>
  <c r="P253" i="6"/>
  <c r="Q253" i="6"/>
  <c r="Y253" i="6"/>
  <c r="K254" i="6"/>
  <c r="L254" i="6"/>
  <c r="M254" i="6"/>
  <c r="N254" i="6"/>
  <c r="O254" i="6"/>
  <c r="P254" i="6"/>
  <c r="Q254" i="6"/>
  <c r="Y254" i="6"/>
  <c r="K255" i="6"/>
  <c r="L255" i="6"/>
  <c r="M255" i="6"/>
  <c r="N255" i="6"/>
  <c r="O255" i="6"/>
  <c r="P255" i="6"/>
  <c r="Q255" i="6"/>
  <c r="Y255" i="6"/>
  <c r="K256" i="6"/>
  <c r="L256" i="6"/>
  <c r="M256" i="6"/>
  <c r="N256" i="6"/>
  <c r="O256" i="6"/>
  <c r="P256" i="6"/>
  <c r="Q256" i="6"/>
  <c r="Y256" i="6"/>
  <c r="K257" i="6"/>
  <c r="L257" i="6"/>
  <c r="M257" i="6"/>
  <c r="N257" i="6"/>
  <c r="O257" i="6"/>
  <c r="P257" i="6"/>
  <c r="Q257" i="6"/>
  <c r="Y257" i="6"/>
  <c r="K258" i="6"/>
  <c r="L258" i="6"/>
  <c r="M258" i="6"/>
  <c r="N258" i="6"/>
  <c r="O258" i="6"/>
  <c r="P258" i="6"/>
  <c r="Q258" i="6"/>
  <c r="Y258" i="6"/>
  <c r="K259" i="6"/>
  <c r="L259" i="6"/>
  <c r="M259" i="6"/>
  <c r="N259" i="6"/>
  <c r="O259" i="6"/>
  <c r="P259" i="6"/>
  <c r="Q259" i="6"/>
  <c r="Y259" i="6"/>
  <c r="K260" i="6"/>
  <c r="L260" i="6"/>
  <c r="M260" i="6"/>
  <c r="N260" i="6"/>
  <c r="O260" i="6"/>
  <c r="P260" i="6"/>
  <c r="Q260" i="6"/>
  <c r="Y260" i="6"/>
  <c r="K261" i="6"/>
  <c r="L261" i="6"/>
  <c r="M261" i="6"/>
  <c r="N261" i="6"/>
  <c r="O261" i="6"/>
  <c r="P261" i="6"/>
  <c r="Q261" i="6"/>
  <c r="Y261" i="6"/>
  <c r="K262" i="6"/>
  <c r="L262" i="6"/>
  <c r="M262" i="6"/>
  <c r="N262" i="6"/>
  <c r="O262" i="6"/>
  <c r="P262" i="6"/>
  <c r="Q262" i="6"/>
  <c r="Y262" i="6"/>
  <c r="K263" i="6"/>
  <c r="L263" i="6"/>
  <c r="M263" i="6"/>
  <c r="N263" i="6"/>
  <c r="O263" i="6"/>
  <c r="P263" i="6"/>
  <c r="Q263" i="6"/>
  <c r="Y263" i="6"/>
  <c r="K264" i="6"/>
  <c r="L264" i="6"/>
  <c r="M264" i="6"/>
  <c r="N264" i="6"/>
  <c r="O264" i="6"/>
  <c r="P264" i="6"/>
  <c r="Q264" i="6"/>
  <c r="Y264" i="6"/>
  <c r="K265" i="6"/>
  <c r="L265" i="6"/>
  <c r="M265" i="6"/>
  <c r="N265" i="6"/>
  <c r="O265" i="6"/>
  <c r="P265" i="6"/>
  <c r="Q265" i="6"/>
  <c r="Y265" i="6"/>
  <c r="K266" i="6"/>
  <c r="L266" i="6"/>
  <c r="M266" i="6"/>
  <c r="N266" i="6"/>
  <c r="O266" i="6"/>
  <c r="P266" i="6"/>
  <c r="Q266" i="6"/>
  <c r="Y266" i="6"/>
  <c r="K267" i="6"/>
  <c r="L267" i="6"/>
  <c r="M267" i="6"/>
  <c r="N267" i="6"/>
  <c r="O267" i="6"/>
  <c r="P267" i="6"/>
  <c r="Q267" i="6"/>
  <c r="Y267" i="6"/>
  <c r="K268" i="6"/>
  <c r="L268" i="6"/>
  <c r="M268" i="6"/>
  <c r="N268" i="6"/>
  <c r="O268" i="6"/>
  <c r="P268" i="6"/>
  <c r="Q268" i="6"/>
  <c r="Y268" i="6"/>
  <c r="K269" i="6"/>
  <c r="L269" i="6"/>
  <c r="M269" i="6"/>
  <c r="N269" i="6"/>
  <c r="O269" i="6"/>
  <c r="P269" i="6"/>
  <c r="Q269" i="6"/>
  <c r="Y269" i="6"/>
  <c r="K270" i="6"/>
  <c r="L270" i="6"/>
  <c r="M270" i="6"/>
  <c r="N270" i="6"/>
  <c r="O270" i="6"/>
  <c r="P270" i="6"/>
  <c r="Q270" i="6"/>
  <c r="Y270" i="6"/>
  <c r="K271" i="6"/>
  <c r="L271" i="6"/>
  <c r="M271" i="6"/>
  <c r="N271" i="6"/>
  <c r="O271" i="6"/>
  <c r="P271" i="6"/>
  <c r="Q271" i="6"/>
  <c r="Y271" i="6"/>
  <c r="K272" i="6"/>
  <c r="L272" i="6"/>
  <c r="M272" i="6"/>
  <c r="N272" i="6"/>
  <c r="O272" i="6"/>
  <c r="P272" i="6"/>
  <c r="Q272" i="6"/>
  <c r="Y272" i="6"/>
  <c r="K273" i="6"/>
  <c r="L273" i="6"/>
  <c r="M273" i="6"/>
  <c r="N273" i="6"/>
  <c r="O273" i="6"/>
  <c r="P273" i="6"/>
  <c r="Q273" i="6"/>
  <c r="Y273" i="6"/>
  <c r="L251" i="6"/>
  <c r="M251" i="6"/>
  <c r="N251" i="6"/>
  <c r="O251" i="6"/>
  <c r="P251" i="6"/>
  <c r="Q251" i="6"/>
  <c r="Y251" i="6"/>
  <c r="H252" i="6"/>
  <c r="H253" i="6"/>
  <c r="H254" i="6"/>
  <c r="H255" i="6"/>
  <c r="H256" i="6"/>
  <c r="H257" i="6"/>
  <c r="H258" i="6"/>
  <c r="R247" i="6" s="1"/>
  <c r="R252" i="6" s="1"/>
  <c r="H259" i="6"/>
  <c r="S247" i="6" s="1"/>
  <c r="S275" i="6" s="1"/>
  <c r="H260" i="6"/>
  <c r="T247" i="6" s="1"/>
  <c r="T274" i="6" s="1"/>
  <c r="H261" i="6"/>
  <c r="U247" i="6" s="1"/>
  <c r="U255" i="6" s="1"/>
  <c r="H262" i="6"/>
  <c r="V247" i="6" s="1"/>
  <c r="V252" i="6" s="1"/>
  <c r="H263" i="6"/>
  <c r="W247" i="6" s="1"/>
  <c r="W275" i="6" s="1"/>
  <c r="H264" i="6"/>
  <c r="X247" i="6" s="1"/>
  <c r="X274" i="6" s="1"/>
  <c r="H251" i="6"/>
  <c r="G248" i="6"/>
  <c r="G70" i="16"/>
  <c r="A111" i="6"/>
  <c r="M15" i="23"/>
  <c r="M16" i="23"/>
  <c r="M17" i="23"/>
  <c r="M18" i="23"/>
  <c r="M20" i="23"/>
  <c r="M21" i="23"/>
  <c r="M22" i="23"/>
  <c r="B90" i="6"/>
  <c r="F4" i="23"/>
  <c r="B7" i="23"/>
  <c r="B48" i="23" s="1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AD106" i="6"/>
  <c r="U95" i="6"/>
  <c r="S234" i="6"/>
  <c r="S237" i="6"/>
  <c r="S238" i="6"/>
  <c r="S241" i="6"/>
  <c r="S233" i="6"/>
  <c r="S227" i="6"/>
  <c r="S228" i="6"/>
  <c r="S231" i="6"/>
  <c r="S232" i="6"/>
  <c r="S217" i="6"/>
  <c r="S218" i="6"/>
  <c r="S221" i="6"/>
  <c r="S222" i="6"/>
  <c r="S207" i="6"/>
  <c r="S208" i="6"/>
  <c r="S211" i="6"/>
  <c r="S212" i="6"/>
  <c r="S206" i="6"/>
  <c r="S198" i="6"/>
  <c r="S201" i="6"/>
  <c r="S202" i="6"/>
  <c r="S205" i="6"/>
  <c r="S197" i="6"/>
  <c r="S192" i="6"/>
  <c r="S196" i="6"/>
  <c r="S182" i="6"/>
  <c r="S186" i="6"/>
  <c r="S172" i="6"/>
  <c r="S176" i="6"/>
  <c r="S162" i="6"/>
  <c r="S166" i="6"/>
  <c r="S161" i="6"/>
  <c r="S145" i="6"/>
  <c r="S146" i="6"/>
  <c r="S149" i="6"/>
  <c r="S150" i="6"/>
  <c r="S135" i="6"/>
  <c r="S136" i="6"/>
  <c r="S139" i="6"/>
  <c r="S140" i="6"/>
  <c r="S134" i="6"/>
  <c r="S126" i="6"/>
  <c r="S130" i="6"/>
  <c r="S125" i="6"/>
  <c r="Z85" i="6"/>
  <c r="AA85" i="6"/>
  <c r="AC85" i="6"/>
  <c r="AD85" i="6"/>
  <c r="V95" i="6"/>
  <c r="S96" i="6"/>
  <c r="S97" i="6" s="1"/>
  <c r="S98" i="6" s="1"/>
  <c r="S99" i="6" s="1"/>
  <c r="S100" i="6" s="1"/>
  <c r="S92" i="6"/>
  <c r="S90" i="6"/>
  <c r="S89" i="6"/>
  <c r="V86" i="6"/>
  <c r="W85" i="6"/>
  <c r="W86" i="6"/>
  <c r="W87" i="6"/>
  <c r="U85" i="6"/>
  <c r="S189" i="6" s="1"/>
  <c r="V85" i="6"/>
  <c r="U86" i="6"/>
  <c r="S235" i="6" s="1"/>
  <c r="U87" i="6"/>
  <c r="V87" i="6"/>
  <c r="Q90" i="6"/>
  <c r="Q93" i="6"/>
  <c r="Q94" i="6"/>
  <c r="Q95" i="6"/>
  <c r="Q96" i="6"/>
  <c r="Q97" i="6"/>
  <c r="Q98" i="6"/>
  <c r="Q99" i="6"/>
  <c r="Q100" i="6"/>
  <c r="P92" i="6"/>
  <c r="S163" i="6" s="1"/>
  <c r="P91" i="6"/>
  <c r="S153" i="6" s="1"/>
  <c r="P90" i="6"/>
  <c r="S147" i="6" s="1"/>
  <c r="P89" i="6"/>
  <c r="S137" i="6" s="1"/>
  <c r="P88" i="6"/>
  <c r="S127" i="6" s="1"/>
  <c r="P87" i="6"/>
  <c r="S117" i="6" s="1"/>
  <c r="O88" i="6"/>
  <c r="O87" i="6"/>
  <c r="P86" i="6"/>
  <c r="H249" i="12"/>
  <c r="H256" i="12" s="1"/>
  <c r="I249" i="12"/>
  <c r="B31" i="2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54" i="12"/>
  <c r="Y277" i="6" l="1"/>
  <c r="U268" i="6"/>
  <c r="U256" i="6"/>
  <c r="U252" i="6"/>
  <c r="U272" i="6"/>
  <c r="X263" i="6"/>
  <c r="X252" i="6"/>
  <c r="T256" i="6"/>
  <c r="X251" i="6"/>
  <c r="X271" i="6"/>
  <c r="T268" i="6"/>
  <c r="U264" i="6"/>
  <c r="X260" i="6"/>
  <c r="T259" i="6"/>
  <c r="X255" i="6"/>
  <c r="T252" i="6"/>
  <c r="X268" i="6"/>
  <c r="T267" i="6"/>
  <c r="T260" i="6"/>
  <c r="T272" i="6"/>
  <c r="X264" i="6"/>
  <c r="T263" i="6"/>
  <c r="X259" i="6"/>
  <c r="T251" i="6"/>
  <c r="X272" i="6"/>
  <c r="T271" i="6"/>
  <c r="X267" i="6"/>
  <c r="T264" i="6"/>
  <c r="U260" i="6"/>
  <c r="X256" i="6"/>
  <c r="T255" i="6"/>
  <c r="V273" i="6"/>
  <c r="R273" i="6"/>
  <c r="W270" i="6"/>
  <c r="S270" i="6"/>
  <c r="V269" i="6"/>
  <c r="R269" i="6"/>
  <c r="W266" i="6"/>
  <c r="S266" i="6"/>
  <c r="V265" i="6"/>
  <c r="R265" i="6"/>
  <c r="W262" i="6"/>
  <c r="S262" i="6"/>
  <c r="V261" i="6"/>
  <c r="R261" i="6"/>
  <c r="W258" i="6"/>
  <c r="S258" i="6"/>
  <c r="V257" i="6"/>
  <c r="R257" i="6"/>
  <c r="W254" i="6"/>
  <c r="S254" i="6"/>
  <c r="V253" i="6"/>
  <c r="R253" i="6"/>
  <c r="W274" i="6"/>
  <c r="S274" i="6"/>
  <c r="V275" i="6"/>
  <c r="R275" i="6"/>
  <c r="W251" i="6"/>
  <c r="S251" i="6"/>
  <c r="U273" i="6"/>
  <c r="W271" i="6"/>
  <c r="S271" i="6"/>
  <c r="V270" i="6"/>
  <c r="R270" i="6"/>
  <c r="U269" i="6"/>
  <c r="W267" i="6"/>
  <c r="S267" i="6"/>
  <c r="V266" i="6"/>
  <c r="R266" i="6"/>
  <c r="U265" i="6"/>
  <c r="W263" i="6"/>
  <c r="S263" i="6"/>
  <c r="V262" i="6"/>
  <c r="R262" i="6"/>
  <c r="U261" i="6"/>
  <c r="W259" i="6"/>
  <c r="S259" i="6"/>
  <c r="V258" i="6"/>
  <c r="R258" i="6"/>
  <c r="U257" i="6"/>
  <c r="W255" i="6"/>
  <c r="S255" i="6"/>
  <c r="V254" i="6"/>
  <c r="R254" i="6"/>
  <c r="U253" i="6"/>
  <c r="V274" i="6"/>
  <c r="R274" i="6"/>
  <c r="U275" i="6"/>
  <c r="V251" i="6"/>
  <c r="R251" i="6"/>
  <c r="X273" i="6"/>
  <c r="T273" i="6"/>
  <c r="W272" i="6"/>
  <c r="S272" i="6"/>
  <c r="V271" i="6"/>
  <c r="R271" i="6"/>
  <c r="U270" i="6"/>
  <c r="X269" i="6"/>
  <c r="T269" i="6"/>
  <c r="W268" i="6"/>
  <c r="S268" i="6"/>
  <c r="V267" i="6"/>
  <c r="R267" i="6"/>
  <c r="U266" i="6"/>
  <c r="X265" i="6"/>
  <c r="T265" i="6"/>
  <c r="W264" i="6"/>
  <c r="S264" i="6"/>
  <c r="V263" i="6"/>
  <c r="R263" i="6"/>
  <c r="U262" i="6"/>
  <c r="X261" i="6"/>
  <c r="T261" i="6"/>
  <c r="W260" i="6"/>
  <c r="S260" i="6"/>
  <c r="V259" i="6"/>
  <c r="R259" i="6"/>
  <c r="U258" i="6"/>
  <c r="X257" i="6"/>
  <c r="T257" i="6"/>
  <c r="W256" i="6"/>
  <c r="S256" i="6"/>
  <c r="V255" i="6"/>
  <c r="R255" i="6"/>
  <c r="U254" i="6"/>
  <c r="X253" i="6"/>
  <c r="T253" i="6"/>
  <c r="W252" i="6"/>
  <c r="S252" i="6"/>
  <c r="U274" i="6"/>
  <c r="X275" i="6"/>
  <c r="T275" i="6"/>
  <c r="U251" i="6"/>
  <c r="W273" i="6"/>
  <c r="S273" i="6"/>
  <c r="V272" i="6"/>
  <c r="R272" i="6"/>
  <c r="U271" i="6"/>
  <c r="X270" i="6"/>
  <c r="T270" i="6"/>
  <c r="W269" i="6"/>
  <c r="S269" i="6"/>
  <c r="V268" i="6"/>
  <c r="R268" i="6"/>
  <c r="U267" i="6"/>
  <c r="X266" i="6"/>
  <c r="T266" i="6"/>
  <c r="W265" i="6"/>
  <c r="S265" i="6"/>
  <c r="V264" i="6"/>
  <c r="R264" i="6"/>
  <c r="U263" i="6"/>
  <c r="X262" i="6"/>
  <c r="T262" i="6"/>
  <c r="W261" i="6"/>
  <c r="S261" i="6"/>
  <c r="V260" i="6"/>
  <c r="R260" i="6"/>
  <c r="U259" i="6"/>
  <c r="X258" i="6"/>
  <c r="T258" i="6"/>
  <c r="W257" i="6"/>
  <c r="S257" i="6"/>
  <c r="V256" i="6"/>
  <c r="R256" i="6"/>
  <c r="X254" i="6"/>
  <c r="T254" i="6"/>
  <c r="W253" i="6"/>
  <c r="S253" i="6"/>
  <c r="H11" i="23"/>
  <c r="B52" i="23"/>
  <c r="H16" i="23"/>
  <c r="B57" i="23"/>
  <c r="H19" i="23"/>
  <c r="B60" i="23"/>
  <c r="H18" i="23"/>
  <c r="B59" i="23"/>
  <c r="H17" i="23"/>
  <c r="B58" i="23"/>
  <c r="B49" i="23"/>
  <c r="B55" i="23"/>
  <c r="H21" i="23"/>
  <c r="B62" i="23"/>
  <c r="H13" i="23"/>
  <c r="B54" i="23"/>
  <c r="H10" i="23"/>
  <c r="B51" i="23"/>
  <c r="H9" i="23"/>
  <c r="B50" i="23"/>
  <c r="H15" i="23"/>
  <c r="B56" i="23"/>
  <c r="H22" i="23"/>
  <c r="B63" i="23"/>
  <c r="H20" i="23"/>
  <c r="B61" i="23"/>
  <c r="H12" i="23"/>
  <c r="B53" i="23"/>
  <c r="T8" i="23"/>
  <c r="V8" i="23" s="1"/>
  <c r="BA8" i="23" s="1"/>
  <c r="H266" i="12"/>
  <c r="H262" i="12"/>
  <c r="H255" i="12"/>
  <c r="H257" i="12"/>
  <c r="H263" i="12"/>
  <c r="H265" i="12"/>
  <c r="H261" i="12"/>
  <c r="H258" i="12"/>
  <c r="H267" i="12"/>
  <c r="H268" i="12"/>
  <c r="H264" i="12"/>
  <c r="H259" i="12"/>
  <c r="H260" i="12"/>
  <c r="T12" i="23"/>
  <c r="V12" i="23" s="1"/>
  <c r="BA12" i="23" s="1"/>
  <c r="G51" i="22"/>
  <c r="G52" i="22" s="1"/>
  <c r="H51" i="22"/>
  <c r="H52" i="22" s="1"/>
  <c r="D51" i="22"/>
  <c r="D52" i="22" s="1"/>
  <c r="L51" i="22"/>
  <c r="L52" i="22" s="1"/>
  <c r="F51" i="22"/>
  <c r="F52" i="22" s="1"/>
  <c r="P51" i="22"/>
  <c r="P52" i="22" s="1"/>
  <c r="K51" i="22"/>
  <c r="K52" i="22" s="1"/>
  <c r="E51" i="22"/>
  <c r="E52" i="22" s="1"/>
  <c r="J51" i="22"/>
  <c r="J52" i="22" s="1"/>
  <c r="T11" i="23"/>
  <c r="V11" i="23" s="1"/>
  <c r="BA11" i="23" s="1"/>
  <c r="T14" i="23"/>
  <c r="BA14" i="23" s="1"/>
  <c r="T10" i="23"/>
  <c r="V10" i="23" s="1"/>
  <c r="BA10" i="23" s="1"/>
  <c r="T13" i="23"/>
  <c r="V13" i="23" s="1"/>
  <c r="BA13" i="23" s="1"/>
  <c r="T9" i="23"/>
  <c r="V9" i="23" s="1"/>
  <c r="BA9" i="23" s="1"/>
  <c r="S111" i="6"/>
  <c r="S115" i="6"/>
  <c r="Q86" i="6"/>
  <c r="S113" i="6"/>
  <c r="S114" i="6"/>
  <c r="S108" i="6"/>
  <c r="S112" i="6"/>
  <c r="S107" i="6"/>
  <c r="S110" i="6"/>
  <c r="S109" i="6"/>
  <c r="S129" i="6"/>
  <c r="S169" i="6"/>
  <c r="S171" i="6"/>
  <c r="Q91" i="6"/>
  <c r="Q87" i="6"/>
  <c r="S123" i="6"/>
  <c r="S133" i="6"/>
  <c r="S155" i="6"/>
  <c r="S170" i="6"/>
  <c r="S185" i="6"/>
  <c r="S191" i="6"/>
  <c r="S122" i="6"/>
  <c r="S118" i="6"/>
  <c r="S132" i="6"/>
  <c r="S128" i="6"/>
  <c r="S142" i="6"/>
  <c r="S138" i="6"/>
  <c r="S143" i="6"/>
  <c r="S148" i="6"/>
  <c r="S144" i="6"/>
  <c r="S158" i="6"/>
  <c r="S154" i="6"/>
  <c r="S168" i="6"/>
  <c r="S164" i="6"/>
  <c r="S178" i="6"/>
  <c r="S174" i="6"/>
  <c r="S179" i="6"/>
  <c r="S184" i="6"/>
  <c r="S180" i="6"/>
  <c r="S194" i="6"/>
  <c r="S190" i="6"/>
  <c r="S204" i="6"/>
  <c r="S200" i="6"/>
  <c r="S214" i="6"/>
  <c r="S210" i="6"/>
  <c r="S215" i="6"/>
  <c r="S220" i="6"/>
  <c r="S216" i="6"/>
  <c r="S230" i="6"/>
  <c r="S226" i="6"/>
  <c r="S240" i="6"/>
  <c r="S236" i="6"/>
  <c r="S124" i="6"/>
  <c r="S120" i="6"/>
  <c r="S160" i="6"/>
  <c r="S156" i="6"/>
  <c r="S119" i="6"/>
  <c r="S159" i="6"/>
  <c r="S165" i="6"/>
  <c r="S175" i="6"/>
  <c r="S181" i="6"/>
  <c r="S195" i="6"/>
  <c r="Q89" i="6"/>
  <c r="S86" i="6"/>
  <c r="S87" i="6" s="1"/>
  <c r="S88" i="6" s="1"/>
  <c r="Q92" i="6"/>
  <c r="Q88" i="6"/>
  <c r="S91" i="6"/>
  <c r="S116" i="6"/>
  <c r="S121" i="6"/>
  <c r="S131" i="6"/>
  <c r="S141" i="6"/>
  <c r="S151" i="6"/>
  <c r="S152" i="6"/>
  <c r="S157" i="6"/>
  <c r="S167" i="6"/>
  <c r="S177" i="6"/>
  <c r="S173" i="6"/>
  <c r="S187" i="6"/>
  <c r="S183" i="6"/>
  <c r="S188" i="6"/>
  <c r="S193" i="6"/>
  <c r="S203" i="6"/>
  <c r="S199" i="6"/>
  <c r="S213" i="6"/>
  <c r="S209" i="6"/>
  <c r="S223" i="6"/>
  <c r="S219" i="6"/>
  <c r="S224" i="6"/>
  <c r="S229" i="6"/>
  <c r="S225" i="6"/>
  <c r="S239" i="6"/>
  <c r="C242" i="12"/>
  <c r="C241" i="12"/>
  <c r="AM111" i="1"/>
  <c r="W100" i="6" s="1"/>
  <c r="AN111" i="1"/>
  <c r="X100" i="6" s="1"/>
  <c r="AO111" i="1"/>
  <c r="Y100" i="6" s="1"/>
  <c r="AM112" i="1"/>
  <c r="W101" i="6" s="1"/>
  <c r="AN112" i="1"/>
  <c r="X101" i="6" s="1"/>
  <c r="AO112" i="1"/>
  <c r="Y101" i="6" s="1"/>
  <c r="AL113" i="1"/>
  <c r="V102" i="6" s="1"/>
  <c r="AM113" i="1"/>
  <c r="W102" i="6" s="1"/>
  <c r="AN113" i="1"/>
  <c r="X102" i="6" s="1"/>
  <c r="AO113" i="1"/>
  <c r="Y102" i="6" s="1"/>
  <c r="R108" i="12"/>
  <c r="U115" i="12"/>
  <c r="U114" i="12"/>
  <c r="U113" i="12"/>
  <c r="U112" i="12"/>
  <c r="U111" i="12"/>
  <c r="U110" i="12"/>
  <c r="U109" i="12"/>
  <c r="U108" i="12"/>
  <c r="U107" i="12"/>
  <c r="D106" i="12" s="1"/>
  <c r="F106" i="12" s="1"/>
  <c r="AN97" i="1"/>
  <c r="AB85" i="6" s="1"/>
  <c r="AL98" i="1"/>
  <c r="Z86" i="6" s="1"/>
  <c r="AM98" i="1"/>
  <c r="AA86" i="6" s="1"/>
  <c r="AN98" i="1"/>
  <c r="AB86" i="6" s="1"/>
  <c r="AO98" i="1"/>
  <c r="AC86" i="6" s="1"/>
  <c r="AP98" i="1"/>
  <c r="AD86" i="6" s="1"/>
  <c r="AL99" i="1"/>
  <c r="Z87" i="6" s="1"/>
  <c r="AM99" i="1"/>
  <c r="AA87" i="6" s="1"/>
  <c r="AN99" i="1"/>
  <c r="AO99" i="1"/>
  <c r="AI180" i="1" s="1"/>
  <c r="AP99" i="1"/>
  <c r="AD87" i="6" s="1"/>
  <c r="AL100" i="1"/>
  <c r="Z88" i="6" s="1"/>
  <c r="AM100" i="1"/>
  <c r="AA88" i="6" s="1"/>
  <c r="AN100" i="1"/>
  <c r="AO100" i="1"/>
  <c r="AI154" i="1" s="1"/>
  <c r="AP100" i="1"/>
  <c r="AD88" i="6" s="1"/>
  <c r="AL101" i="1"/>
  <c r="Z89" i="6" s="1"/>
  <c r="AM101" i="1"/>
  <c r="AA89" i="6" s="1"/>
  <c r="AN101" i="1"/>
  <c r="AB89" i="6" s="1"/>
  <c r="P172" i="6" s="1"/>
  <c r="R172" i="6" s="1"/>
  <c r="AO101" i="1"/>
  <c r="AP101" i="1"/>
  <c r="AL102" i="1"/>
  <c r="Z90" i="6" s="1"/>
  <c r="AM102" i="1"/>
  <c r="AA90" i="6" s="1"/>
  <c r="AN102" i="1"/>
  <c r="AO102" i="1"/>
  <c r="AP102" i="1"/>
  <c r="AL103" i="1"/>
  <c r="Z91" i="6" s="1"/>
  <c r="AM103" i="1"/>
  <c r="AA91" i="6" s="1"/>
  <c r="AN103" i="1"/>
  <c r="AO103" i="1"/>
  <c r="AI184" i="1" s="1"/>
  <c r="AP103" i="1"/>
  <c r="AL104" i="1"/>
  <c r="Z92" i="6" s="1"/>
  <c r="AM104" i="1"/>
  <c r="AA92" i="6" s="1"/>
  <c r="AN104" i="1"/>
  <c r="AO104" i="1"/>
  <c r="AI158" i="1" s="1"/>
  <c r="AP104" i="1"/>
  <c r="AD92" i="6" s="1"/>
  <c r="AL105" i="1"/>
  <c r="Z93" i="6" s="1"/>
  <c r="AM105" i="1"/>
  <c r="AA93" i="6" s="1"/>
  <c r="AN105" i="1"/>
  <c r="AB93" i="6" s="1"/>
  <c r="P113" i="6" s="1"/>
  <c r="R113" i="6" s="1"/>
  <c r="AO105" i="1"/>
  <c r="AP105" i="1"/>
  <c r="AI204" i="1" s="1"/>
  <c r="AL106" i="1"/>
  <c r="Z94" i="6" s="1"/>
  <c r="AM106" i="1"/>
  <c r="AA94" i="6" s="1"/>
  <c r="AN106" i="1"/>
  <c r="AO106" i="1"/>
  <c r="AP106" i="1"/>
  <c r="AL107" i="1"/>
  <c r="Z95" i="6" s="1"/>
  <c r="AM107" i="1"/>
  <c r="AA95" i="6" s="1"/>
  <c r="AN107" i="1"/>
  <c r="AO107" i="1"/>
  <c r="AI188" i="1" s="1"/>
  <c r="AP107" i="1"/>
  <c r="AI97" i="1"/>
  <c r="AJ97" i="1"/>
  <c r="AI98" i="1"/>
  <c r="AJ98" i="1"/>
  <c r="AI99" i="1"/>
  <c r="AJ99" i="1"/>
  <c r="AI100" i="1"/>
  <c r="AJ100" i="1"/>
  <c r="AI101" i="1"/>
  <c r="AJ101" i="1"/>
  <c r="AI102" i="1"/>
  <c r="AJ102" i="1"/>
  <c r="AI103" i="1"/>
  <c r="AJ103" i="1"/>
  <c r="AI104" i="1"/>
  <c r="AJ104" i="1"/>
  <c r="AI105" i="1"/>
  <c r="AJ105" i="1"/>
  <c r="AI106" i="1"/>
  <c r="AJ106" i="1"/>
  <c r="AI107" i="1"/>
  <c r="AJ107" i="1"/>
  <c r="AJ108" i="1"/>
  <c r="AJ109" i="1"/>
  <c r="AJ110" i="1"/>
  <c r="AJ111" i="1"/>
  <c r="AJ112" i="1"/>
  <c r="E87" i="12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Q89" i="12"/>
  <c r="F26" i="5"/>
  <c r="E26" i="5"/>
  <c r="E16" i="5"/>
  <c r="S100" i="1"/>
  <c r="V100" i="1" s="1"/>
  <c r="S99" i="1"/>
  <c r="V99" i="1" s="1"/>
  <c r="S98" i="1"/>
  <c r="S112" i="1"/>
  <c r="V112" i="1" s="1"/>
  <c r="S101" i="1"/>
  <c r="V101" i="1" s="1"/>
  <c r="S102" i="1"/>
  <c r="V102" i="1" s="1"/>
  <c r="S103" i="1"/>
  <c r="V103" i="1" s="1"/>
  <c r="S104" i="1"/>
  <c r="V104" i="1" s="1"/>
  <c r="S105" i="1"/>
  <c r="V105" i="1" s="1"/>
  <c r="S106" i="1"/>
  <c r="V106" i="1" s="1"/>
  <c r="S107" i="1"/>
  <c r="V107" i="1" s="1"/>
  <c r="S108" i="1"/>
  <c r="V108" i="1" s="1"/>
  <c r="S109" i="1"/>
  <c r="V109" i="1" s="1"/>
  <c r="S110" i="1"/>
  <c r="V110" i="1" s="1"/>
  <c r="S111" i="1"/>
  <c r="V111" i="1" s="1"/>
  <c r="Q94" i="1"/>
  <c r="Q92" i="1"/>
  <c r="R100" i="1" s="1"/>
  <c r="U100" i="1" s="1"/>
  <c r="C99" i="11"/>
  <c r="C245" i="10"/>
  <c r="AA12" i="5"/>
  <c r="A108" i="6"/>
  <c r="C108" i="6"/>
  <c r="C110" i="6" s="1"/>
  <c r="C113" i="6" s="1"/>
  <c r="D108" i="6"/>
  <c r="D110" i="6" s="1"/>
  <c r="D113" i="6" s="1"/>
  <c r="E108" i="6"/>
  <c r="E110" i="6" s="1"/>
  <c r="E113" i="6" s="1"/>
  <c r="F108" i="6"/>
  <c r="F110" i="6" s="1"/>
  <c r="F113" i="6" s="1"/>
  <c r="G108" i="6"/>
  <c r="G110" i="6" s="1"/>
  <c r="G113" i="6" s="1"/>
  <c r="H108" i="6"/>
  <c r="H110" i="6" s="1"/>
  <c r="H113" i="6" s="1"/>
  <c r="I108" i="6"/>
  <c r="AC13" i="5"/>
  <c r="AC14" i="5"/>
  <c r="AC15" i="5"/>
  <c r="AC16" i="5"/>
  <c r="AC17" i="5"/>
  <c r="AC18" i="5"/>
  <c r="AC12" i="5"/>
  <c r="AA13" i="5"/>
  <c r="E98" i="6"/>
  <c r="E99" i="6" s="1"/>
  <c r="F98" i="6"/>
  <c r="F99" i="6" s="1"/>
  <c r="C96" i="6"/>
  <c r="C98" i="6" s="1"/>
  <c r="C99" i="6" s="1"/>
  <c r="D96" i="6"/>
  <c r="D98" i="6" s="1"/>
  <c r="D99" i="6" s="1"/>
  <c r="E96" i="6"/>
  <c r="F96" i="6"/>
  <c r="G96" i="6"/>
  <c r="G98" i="6" s="1"/>
  <c r="G99" i="6" s="1"/>
  <c r="H96" i="6"/>
  <c r="H98" i="6" s="1"/>
  <c r="H99" i="6" s="1"/>
  <c r="E92" i="6"/>
  <c r="F92" i="6"/>
  <c r="F93" i="6" s="1"/>
  <c r="E93" i="6"/>
  <c r="B92" i="6"/>
  <c r="B96" i="6"/>
  <c r="B98" i="6" s="1"/>
  <c r="C90" i="6"/>
  <c r="C92" i="6" s="1"/>
  <c r="C93" i="6" s="1"/>
  <c r="D90" i="6"/>
  <c r="D92" i="6" s="1"/>
  <c r="D93" i="6" s="1"/>
  <c r="E90" i="6"/>
  <c r="F90" i="6"/>
  <c r="G90" i="6"/>
  <c r="G92" i="6" s="1"/>
  <c r="G93" i="6" s="1"/>
  <c r="H90" i="6"/>
  <c r="H92" i="6" s="1"/>
  <c r="H93" i="6" s="1"/>
  <c r="Z106" i="5"/>
  <c r="Z103" i="5"/>
  <c r="Z100" i="5"/>
  <c r="Z99" i="5"/>
  <c r="B93" i="6"/>
  <c r="Q26" i="6"/>
  <c r="X26" i="6"/>
  <c r="AE26" i="6"/>
  <c r="BF13" i="6"/>
  <c r="AZ13" i="6"/>
  <c r="AS12" i="6"/>
  <c r="AL12" i="6"/>
  <c r="AB211" i="13"/>
  <c r="AB212" i="13"/>
  <c r="AB213" i="13"/>
  <c r="AB214" i="13"/>
  <c r="AB215" i="13"/>
  <c r="AB216" i="13"/>
  <c r="AB217" i="13"/>
  <c r="AB218" i="13"/>
  <c r="AB219" i="13"/>
  <c r="AB220" i="13"/>
  <c r="AB221" i="13"/>
  <c r="AB222" i="13"/>
  <c r="AB223" i="13"/>
  <c r="AB210" i="13"/>
  <c r="T277" i="6" l="1"/>
  <c r="P17" i="23" s="1"/>
  <c r="T17" i="23" s="1"/>
  <c r="V17" i="23" s="1"/>
  <c r="BA17" i="23" s="1"/>
  <c r="X277" i="6"/>
  <c r="P21" i="23" s="1"/>
  <c r="T21" i="23" s="1"/>
  <c r="V21" i="23" s="1"/>
  <c r="BA21" i="23" s="1"/>
  <c r="U277" i="6"/>
  <c r="S277" i="6"/>
  <c r="X2" i="23"/>
  <c r="V277" i="6"/>
  <c r="R277" i="6"/>
  <c r="W277" i="6"/>
  <c r="AF106" i="1"/>
  <c r="AG106" i="1" s="1"/>
  <c r="R17" i="20"/>
  <c r="R24" i="20"/>
  <c r="R31" i="20"/>
  <c r="R23" i="20"/>
  <c r="AF111" i="1"/>
  <c r="AF103" i="1"/>
  <c r="AF165" i="1" s="1"/>
  <c r="AF99" i="1"/>
  <c r="AF129" i="1" s="1"/>
  <c r="AF110" i="1"/>
  <c r="S29" i="20" s="1"/>
  <c r="U29" i="20" s="1"/>
  <c r="AI110" i="1" s="1"/>
  <c r="AF102" i="1"/>
  <c r="AF107" i="1"/>
  <c r="R28" i="20"/>
  <c r="R20" i="20"/>
  <c r="R27" i="20"/>
  <c r="R19" i="20"/>
  <c r="T172" i="6"/>
  <c r="X172" i="6" s="1"/>
  <c r="T113" i="6"/>
  <c r="AA113" i="6" s="1"/>
  <c r="R108" i="1"/>
  <c r="R98" i="1"/>
  <c r="U98" i="1" s="1"/>
  <c r="R107" i="1"/>
  <c r="U107" i="1" s="1"/>
  <c r="R111" i="1"/>
  <c r="U111" i="1" s="1"/>
  <c r="AI152" i="1"/>
  <c r="R103" i="1"/>
  <c r="U103" i="1" s="1"/>
  <c r="AI144" i="1"/>
  <c r="R101" i="1"/>
  <c r="U101" i="1" s="1"/>
  <c r="R102" i="1"/>
  <c r="U102" i="1" s="1"/>
  <c r="R106" i="1"/>
  <c r="U106" i="1" s="1"/>
  <c r="R110" i="1"/>
  <c r="U110" i="1" s="1"/>
  <c r="R99" i="1"/>
  <c r="U99" i="1" s="1"/>
  <c r="P118" i="6"/>
  <c r="R118" i="6" s="1"/>
  <c r="T118" i="6" s="1"/>
  <c r="AA118" i="6" s="1"/>
  <c r="P176" i="6"/>
  <c r="R176" i="6" s="1"/>
  <c r="T176" i="6" s="1"/>
  <c r="AD176" i="6" s="1"/>
  <c r="P122" i="6"/>
  <c r="R122" i="6" s="1"/>
  <c r="T122" i="6" s="1"/>
  <c r="X122" i="6" s="1"/>
  <c r="P185" i="6"/>
  <c r="R185" i="6" s="1"/>
  <c r="T185" i="6" s="1"/>
  <c r="AA185" i="6" s="1"/>
  <c r="R104" i="1"/>
  <c r="W104" i="1" s="1"/>
  <c r="Y104" i="1" s="1"/>
  <c r="AI119" i="1"/>
  <c r="AI137" i="1" s="1"/>
  <c r="H56" i="23"/>
  <c r="C56" i="23"/>
  <c r="G56" i="23" s="1"/>
  <c r="AI175" i="1"/>
  <c r="AC91" i="6"/>
  <c r="AI148" i="1"/>
  <c r="AI169" i="1"/>
  <c r="AC94" i="6"/>
  <c r="AI178" i="1"/>
  <c r="AD89" i="6"/>
  <c r="AI200" i="1"/>
  <c r="H62" i="23"/>
  <c r="C62" i="23"/>
  <c r="G62" i="23" s="1"/>
  <c r="AI118" i="1"/>
  <c r="AI127" i="1" s="1"/>
  <c r="AB88" i="6"/>
  <c r="AI121" i="1"/>
  <c r="AI139" i="1" s="1"/>
  <c r="AB91" i="6"/>
  <c r="P111" i="6" s="1"/>
  <c r="C59" i="23"/>
  <c r="G59" i="23" s="1"/>
  <c r="H59" i="23"/>
  <c r="U108" i="1"/>
  <c r="W108" i="1"/>
  <c r="C18" i="23" s="1"/>
  <c r="AI205" i="1"/>
  <c r="AD94" i="6"/>
  <c r="AI124" i="1"/>
  <c r="AI142" i="1" s="1"/>
  <c r="AB94" i="6"/>
  <c r="AI155" i="1"/>
  <c r="AC89" i="6"/>
  <c r="H53" i="23"/>
  <c r="C53" i="23"/>
  <c r="G53" i="23" s="1"/>
  <c r="C50" i="23"/>
  <c r="G50" i="23" s="1"/>
  <c r="H50" i="23"/>
  <c r="H55" i="23"/>
  <c r="C55" i="23"/>
  <c r="G55" i="23" s="1"/>
  <c r="H60" i="23"/>
  <c r="C60" i="23"/>
  <c r="G60" i="23" s="1"/>
  <c r="AI206" i="1"/>
  <c r="AD95" i="6"/>
  <c r="H51" i="23"/>
  <c r="C51" i="23"/>
  <c r="G51" i="23" s="1"/>
  <c r="AI125" i="1"/>
  <c r="AI134" i="1" s="1"/>
  <c r="AB95" i="6"/>
  <c r="AI195" i="1"/>
  <c r="AD93" i="6"/>
  <c r="AI165" i="1"/>
  <c r="AC90" i="6"/>
  <c r="AI117" i="1"/>
  <c r="AI135" i="1" s="1"/>
  <c r="AB87" i="6"/>
  <c r="AI185" i="1"/>
  <c r="AC92" i="6"/>
  <c r="P190" i="6"/>
  <c r="R190" i="6" s="1"/>
  <c r="T190" i="6" s="1"/>
  <c r="P127" i="6"/>
  <c r="R127" i="6" s="1"/>
  <c r="T127" i="6" s="1"/>
  <c r="AD127" i="6" s="1"/>
  <c r="C61" i="23"/>
  <c r="G61" i="23" s="1"/>
  <c r="H61" i="23"/>
  <c r="H57" i="23"/>
  <c r="C57" i="23"/>
  <c r="G57" i="23" s="1"/>
  <c r="R112" i="1"/>
  <c r="AI159" i="1"/>
  <c r="AC93" i="6"/>
  <c r="AI120" i="1"/>
  <c r="AI129" i="1" s="1"/>
  <c r="AB90" i="6"/>
  <c r="C63" i="23"/>
  <c r="G63" i="23" s="1"/>
  <c r="H63" i="23"/>
  <c r="C54" i="23"/>
  <c r="G54" i="23" s="1"/>
  <c r="H54" i="23"/>
  <c r="C58" i="23"/>
  <c r="G58" i="23" s="1"/>
  <c r="H58" i="23"/>
  <c r="C52" i="23"/>
  <c r="G52" i="23" s="1"/>
  <c r="H52" i="23"/>
  <c r="P109" i="6"/>
  <c r="R109" i="6" s="1"/>
  <c r="AI179" i="1"/>
  <c r="AC95" i="6"/>
  <c r="AI122" i="1"/>
  <c r="AI140" i="1" s="1"/>
  <c r="AB92" i="6"/>
  <c r="AI201" i="1"/>
  <c r="AD90" i="6"/>
  <c r="AI171" i="1"/>
  <c r="AC87" i="6"/>
  <c r="H49" i="23"/>
  <c r="C49" i="23"/>
  <c r="G49" i="23" s="1"/>
  <c r="R109" i="1"/>
  <c r="U109" i="1" s="1"/>
  <c r="R105" i="1"/>
  <c r="U105" i="1" s="1"/>
  <c r="P194" i="6"/>
  <c r="R194" i="6" s="1"/>
  <c r="T194" i="6" s="1"/>
  <c r="AA194" i="6" s="1"/>
  <c r="P131" i="6"/>
  <c r="R131" i="6" s="1"/>
  <c r="T131" i="6" s="1"/>
  <c r="AB131" i="6" s="1"/>
  <c r="AI202" i="1"/>
  <c r="AD91" i="6"/>
  <c r="AI181" i="1"/>
  <c r="AC88" i="6"/>
  <c r="AI123" i="1"/>
  <c r="AI141" i="1" s="1"/>
  <c r="AI174" i="1"/>
  <c r="P181" i="6"/>
  <c r="R181" i="6" s="1"/>
  <c r="T181" i="6" s="1"/>
  <c r="X181" i="6" s="1"/>
  <c r="W100" i="1"/>
  <c r="Y100" i="1" s="1"/>
  <c r="W110" i="1"/>
  <c r="V98" i="1"/>
  <c r="AG111" i="1"/>
  <c r="S30" i="20"/>
  <c r="U30" i="20" s="1"/>
  <c r="AI111" i="1" s="1"/>
  <c r="AG107" i="1"/>
  <c r="S26" i="20"/>
  <c r="AG110" i="1"/>
  <c r="AG102" i="1"/>
  <c r="AF155" i="1"/>
  <c r="S21" i="20"/>
  <c r="AF159" i="1"/>
  <c r="AF98" i="1"/>
  <c r="AF120" i="1" s="1"/>
  <c r="AF109" i="1"/>
  <c r="AF217" i="1" s="1"/>
  <c r="AF105" i="1"/>
  <c r="AF181" i="1" s="1"/>
  <c r="AF101" i="1"/>
  <c r="AF148" i="1" s="1"/>
  <c r="R30" i="20"/>
  <c r="R26" i="20"/>
  <c r="R22" i="20"/>
  <c r="R18" i="20"/>
  <c r="AF112" i="1"/>
  <c r="AF249" i="1" s="1"/>
  <c r="AF108" i="1"/>
  <c r="AF214" i="1" s="1"/>
  <c r="AF104" i="1"/>
  <c r="AF174" i="1" s="1"/>
  <c r="AF100" i="1"/>
  <c r="AF136" i="1" s="1"/>
  <c r="R29" i="20"/>
  <c r="R25" i="20"/>
  <c r="R21" i="20"/>
  <c r="AD113" i="6"/>
  <c r="W113" i="6"/>
  <c r="X113" i="6"/>
  <c r="AC113" i="6"/>
  <c r="AE113" i="6"/>
  <c r="Y113" i="6"/>
  <c r="S95" i="6"/>
  <c r="S94" i="6"/>
  <c r="S93" i="6"/>
  <c r="AC127" i="6"/>
  <c r="AI133" i="1"/>
  <c r="AI143" i="1"/>
  <c r="AI126" i="1"/>
  <c r="AI136" i="1"/>
  <c r="AI168" i="1"/>
  <c r="AI164" i="1"/>
  <c r="AI194" i="1"/>
  <c r="AF199" i="1"/>
  <c r="AI151" i="1"/>
  <c r="AI147" i="1"/>
  <c r="AI161" i="1"/>
  <c r="AI157" i="1"/>
  <c r="AI153" i="1"/>
  <c r="AI167" i="1"/>
  <c r="AI163" i="1"/>
  <c r="AI177" i="1"/>
  <c r="AI173" i="1"/>
  <c r="AI187" i="1"/>
  <c r="AI183" i="1"/>
  <c r="AI197" i="1"/>
  <c r="AI193" i="1"/>
  <c r="AI189" i="1"/>
  <c r="AI203" i="1"/>
  <c r="AI199" i="1"/>
  <c r="AF153" i="1"/>
  <c r="AF158" i="1"/>
  <c r="AF154" i="1"/>
  <c r="AF235" i="1"/>
  <c r="AI150" i="1"/>
  <c r="AI146" i="1"/>
  <c r="AI160" i="1"/>
  <c r="AI156" i="1"/>
  <c r="AI170" i="1"/>
  <c r="AI166" i="1"/>
  <c r="AI162" i="1"/>
  <c r="AI176" i="1"/>
  <c r="AI172" i="1"/>
  <c r="AI186" i="1"/>
  <c r="AI182" i="1"/>
  <c r="AI196" i="1"/>
  <c r="AI192" i="1"/>
  <c r="AI198" i="1"/>
  <c r="AF161" i="1"/>
  <c r="AF157" i="1"/>
  <c r="AF167" i="1"/>
  <c r="AF198" i="1"/>
  <c r="AF229" i="1"/>
  <c r="AI190" i="1"/>
  <c r="AF236" i="1"/>
  <c r="AF240" i="1"/>
  <c r="AF230" i="1"/>
  <c r="AF200" i="1"/>
  <c r="AF204" i="1"/>
  <c r="AF189" i="1"/>
  <c r="AF237" i="1"/>
  <c r="AF241" i="1"/>
  <c r="AF201" i="1"/>
  <c r="AF205" i="1"/>
  <c r="AF195" i="1"/>
  <c r="AF238" i="1"/>
  <c r="AF242" i="1"/>
  <c r="AF202" i="1"/>
  <c r="AF206" i="1"/>
  <c r="AF196" i="1"/>
  <c r="AF239" i="1"/>
  <c r="AI149" i="1"/>
  <c r="AI145" i="1"/>
  <c r="AI191" i="1"/>
  <c r="AF160" i="1"/>
  <c r="AF156" i="1"/>
  <c r="AF203" i="1"/>
  <c r="AF234" i="1"/>
  <c r="B99" i="6"/>
  <c r="D101" i="6"/>
  <c r="D102" i="6" s="1"/>
  <c r="D104" i="6" s="1"/>
  <c r="F101" i="6"/>
  <c r="F102" i="6" s="1"/>
  <c r="F104" i="6" s="1"/>
  <c r="C101" i="6"/>
  <c r="C102" i="6" s="1"/>
  <c r="C104" i="6" s="1"/>
  <c r="G101" i="6"/>
  <c r="G102" i="6" s="1"/>
  <c r="G104" i="6" s="1"/>
  <c r="H101" i="6"/>
  <c r="H102" i="6" s="1"/>
  <c r="H104" i="6" s="1"/>
  <c r="E101" i="6"/>
  <c r="E102" i="6" s="1"/>
  <c r="E104" i="6" s="1"/>
  <c r="W2" i="23" l="1"/>
  <c r="S2" i="23"/>
  <c r="BA22" i="23"/>
  <c r="AA27" i="25"/>
  <c r="Q2" i="23"/>
  <c r="P15" i="23"/>
  <c r="T15" i="23" s="1"/>
  <c r="V15" i="23" s="1"/>
  <c r="BA15" i="23" s="1"/>
  <c r="P16" i="23"/>
  <c r="T16" i="23" s="1"/>
  <c r="V16" i="23" s="1"/>
  <c r="BA16" i="23" s="1"/>
  <c r="R2" i="23"/>
  <c r="P20" i="23"/>
  <c r="T20" i="23" s="1"/>
  <c r="V20" i="23" s="1"/>
  <c r="BA20" i="23" s="1"/>
  <c r="V2" i="23"/>
  <c r="U2" i="23"/>
  <c r="P19" i="23"/>
  <c r="T19" i="23" s="1"/>
  <c r="V19" i="23" s="1"/>
  <c r="BA19" i="23" s="1"/>
  <c r="P18" i="23"/>
  <c r="T18" i="23" s="1"/>
  <c r="V18" i="23" s="1"/>
  <c r="BA18" i="23" s="1"/>
  <c r="T2" i="23"/>
  <c r="AF134" i="1"/>
  <c r="AF133" i="1"/>
  <c r="AF127" i="1"/>
  <c r="AF128" i="1"/>
  <c r="S18" i="20"/>
  <c r="AF132" i="1"/>
  <c r="AF170" i="1"/>
  <c r="AJ170" i="1" s="1"/>
  <c r="AM170" i="1" s="1"/>
  <c r="AF131" i="1"/>
  <c r="AJ131" i="1" s="1"/>
  <c r="AF130" i="1"/>
  <c r="AF126" i="1"/>
  <c r="AF164" i="1"/>
  <c r="AB118" i="6"/>
  <c r="W172" i="6"/>
  <c r="AF197" i="1"/>
  <c r="AJ197" i="1" s="1"/>
  <c r="AF226" i="1"/>
  <c r="AJ226" i="1" s="1"/>
  <c r="AF162" i="1"/>
  <c r="AJ162" i="1" s="1"/>
  <c r="AF168" i="1"/>
  <c r="AJ168" i="1" s="1"/>
  <c r="AM168" i="1" s="1"/>
  <c r="AF192" i="1"/>
  <c r="AF191" i="1"/>
  <c r="AF194" i="1"/>
  <c r="AJ194" i="1" s="1"/>
  <c r="AM194" i="1" s="1"/>
  <c r="AG99" i="1"/>
  <c r="AF190" i="1"/>
  <c r="AJ190" i="1" s="1"/>
  <c r="AM190" i="1" s="1"/>
  <c r="AF232" i="1"/>
  <c r="AJ232" i="1" s="1"/>
  <c r="AF231" i="1"/>
  <c r="AJ231" i="1" s="1"/>
  <c r="AF233" i="1"/>
  <c r="AJ233" i="1" s="1"/>
  <c r="S25" i="20"/>
  <c r="AF166" i="1"/>
  <c r="AF228" i="1"/>
  <c r="AJ228" i="1" s="1"/>
  <c r="AF227" i="1"/>
  <c r="AJ227" i="1" s="1"/>
  <c r="AF225" i="1"/>
  <c r="AF163" i="1"/>
  <c r="AJ163" i="1" s="1"/>
  <c r="AM163" i="1" s="1"/>
  <c r="AF193" i="1"/>
  <c r="AJ193" i="1" s="1"/>
  <c r="AF125" i="1"/>
  <c r="AJ129" i="1"/>
  <c r="AJ165" i="1"/>
  <c r="AJ128" i="1"/>
  <c r="AJ155" i="1"/>
  <c r="AM155" i="1" s="1"/>
  <c r="AX155" i="1" s="1"/>
  <c r="AI240" i="1"/>
  <c r="AJ229" i="1"/>
  <c r="AJ235" i="1"/>
  <c r="AJ203" i="1"/>
  <c r="AJ200" i="1"/>
  <c r="AJ198" i="1"/>
  <c r="AJ126" i="1"/>
  <c r="AJ132" i="1"/>
  <c r="AJ148" i="1"/>
  <c r="AJ202" i="1"/>
  <c r="AM202" i="1" s="1"/>
  <c r="AU202" i="1" s="1"/>
  <c r="AJ241" i="1"/>
  <c r="AJ167" i="1"/>
  <c r="AJ164" i="1"/>
  <c r="AJ199" i="1"/>
  <c r="AJ174" i="1"/>
  <c r="AM174" i="1" s="1"/>
  <c r="AW174" i="1" s="1"/>
  <c r="AJ181" i="1"/>
  <c r="AM181" i="1" s="1"/>
  <c r="AV181" i="1" s="1"/>
  <c r="AJ204" i="1"/>
  <c r="AJ225" i="1"/>
  <c r="AJ242" i="1"/>
  <c r="AJ230" i="1"/>
  <c r="AJ156" i="1"/>
  <c r="AJ238" i="1"/>
  <c r="AJ237" i="1"/>
  <c r="AJ214" i="1"/>
  <c r="AJ217" i="1"/>
  <c r="S22" i="20"/>
  <c r="AJ201" i="1"/>
  <c r="AM201" i="1" s="1"/>
  <c r="AJ125" i="1"/>
  <c r="AM125" i="1" s="1"/>
  <c r="AU125" i="1" s="1"/>
  <c r="AJ195" i="1"/>
  <c r="AJ240" i="1"/>
  <c r="AJ157" i="1"/>
  <c r="AM157" i="1" s="1"/>
  <c r="AJ154" i="1"/>
  <c r="AJ249" i="1"/>
  <c r="AJ120" i="1"/>
  <c r="AM120" i="1" s="1"/>
  <c r="AX120" i="1" s="1"/>
  <c r="AJ133" i="1"/>
  <c r="AM133" i="1" s="1"/>
  <c r="AX133" i="1" s="1"/>
  <c r="AG103" i="1"/>
  <c r="AJ234" i="1"/>
  <c r="AJ166" i="1"/>
  <c r="AJ239" i="1"/>
  <c r="AJ196" i="1"/>
  <c r="AM196" i="1" s="1"/>
  <c r="AJ130" i="1"/>
  <c r="AJ192" i="1"/>
  <c r="AJ191" i="1"/>
  <c r="AM191" i="1" s="1"/>
  <c r="AT191" i="1" s="1"/>
  <c r="AJ236" i="1"/>
  <c r="AJ161" i="1"/>
  <c r="AJ158" i="1"/>
  <c r="AJ159" i="1"/>
  <c r="AF169" i="1"/>
  <c r="AJ136" i="1"/>
  <c r="AM136" i="1" s="1"/>
  <c r="AV136" i="1" s="1"/>
  <c r="AJ160" i="1"/>
  <c r="AJ189" i="1"/>
  <c r="AM189" i="1" s="1"/>
  <c r="AJ134" i="1"/>
  <c r="AJ206" i="1"/>
  <c r="AJ205" i="1"/>
  <c r="AJ127" i="1"/>
  <c r="AM127" i="1" s="1"/>
  <c r="AJ153" i="1"/>
  <c r="AM153" i="1" s="1"/>
  <c r="Z172" i="6"/>
  <c r="Z118" i="6"/>
  <c r="AD172" i="6"/>
  <c r="AC172" i="6"/>
  <c r="AA131" i="6"/>
  <c r="AE172" i="6"/>
  <c r="Y172" i="6"/>
  <c r="AA172" i="6"/>
  <c r="AF124" i="1"/>
  <c r="AD118" i="6"/>
  <c r="AF250" i="1"/>
  <c r="Y176" i="6"/>
  <c r="AF246" i="1"/>
  <c r="AE176" i="6"/>
  <c r="AF151" i="1"/>
  <c r="X176" i="6"/>
  <c r="W176" i="6"/>
  <c r="U104" i="1"/>
  <c r="AF245" i="1"/>
  <c r="AF248" i="1"/>
  <c r="AB172" i="6"/>
  <c r="Z113" i="6"/>
  <c r="W111" i="1"/>
  <c r="W99" i="1"/>
  <c r="Y99" i="1" s="1"/>
  <c r="AF243" i="1"/>
  <c r="AI128" i="1"/>
  <c r="AB113" i="6"/>
  <c r="AF119" i="1"/>
  <c r="AM206" i="1"/>
  <c r="AV206" i="1" s="1"/>
  <c r="AF251" i="1"/>
  <c r="W98" i="1"/>
  <c r="I54" i="23"/>
  <c r="W102" i="1"/>
  <c r="C12" i="23" s="1"/>
  <c r="Y108" i="1"/>
  <c r="AI138" i="1"/>
  <c r="X127" i="6"/>
  <c r="Y185" i="6"/>
  <c r="AC118" i="6"/>
  <c r="AB127" i="6"/>
  <c r="AC185" i="6"/>
  <c r="W118" i="6"/>
  <c r="AA127" i="6"/>
  <c r="W185" i="6"/>
  <c r="Z127" i="6"/>
  <c r="AE127" i="6"/>
  <c r="W127" i="6"/>
  <c r="X131" i="6"/>
  <c r="AD185" i="6"/>
  <c r="Y127" i="6"/>
  <c r="AD131" i="6"/>
  <c r="W122" i="6"/>
  <c r="X185" i="6"/>
  <c r="AE181" i="6"/>
  <c r="AM126" i="1"/>
  <c r="AI130" i="1"/>
  <c r="I55" i="23"/>
  <c r="AD122" i="6"/>
  <c r="AM134" i="1"/>
  <c r="W107" i="1"/>
  <c r="Y107" i="1" s="1"/>
  <c r="AA122" i="6"/>
  <c r="I59" i="23"/>
  <c r="AB181" i="6"/>
  <c r="AB122" i="6"/>
  <c r="X194" i="6"/>
  <c r="Z122" i="6"/>
  <c r="AE122" i="6"/>
  <c r="I50" i="23"/>
  <c r="I56" i="23"/>
  <c r="Y122" i="6"/>
  <c r="AC122" i="6"/>
  <c r="C10" i="23"/>
  <c r="C31" i="23" s="1"/>
  <c r="AF221" i="1"/>
  <c r="AM148" i="1"/>
  <c r="AX148" i="1" s="1"/>
  <c r="W109" i="1"/>
  <c r="C19" i="23" s="1"/>
  <c r="AA190" i="6"/>
  <c r="X190" i="6"/>
  <c r="AB190" i="6"/>
  <c r="AC190" i="6"/>
  <c r="AE190" i="6"/>
  <c r="AF123" i="1"/>
  <c r="AF244" i="1"/>
  <c r="AF121" i="1"/>
  <c r="AI131" i="1"/>
  <c r="AC176" i="6"/>
  <c r="AE118" i="6"/>
  <c r="AE185" i="6"/>
  <c r="C14" i="23"/>
  <c r="C35" i="23" s="1"/>
  <c r="I57" i="23"/>
  <c r="AM195" i="1"/>
  <c r="AT195" i="1" s="1"/>
  <c r="AB176" i="6"/>
  <c r="Y118" i="6"/>
  <c r="Y181" i="6"/>
  <c r="Z185" i="6"/>
  <c r="I61" i="23"/>
  <c r="AF247" i="1"/>
  <c r="AA176" i="6"/>
  <c r="X118" i="6"/>
  <c r="AC181" i="6"/>
  <c r="AB185" i="6"/>
  <c r="W101" i="1"/>
  <c r="C11" i="23" s="1"/>
  <c r="W106" i="1"/>
  <c r="C16" i="23" s="1"/>
  <c r="I52" i="23"/>
  <c r="I60" i="23"/>
  <c r="AI132" i="1"/>
  <c r="Z176" i="6"/>
  <c r="W103" i="1"/>
  <c r="C13" i="23" s="1"/>
  <c r="P240" i="6"/>
  <c r="R240" i="6" s="1"/>
  <c r="T240" i="6" s="1"/>
  <c r="P231" i="6"/>
  <c r="R231" i="6" s="1"/>
  <c r="T231" i="6" s="1"/>
  <c r="P213" i="6"/>
  <c r="R213" i="6" s="1"/>
  <c r="T213" i="6" s="1"/>
  <c r="P159" i="6"/>
  <c r="R159" i="6" s="1"/>
  <c r="T159" i="6" s="1"/>
  <c r="P222" i="6"/>
  <c r="R222" i="6" s="1"/>
  <c r="T222" i="6" s="1"/>
  <c r="P168" i="6"/>
  <c r="R168" i="6" s="1"/>
  <c r="T168" i="6" s="1"/>
  <c r="P150" i="6"/>
  <c r="R150" i="6" s="1"/>
  <c r="T150" i="6" s="1"/>
  <c r="P204" i="6"/>
  <c r="R204" i="6" s="1"/>
  <c r="T204" i="6" s="1"/>
  <c r="P141" i="6"/>
  <c r="R141" i="6" s="1"/>
  <c r="T141" i="6" s="1"/>
  <c r="AE141" i="6" s="1"/>
  <c r="W131" i="6"/>
  <c r="AE131" i="6"/>
  <c r="Z131" i="6"/>
  <c r="AC131" i="6"/>
  <c r="Y131" i="6"/>
  <c r="AD181" i="6"/>
  <c r="Z181" i="6"/>
  <c r="W181" i="6"/>
  <c r="AA181" i="6"/>
  <c r="AE194" i="6"/>
  <c r="AD194" i="6"/>
  <c r="Y194" i="6"/>
  <c r="W194" i="6"/>
  <c r="I53" i="23"/>
  <c r="Y190" i="6"/>
  <c r="AD190" i="6"/>
  <c r="Z190" i="6"/>
  <c r="W190" i="6"/>
  <c r="Z194" i="6"/>
  <c r="W105" i="1"/>
  <c r="Y105" i="1" s="1"/>
  <c r="P178" i="6"/>
  <c r="R178" i="6" s="1"/>
  <c r="T178" i="6" s="1"/>
  <c r="P196" i="6"/>
  <c r="R196" i="6" s="1"/>
  <c r="T196" i="6" s="1"/>
  <c r="P124" i="6"/>
  <c r="R124" i="6" s="1"/>
  <c r="T124" i="6" s="1"/>
  <c r="P133" i="6"/>
  <c r="R133" i="6" s="1"/>
  <c r="T133" i="6" s="1"/>
  <c r="P187" i="6"/>
  <c r="R187" i="6" s="1"/>
  <c r="T187" i="6" s="1"/>
  <c r="P115" i="6"/>
  <c r="R115" i="6" s="1"/>
  <c r="T115" i="6" s="1"/>
  <c r="Z115" i="6" s="1"/>
  <c r="P174" i="6"/>
  <c r="R174" i="6" s="1"/>
  <c r="T174" i="6" s="1"/>
  <c r="P120" i="6"/>
  <c r="R120" i="6" s="1"/>
  <c r="T120" i="6" s="1"/>
  <c r="P129" i="6"/>
  <c r="R129" i="6" s="1"/>
  <c r="T129" i="6" s="1"/>
  <c r="P192" i="6"/>
  <c r="R192" i="6" s="1"/>
  <c r="T192" i="6" s="1"/>
  <c r="R111" i="6"/>
  <c r="T111" i="6" s="1"/>
  <c r="P183" i="6"/>
  <c r="R183" i="6" s="1"/>
  <c r="T183" i="6" s="1"/>
  <c r="AC194" i="6"/>
  <c r="AB194" i="6"/>
  <c r="P206" i="6"/>
  <c r="R206" i="6" s="1"/>
  <c r="T206" i="6" s="1"/>
  <c r="P152" i="6"/>
  <c r="R152" i="6" s="1"/>
  <c r="T152" i="6" s="1"/>
  <c r="P224" i="6"/>
  <c r="R224" i="6" s="1"/>
  <c r="T224" i="6" s="1"/>
  <c r="R161" i="6"/>
  <c r="P215" i="6"/>
  <c r="R215" i="6" s="1"/>
  <c r="T215" i="6" s="1"/>
  <c r="P143" i="6"/>
  <c r="R143" i="6" s="1"/>
  <c r="T143" i="6" s="1"/>
  <c r="AA143" i="6" s="1"/>
  <c r="P233" i="6"/>
  <c r="R233" i="6" s="1"/>
  <c r="T233" i="6" s="1"/>
  <c r="P134" i="6"/>
  <c r="R134" i="6" s="1"/>
  <c r="T134" i="6" s="1"/>
  <c r="P197" i="6"/>
  <c r="R197" i="6" s="1"/>
  <c r="T197" i="6" s="1"/>
  <c r="U112" i="1"/>
  <c r="W112" i="1"/>
  <c r="P132" i="6"/>
  <c r="R132" i="6" s="1"/>
  <c r="T132" i="6" s="1"/>
  <c r="P195" i="6"/>
  <c r="R195" i="6" s="1"/>
  <c r="T195" i="6" s="1"/>
  <c r="P186" i="6"/>
  <c r="R186" i="6" s="1"/>
  <c r="T186" i="6" s="1"/>
  <c r="P177" i="6"/>
  <c r="R177" i="6" s="1"/>
  <c r="T177" i="6" s="1"/>
  <c r="Z177" i="6" s="1"/>
  <c r="P114" i="6"/>
  <c r="R114" i="6" s="1"/>
  <c r="T114" i="6" s="1"/>
  <c r="P123" i="6"/>
  <c r="R123" i="6" s="1"/>
  <c r="T123" i="6" s="1"/>
  <c r="AA123" i="6" s="1"/>
  <c r="P184" i="6"/>
  <c r="R184" i="6" s="1"/>
  <c r="T184" i="6" s="1"/>
  <c r="P193" i="6"/>
  <c r="R193" i="6" s="1"/>
  <c r="T193" i="6" s="1"/>
  <c r="P112" i="6"/>
  <c r="R112" i="6" s="1"/>
  <c r="T112" i="6" s="1"/>
  <c r="P121" i="6"/>
  <c r="R121" i="6" s="1"/>
  <c r="T121" i="6" s="1"/>
  <c r="P130" i="6"/>
  <c r="R130" i="6" s="1"/>
  <c r="T130" i="6" s="1"/>
  <c r="P175" i="6"/>
  <c r="R175" i="6" s="1"/>
  <c r="T175" i="6" s="1"/>
  <c r="I58" i="23"/>
  <c r="P128" i="6"/>
  <c r="R128" i="6" s="1"/>
  <c r="T128" i="6" s="1"/>
  <c r="P173" i="6"/>
  <c r="R173" i="6" s="1"/>
  <c r="T173" i="6" s="1"/>
  <c r="W173" i="6" s="1"/>
  <c r="P191" i="6"/>
  <c r="R191" i="6" s="1"/>
  <c r="T191" i="6" s="1"/>
  <c r="P182" i="6"/>
  <c r="R182" i="6" s="1"/>
  <c r="T182" i="6" s="1"/>
  <c r="P110" i="6"/>
  <c r="R110" i="6" s="1"/>
  <c r="T110" i="6" s="1"/>
  <c r="P119" i="6"/>
  <c r="R119" i="6" s="1"/>
  <c r="T119" i="6" s="1"/>
  <c r="AD119" i="6" s="1"/>
  <c r="I62" i="23"/>
  <c r="P210" i="6"/>
  <c r="R210" i="6" s="1"/>
  <c r="T210" i="6" s="1"/>
  <c r="P219" i="6"/>
  <c r="R219" i="6" s="1"/>
  <c r="T219" i="6" s="1"/>
  <c r="P165" i="6"/>
  <c r="R165" i="6" s="1"/>
  <c r="T165" i="6" s="1"/>
  <c r="P156" i="6"/>
  <c r="R156" i="6" s="1"/>
  <c r="T156" i="6" s="1"/>
  <c r="P228" i="6"/>
  <c r="R228" i="6" s="1"/>
  <c r="T228" i="6" s="1"/>
  <c r="P138" i="6"/>
  <c r="R138" i="6" s="1"/>
  <c r="T138" i="6" s="1"/>
  <c r="Z138" i="6" s="1"/>
  <c r="P237" i="6"/>
  <c r="R237" i="6" s="1"/>
  <c r="T237" i="6" s="1"/>
  <c r="P147" i="6"/>
  <c r="R147" i="6" s="1"/>
  <c r="T147" i="6" s="1"/>
  <c r="P201" i="6"/>
  <c r="R201" i="6" s="1"/>
  <c r="T201" i="6" s="1"/>
  <c r="P216" i="6"/>
  <c r="R216" i="6" s="1"/>
  <c r="T216" i="6" s="1"/>
  <c r="P162" i="6"/>
  <c r="R162" i="6" s="1"/>
  <c r="T162" i="6" s="1"/>
  <c r="P225" i="6"/>
  <c r="R225" i="6" s="1"/>
  <c r="T225" i="6" s="1"/>
  <c r="P234" i="6"/>
  <c r="R234" i="6" s="1"/>
  <c r="T234" i="6" s="1"/>
  <c r="P144" i="6"/>
  <c r="R144" i="6" s="1"/>
  <c r="T144" i="6" s="1"/>
  <c r="P153" i="6"/>
  <c r="R153" i="6" s="1"/>
  <c r="T153" i="6" s="1"/>
  <c r="P135" i="6"/>
  <c r="R135" i="6" s="1"/>
  <c r="T135" i="6" s="1"/>
  <c r="P207" i="6"/>
  <c r="R207" i="6" s="1"/>
  <c r="T207" i="6" s="1"/>
  <c r="P198" i="6"/>
  <c r="R198" i="6" s="1"/>
  <c r="T198" i="6" s="1"/>
  <c r="P220" i="6"/>
  <c r="R220" i="6" s="1"/>
  <c r="T220" i="6" s="1"/>
  <c r="P166" i="6"/>
  <c r="R166" i="6" s="1"/>
  <c r="T166" i="6" s="1"/>
  <c r="P229" i="6"/>
  <c r="R229" i="6" s="1"/>
  <c r="T229" i="6" s="1"/>
  <c r="P238" i="6"/>
  <c r="R238" i="6" s="1"/>
  <c r="T238" i="6" s="1"/>
  <c r="P157" i="6"/>
  <c r="R157" i="6" s="1"/>
  <c r="T157" i="6" s="1"/>
  <c r="X157" i="6" s="1"/>
  <c r="P148" i="6"/>
  <c r="R148" i="6" s="1"/>
  <c r="T148" i="6" s="1"/>
  <c r="AE148" i="6" s="1"/>
  <c r="P139" i="6"/>
  <c r="R139" i="6" s="1"/>
  <c r="T139" i="6" s="1"/>
  <c r="P202" i="6"/>
  <c r="R202" i="6" s="1"/>
  <c r="T202" i="6" s="1"/>
  <c r="P211" i="6"/>
  <c r="R211" i="6" s="1"/>
  <c r="T211" i="6" s="1"/>
  <c r="P170" i="6"/>
  <c r="R170" i="6" s="1"/>
  <c r="T170" i="6" s="1"/>
  <c r="R116" i="6"/>
  <c r="T116" i="6" s="1"/>
  <c r="P179" i="6"/>
  <c r="R179" i="6" s="1"/>
  <c r="T179" i="6" s="1"/>
  <c r="P188" i="6"/>
  <c r="R188" i="6" s="1"/>
  <c r="T188" i="6" s="1"/>
  <c r="P107" i="6"/>
  <c r="R107" i="6" s="1"/>
  <c r="T107" i="6" s="1"/>
  <c r="P125" i="6"/>
  <c r="R125" i="6" s="1"/>
  <c r="T125" i="6" s="1"/>
  <c r="AM129" i="1"/>
  <c r="AX129" i="1" s="1"/>
  <c r="AM165" i="1"/>
  <c r="AS165" i="1" s="1"/>
  <c r="I49" i="23"/>
  <c r="P214" i="6"/>
  <c r="R214" i="6" s="1"/>
  <c r="T214" i="6" s="1"/>
  <c r="P160" i="6"/>
  <c r="R160" i="6" s="1"/>
  <c r="T160" i="6" s="1"/>
  <c r="P223" i="6"/>
  <c r="R223" i="6" s="1"/>
  <c r="T223" i="6" s="1"/>
  <c r="P232" i="6"/>
  <c r="R232" i="6" s="1"/>
  <c r="T232" i="6" s="1"/>
  <c r="P169" i="6"/>
  <c r="R169" i="6" s="1"/>
  <c r="T169" i="6" s="1"/>
  <c r="P241" i="6"/>
  <c r="R241" i="6" s="1"/>
  <c r="T241" i="6" s="1"/>
  <c r="P151" i="6"/>
  <c r="R151" i="6" s="1"/>
  <c r="T151" i="6" s="1"/>
  <c r="P205" i="6"/>
  <c r="R205" i="6" s="1"/>
  <c r="T205" i="6" s="1"/>
  <c r="P142" i="6"/>
  <c r="R142" i="6" s="1"/>
  <c r="T142" i="6" s="1"/>
  <c r="P230" i="6"/>
  <c r="R230" i="6" s="1"/>
  <c r="T230" i="6" s="1"/>
  <c r="P140" i="6"/>
  <c r="R140" i="6" s="1"/>
  <c r="T140" i="6" s="1"/>
  <c r="P149" i="6"/>
  <c r="R149" i="6" s="1"/>
  <c r="T149" i="6" s="1"/>
  <c r="P158" i="6"/>
  <c r="R158" i="6" s="1"/>
  <c r="T158" i="6" s="1"/>
  <c r="P203" i="6"/>
  <c r="R203" i="6" s="1"/>
  <c r="T203" i="6" s="1"/>
  <c r="P167" i="6"/>
  <c r="R167" i="6" s="1"/>
  <c r="T167" i="6" s="1"/>
  <c r="X167" i="6" s="1"/>
  <c r="P221" i="6"/>
  <c r="R221" i="6" s="1"/>
  <c r="T221" i="6" s="1"/>
  <c r="P212" i="6"/>
  <c r="R212" i="6" s="1"/>
  <c r="T212" i="6" s="1"/>
  <c r="P239" i="6"/>
  <c r="R239" i="6" s="1"/>
  <c r="T239" i="6" s="1"/>
  <c r="AD239" i="6" s="1"/>
  <c r="I51" i="23"/>
  <c r="P226" i="6"/>
  <c r="R226" i="6" s="1"/>
  <c r="T226" i="6" s="1"/>
  <c r="P208" i="6"/>
  <c r="R208" i="6" s="1"/>
  <c r="T208" i="6" s="1"/>
  <c r="P217" i="6"/>
  <c r="R217" i="6" s="1"/>
  <c r="T217" i="6" s="1"/>
  <c r="P235" i="6"/>
  <c r="R235" i="6" s="1"/>
  <c r="T235" i="6" s="1"/>
  <c r="P199" i="6"/>
  <c r="R199" i="6" s="1"/>
  <c r="T199" i="6" s="1"/>
  <c r="AE199" i="6" s="1"/>
  <c r="P154" i="6"/>
  <c r="R154" i="6" s="1"/>
  <c r="T154" i="6" s="1"/>
  <c r="P136" i="6"/>
  <c r="R136" i="6" s="1"/>
  <c r="T136" i="6" s="1"/>
  <c r="P145" i="6"/>
  <c r="R145" i="6" s="1"/>
  <c r="T145" i="6" s="1"/>
  <c r="P163" i="6"/>
  <c r="R163" i="6" s="1"/>
  <c r="T163" i="6" s="1"/>
  <c r="I63" i="23"/>
  <c r="P236" i="6"/>
  <c r="R236" i="6" s="1"/>
  <c r="T236" i="6" s="1"/>
  <c r="P164" i="6"/>
  <c r="R164" i="6" s="1"/>
  <c r="T164" i="6" s="1"/>
  <c r="P227" i="6"/>
  <c r="R227" i="6" s="1"/>
  <c r="T227" i="6" s="1"/>
  <c r="P146" i="6"/>
  <c r="R146" i="6" s="1"/>
  <c r="T146" i="6" s="1"/>
  <c r="P155" i="6"/>
  <c r="R155" i="6" s="1"/>
  <c r="T155" i="6" s="1"/>
  <c r="P209" i="6"/>
  <c r="R209" i="6" s="1"/>
  <c r="T209" i="6" s="1"/>
  <c r="P218" i="6"/>
  <c r="R218" i="6" s="1"/>
  <c r="T218" i="6" s="1"/>
  <c r="P137" i="6"/>
  <c r="R137" i="6" s="1"/>
  <c r="T137" i="6" s="1"/>
  <c r="P200" i="6"/>
  <c r="R200" i="6" s="1"/>
  <c r="T200" i="6" s="1"/>
  <c r="P180" i="6"/>
  <c r="R180" i="6" s="1"/>
  <c r="T180" i="6" s="1"/>
  <c r="P189" i="6"/>
  <c r="R189" i="6" s="1"/>
  <c r="T189" i="6" s="1"/>
  <c r="P126" i="6"/>
  <c r="R126" i="6" s="1"/>
  <c r="T126" i="6" s="1"/>
  <c r="P108" i="6"/>
  <c r="R108" i="6" s="1"/>
  <c r="T108" i="6" s="1"/>
  <c r="P117" i="6"/>
  <c r="R117" i="6" s="1"/>
  <c r="T117" i="6" s="1"/>
  <c r="P171" i="6"/>
  <c r="R171" i="6" s="1"/>
  <c r="T171" i="6" s="1"/>
  <c r="Y171" i="6" s="1"/>
  <c r="AF212" i="1"/>
  <c r="AF211" i="1"/>
  <c r="AF141" i="1"/>
  <c r="AF184" i="1"/>
  <c r="AF150" i="1"/>
  <c r="AF222" i="1"/>
  <c r="AF140" i="1"/>
  <c r="AF220" i="1"/>
  <c r="AF142" i="1"/>
  <c r="AF219" i="1"/>
  <c r="AF210" i="1"/>
  <c r="AF152" i="1"/>
  <c r="AF172" i="1"/>
  <c r="AF178" i="1"/>
  <c r="AF186" i="1"/>
  <c r="AF176" i="1"/>
  <c r="AF187" i="1"/>
  <c r="AF182" i="1"/>
  <c r="AF171" i="1"/>
  <c r="AF173" i="1"/>
  <c r="AF188" i="1"/>
  <c r="AF185" i="1"/>
  <c r="AF183" i="1"/>
  <c r="AF177" i="1"/>
  <c r="Y111" i="1"/>
  <c r="C21" i="23"/>
  <c r="Y106" i="1"/>
  <c r="Y109" i="1"/>
  <c r="C39" i="23"/>
  <c r="E18" i="23"/>
  <c r="E59" i="23" s="1"/>
  <c r="G18" i="23"/>
  <c r="I18" i="23" s="1"/>
  <c r="G10" i="23"/>
  <c r="I10" i="23" s="1"/>
  <c r="Y98" i="1"/>
  <c r="C8" i="23"/>
  <c r="G8" i="23" s="1"/>
  <c r="Y110" i="1"/>
  <c r="C20" i="23"/>
  <c r="Y101" i="1"/>
  <c r="Y102" i="1"/>
  <c r="C17" i="23"/>
  <c r="AI234" i="1"/>
  <c r="AI241" i="1"/>
  <c r="AI235" i="1"/>
  <c r="AI236" i="1"/>
  <c r="AI237" i="1"/>
  <c r="AI242" i="1"/>
  <c r="AF146" i="1"/>
  <c r="AF135" i="1"/>
  <c r="AF208" i="1"/>
  <c r="AF216" i="1"/>
  <c r="AF224" i="1"/>
  <c r="AF209" i="1"/>
  <c r="AF137" i="1"/>
  <c r="AF213" i="1"/>
  <c r="AF138" i="1"/>
  <c r="AI238" i="1"/>
  <c r="AI239" i="1"/>
  <c r="AF223" i="1"/>
  <c r="AF207" i="1"/>
  <c r="AF218" i="1"/>
  <c r="AF215" i="1"/>
  <c r="AF147" i="1"/>
  <c r="S27" i="20"/>
  <c r="U27" i="20" s="1"/>
  <c r="AI108" i="1" s="1"/>
  <c r="AG108" i="1"/>
  <c r="AF145" i="1"/>
  <c r="AF149" i="1"/>
  <c r="S20" i="20"/>
  <c r="AF144" i="1"/>
  <c r="AG101" i="1"/>
  <c r="S31" i="20"/>
  <c r="U31" i="20" s="1"/>
  <c r="AI112" i="1" s="1"/>
  <c r="AG112" i="1"/>
  <c r="AF180" i="1"/>
  <c r="S24" i="20"/>
  <c r="AG105" i="1"/>
  <c r="AF143" i="1"/>
  <c r="S19" i="20"/>
  <c r="AG100" i="1"/>
  <c r="AF139" i="1"/>
  <c r="S28" i="20"/>
  <c r="AG109" i="1"/>
  <c r="S23" i="20"/>
  <c r="AF175" i="1"/>
  <c r="AG104" i="1"/>
  <c r="AF179" i="1"/>
  <c r="AF117" i="1"/>
  <c r="AF122" i="1"/>
  <c r="S17" i="20"/>
  <c r="AF118" i="1"/>
  <c r="AG98" i="1"/>
  <c r="AC141" i="6"/>
  <c r="AD109" i="6"/>
  <c r="W109" i="6"/>
  <c r="AA109" i="6"/>
  <c r="Z109" i="6"/>
  <c r="AB109" i="6"/>
  <c r="X109" i="6"/>
  <c r="AC109" i="6"/>
  <c r="Y109" i="6"/>
  <c r="AE109" i="6"/>
  <c r="AD199" i="6"/>
  <c r="W199" i="6"/>
  <c r="X199" i="6"/>
  <c r="AB199" i="6"/>
  <c r="AC199" i="6"/>
  <c r="Y199" i="6"/>
  <c r="Z199" i="6"/>
  <c r="AE173" i="6"/>
  <c r="AB167" i="6"/>
  <c r="X143" i="6"/>
  <c r="W157" i="6"/>
  <c r="AW129" i="1"/>
  <c r="M105" i="12"/>
  <c r="L105" i="12"/>
  <c r="K105" i="12"/>
  <c r="J105" i="12"/>
  <c r="I105" i="12"/>
  <c r="H105" i="12"/>
  <c r="G105" i="12"/>
  <c r="F105" i="12"/>
  <c r="S226" i="12"/>
  <c r="S227" i="12"/>
  <c r="S230" i="12"/>
  <c r="S231" i="12"/>
  <c r="S216" i="12"/>
  <c r="S217" i="12"/>
  <c r="S220" i="12"/>
  <c r="S221" i="12"/>
  <c r="S215" i="12"/>
  <c r="S214" i="12"/>
  <c r="S180" i="12"/>
  <c r="S181" i="12"/>
  <c r="S184" i="12"/>
  <c r="S185" i="12"/>
  <c r="S179" i="12"/>
  <c r="S174" i="12"/>
  <c r="S164" i="12"/>
  <c r="S165" i="12"/>
  <c r="S168" i="12"/>
  <c r="S169" i="12"/>
  <c r="S154" i="12"/>
  <c r="V145" i="12"/>
  <c r="V148" i="12"/>
  <c r="V149" i="12"/>
  <c r="V143" i="12"/>
  <c r="V137" i="12"/>
  <c r="V138" i="12"/>
  <c r="V141" i="12"/>
  <c r="V142" i="12"/>
  <c r="V134" i="12"/>
  <c r="J90" i="12"/>
  <c r="S178" i="12"/>
  <c r="H95" i="12"/>
  <c r="S182" i="12" s="1"/>
  <c r="H96" i="12"/>
  <c r="S192" i="12" s="1"/>
  <c r="H97" i="12"/>
  <c r="S200" i="12" s="1"/>
  <c r="H98" i="12"/>
  <c r="S210" i="12" s="1"/>
  <c r="H99" i="12"/>
  <c r="S218" i="12" s="1"/>
  <c r="S228" i="12"/>
  <c r="H87" i="12"/>
  <c r="H88" i="12"/>
  <c r="J88" i="12" s="1"/>
  <c r="H89" i="12"/>
  <c r="J89" i="12" s="1"/>
  <c r="H90" i="12"/>
  <c r="H91" i="12"/>
  <c r="J91" i="12" s="1"/>
  <c r="H92" i="12"/>
  <c r="S158" i="12" s="1"/>
  <c r="H93" i="12"/>
  <c r="S162" i="12" s="1"/>
  <c r="G23" i="20"/>
  <c r="G25" i="20"/>
  <c r="G26" i="20"/>
  <c r="G28" i="20"/>
  <c r="G29" i="20"/>
  <c r="G30" i="20"/>
  <c r="G31" i="20"/>
  <c r="G22" i="20"/>
  <c r="R101" i="12"/>
  <c r="S101" i="12"/>
  <c r="V146" i="12" s="1"/>
  <c r="U168" i="12"/>
  <c r="R87" i="12"/>
  <c r="P88" i="12"/>
  <c r="Q88" i="12"/>
  <c r="R88" i="12"/>
  <c r="Q100" i="12" s="1"/>
  <c r="S88" i="12"/>
  <c r="R100" i="12" s="1"/>
  <c r="T88" i="12"/>
  <c r="S100" i="12" s="1"/>
  <c r="P89" i="12"/>
  <c r="S89" i="12"/>
  <c r="U125" i="12" s="1"/>
  <c r="T89" i="12"/>
  <c r="U134" i="12" s="1"/>
  <c r="P90" i="12"/>
  <c r="Q90" i="12"/>
  <c r="R90" i="12"/>
  <c r="S90" i="12"/>
  <c r="U126" i="12" s="1"/>
  <c r="P91" i="12"/>
  <c r="Q91" i="12"/>
  <c r="R91" i="12"/>
  <c r="S91" i="12"/>
  <c r="U127" i="12" s="1"/>
  <c r="T91" i="12"/>
  <c r="P92" i="12"/>
  <c r="Q92" i="12"/>
  <c r="R92" i="12"/>
  <c r="S92" i="12"/>
  <c r="U119" i="12" s="1"/>
  <c r="T92" i="12"/>
  <c r="P93" i="12"/>
  <c r="Q93" i="12"/>
  <c r="R93" i="12"/>
  <c r="S93" i="12"/>
  <c r="U129" i="12" s="1"/>
  <c r="T93" i="12"/>
  <c r="U165" i="12" s="1"/>
  <c r="P94" i="12"/>
  <c r="Q94" i="12"/>
  <c r="R94" i="12"/>
  <c r="S94" i="12"/>
  <c r="U130" i="12" s="1"/>
  <c r="T94" i="12"/>
  <c r="U139" i="12" s="1"/>
  <c r="P95" i="12"/>
  <c r="Q95" i="12"/>
  <c r="R95" i="12"/>
  <c r="S95" i="12"/>
  <c r="U131" i="12" s="1"/>
  <c r="T95" i="12"/>
  <c r="P96" i="12"/>
  <c r="Q96" i="12"/>
  <c r="R96" i="12"/>
  <c r="S96" i="12"/>
  <c r="U123" i="12" s="1"/>
  <c r="T96" i="12"/>
  <c r="U159" i="12" s="1"/>
  <c r="P97" i="12"/>
  <c r="Q97" i="12"/>
  <c r="R97" i="12"/>
  <c r="S97" i="12"/>
  <c r="U133" i="12" s="1"/>
  <c r="T97" i="12"/>
  <c r="U169" i="12" s="1"/>
  <c r="AA20" i="20"/>
  <c r="AA21" i="20"/>
  <c r="AA22" i="20"/>
  <c r="AA23" i="20"/>
  <c r="F50" i="20"/>
  <c r="F54" i="20"/>
  <c r="E49" i="20"/>
  <c r="E53" i="20"/>
  <c r="C47" i="20"/>
  <c r="C48" i="20"/>
  <c r="C49" i="20"/>
  <c r="C50" i="20"/>
  <c r="C51" i="20"/>
  <c r="C52" i="20"/>
  <c r="C53" i="20"/>
  <c r="C54" i="20"/>
  <c r="C46" i="20"/>
  <c r="E8" i="20"/>
  <c r="F47" i="20" s="1"/>
  <c r="Z19" i="20"/>
  <c r="AA19" i="20" s="1"/>
  <c r="Z18" i="20"/>
  <c r="AA18" i="20" s="1"/>
  <c r="Z17" i="20"/>
  <c r="AA17" i="20" s="1"/>
  <c r="L23" i="20"/>
  <c r="L22" i="20"/>
  <c r="L21" i="20"/>
  <c r="L20" i="20"/>
  <c r="L19" i="20"/>
  <c r="L18" i="20"/>
  <c r="L17" i="20"/>
  <c r="D31" i="20"/>
  <c r="D30" i="20"/>
  <c r="D29" i="20"/>
  <c r="D28" i="20"/>
  <c r="D27" i="20"/>
  <c r="D26" i="20"/>
  <c r="D25" i="20"/>
  <c r="D23" i="20"/>
  <c r="D22" i="20"/>
  <c r="D21" i="20"/>
  <c r="D20" i="20"/>
  <c r="D19" i="20"/>
  <c r="D18" i="20"/>
  <c r="D17" i="20"/>
  <c r="AP117" i="5"/>
  <c r="D8" i="20"/>
  <c r="E50" i="20" s="1"/>
  <c r="C8" i="20"/>
  <c r="D48" i="20" s="1"/>
  <c r="AA29" i="25" l="1"/>
  <c r="AG29" i="25" s="1"/>
  <c r="AV201" i="1"/>
  <c r="AX201" i="1"/>
  <c r="AU201" i="1"/>
  <c r="AS201" i="1"/>
  <c r="AS163" i="1"/>
  <c r="AV163" i="1"/>
  <c r="AU163" i="1"/>
  <c r="AX163" i="1"/>
  <c r="AW163" i="1"/>
  <c r="AM240" i="1"/>
  <c r="AS240" i="1" s="1"/>
  <c r="U28" i="20"/>
  <c r="AI109" i="1" s="1"/>
  <c r="AM131" i="1"/>
  <c r="AV131" i="1" s="1"/>
  <c r="S195" i="12"/>
  <c r="S190" i="12"/>
  <c r="S191" i="12"/>
  <c r="S194" i="12"/>
  <c r="AM241" i="1"/>
  <c r="AU241" i="1" s="1"/>
  <c r="AJ223" i="1"/>
  <c r="AJ152" i="1"/>
  <c r="AJ145" i="1"/>
  <c r="AM239" i="1"/>
  <c r="AS239" i="1" s="1"/>
  <c r="AJ224" i="1"/>
  <c r="AM235" i="1"/>
  <c r="AW235" i="1" s="1"/>
  <c r="AJ210" i="1"/>
  <c r="AJ141" i="1"/>
  <c r="AM166" i="1"/>
  <c r="AW166" i="1" s="1"/>
  <c r="AJ244" i="1"/>
  <c r="AM130" i="1"/>
  <c r="AU130" i="1" s="1"/>
  <c r="AJ245" i="1"/>
  <c r="AJ118" i="1"/>
  <c r="AJ219" i="1"/>
  <c r="AM204" i="1"/>
  <c r="AJ208" i="1"/>
  <c r="AM234" i="1"/>
  <c r="AT234" i="1" s="1"/>
  <c r="AJ177" i="1"/>
  <c r="AJ187" i="1"/>
  <c r="AJ142" i="1"/>
  <c r="AJ211" i="1"/>
  <c r="AM132" i="1"/>
  <c r="AT132" i="1" s="1"/>
  <c r="AM203" i="1"/>
  <c r="AW203" i="1" s="1"/>
  <c r="AM162" i="1"/>
  <c r="AV162" i="1" s="1"/>
  <c r="AJ243" i="1"/>
  <c r="AM200" i="1"/>
  <c r="AM197" i="1"/>
  <c r="AT197" i="1" s="1"/>
  <c r="AJ216" i="1"/>
  <c r="AJ250" i="1"/>
  <c r="AJ169" i="1"/>
  <c r="AM156" i="1"/>
  <c r="AX156" i="1" s="1"/>
  <c r="AJ122" i="1"/>
  <c r="AJ139" i="1"/>
  <c r="AJ147" i="1"/>
  <c r="AJ135" i="1"/>
  <c r="AJ183" i="1"/>
  <c r="AJ176" i="1"/>
  <c r="AJ220" i="1"/>
  <c r="AJ212" i="1"/>
  <c r="AM199" i="1"/>
  <c r="AW199" i="1" s="1"/>
  <c r="AM128" i="1"/>
  <c r="AW128" i="1" s="1"/>
  <c r="AM193" i="1"/>
  <c r="AJ221" i="1"/>
  <c r="AM159" i="1"/>
  <c r="AM167" i="1"/>
  <c r="AV167" i="1" s="1"/>
  <c r="AJ180" i="1"/>
  <c r="AJ185" i="1"/>
  <c r="AJ124" i="1"/>
  <c r="AM205" i="1"/>
  <c r="AM154" i="1"/>
  <c r="AJ138" i="1"/>
  <c r="AM138" i="1" s="1"/>
  <c r="AJ140" i="1"/>
  <c r="AT163" i="1"/>
  <c r="AJ179" i="1"/>
  <c r="AJ144" i="1"/>
  <c r="AJ218" i="1"/>
  <c r="AJ213" i="1"/>
  <c r="AM242" i="1"/>
  <c r="AS242" i="1" s="1"/>
  <c r="AJ188" i="1"/>
  <c r="AJ178" i="1"/>
  <c r="AJ222" i="1"/>
  <c r="AM164" i="1"/>
  <c r="AX164" i="1" s="1"/>
  <c r="AM198" i="1"/>
  <c r="AW198" i="1" s="1"/>
  <c r="AJ251" i="1"/>
  <c r="AJ151" i="1"/>
  <c r="AM158" i="1"/>
  <c r="AJ182" i="1"/>
  <c r="AJ123" i="1"/>
  <c r="AJ117" i="1"/>
  <c r="AJ215" i="1"/>
  <c r="AJ146" i="1"/>
  <c r="AJ186" i="1"/>
  <c r="AJ143" i="1"/>
  <c r="AJ207" i="1"/>
  <c r="AJ137" i="1"/>
  <c r="AM237" i="1"/>
  <c r="AX237" i="1" s="1"/>
  <c r="AJ173" i="1"/>
  <c r="AJ172" i="1"/>
  <c r="AJ150" i="1"/>
  <c r="AM161" i="1"/>
  <c r="AU161" i="1" s="1"/>
  <c r="AJ247" i="1"/>
  <c r="AM160" i="1"/>
  <c r="AV160" i="1" s="1"/>
  <c r="AM192" i="1"/>
  <c r="AU192" i="1" s="1"/>
  <c r="AM238" i="1"/>
  <c r="AV238" i="1" s="1"/>
  <c r="AJ175" i="1"/>
  <c r="AJ149" i="1"/>
  <c r="AJ209" i="1"/>
  <c r="AM236" i="1"/>
  <c r="AS236" i="1" s="1"/>
  <c r="AJ171" i="1"/>
  <c r="AJ184" i="1"/>
  <c r="AJ121" i="1"/>
  <c r="AJ119" i="1"/>
  <c r="AJ248" i="1"/>
  <c r="AJ246" i="1"/>
  <c r="AS206" i="1"/>
  <c r="AX125" i="1"/>
  <c r="AU206" i="1"/>
  <c r="AX195" i="1"/>
  <c r="AV191" i="1"/>
  <c r="AW195" i="1"/>
  <c r="AT155" i="1"/>
  <c r="AW191" i="1"/>
  <c r="AW120" i="1"/>
  <c r="AU191" i="1"/>
  <c r="AX191" i="1"/>
  <c r="AX181" i="1"/>
  <c r="AS195" i="1"/>
  <c r="AS191" i="1"/>
  <c r="AU181" i="1"/>
  <c r="AU174" i="1"/>
  <c r="AB171" i="6"/>
  <c r="Y123" i="6"/>
  <c r="AC148" i="6"/>
  <c r="W123" i="6"/>
  <c r="AT120" i="1"/>
  <c r="AS120" i="1"/>
  <c r="AW125" i="1"/>
  <c r="AT125" i="1"/>
  <c r="AS125" i="1"/>
  <c r="AV120" i="1"/>
  <c r="AV125" i="1"/>
  <c r="AU120" i="1"/>
  <c r="AT181" i="1"/>
  <c r="W148" i="6"/>
  <c r="AV165" i="1"/>
  <c r="AX206" i="1"/>
  <c r="AW181" i="1"/>
  <c r="Z148" i="6"/>
  <c r="Y103" i="1"/>
  <c r="AT206" i="1"/>
  <c r="AS181" i="1"/>
  <c r="AV195" i="1"/>
  <c r="AC177" i="6"/>
  <c r="AD148" i="6"/>
  <c r="C9" i="23"/>
  <c r="AW148" i="1"/>
  <c r="AE171" i="6"/>
  <c r="AU128" i="1"/>
  <c r="AW206" i="1"/>
  <c r="AW202" i="1"/>
  <c r="AU195" i="1"/>
  <c r="AE123" i="6"/>
  <c r="AT165" i="1"/>
  <c r="AX174" i="1"/>
  <c r="AD123" i="6"/>
  <c r="AA167" i="6"/>
  <c r="AX199" i="1"/>
  <c r="X171" i="6"/>
  <c r="AU165" i="1"/>
  <c r="AT148" i="1"/>
  <c r="AA157" i="6"/>
  <c r="Z141" i="6"/>
  <c r="AE157" i="6"/>
  <c r="Y141" i="6"/>
  <c r="AS162" i="1"/>
  <c r="Z157" i="6"/>
  <c r="AB141" i="6"/>
  <c r="AC157" i="6"/>
  <c r="AD157" i="6"/>
  <c r="X141" i="6"/>
  <c r="AA141" i="6"/>
  <c r="AD141" i="6"/>
  <c r="AS148" i="1"/>
  <c r="AV148" i="1"/>
  <c r="AU148" i="1"/>
  <c r="AB157" i="6"/>
  <c r="W141" i="6"/>
  <c r="E55" i="23"/>
  <c r="Y157" i="6"/>
  <c r="AT201" i="1"/>
  <c r="E10" i="23"/>
  <c r="E51" i="23" s="1"/>
  <c r="AS155" i="1"/>
  <c r="AW201" i="1"/>
  <c r="AD171" i="6"/>
  <c r="X148" i="6"/>
  <c r="Z119" i="6"/>
  <c r="AA199" i="6"/>
  <c r="AT133" i="1"/>
  <c r="AE239" i="6"/>
  <c r="AV174" i="1"/>
  <c r="AC171" i="6"/>
  <c r="AB123" i="6"/>
  <c r="AD143" i="6"/>
  <c r="AU136" i="1"/>
  <c r="AV202" i="1"/>
  <c r="AT136" i="1"/>
  <c r="AX161" i="1"/>
  <c r="AC239" i="6"/>
  <c r="X177" i="6"/>
  <c r="W143" i="6"/>
  <c r="AE119" i="6"/>
  <c r="W119" i="6"/>
  <c r="AB177" i="6"/>
  <c r="AW136" i="1"/>
  <c r="AB239" i="6"/>
  <c r="AA177" i="6"/>
  <c r="AE143" i="6"/>
  <c r="Y119" i="6"/>
  <c r="AW161" i="1"/>
  <c r="AS136" i="1"/>
  <c r="AT161" i="1"/>
  <c r="X239" i="6"/>
  <c r="W177" i="6"/>
  <c r="AD138" i="6"/>
  <c r="AC119" i="6"/>
  <c r="Z239" i="6"/>
  <c r="AA119" i="6"/>
  <c r="AS161" i="1"/>
  <c r="AA239" i="6"/>
  <c r="Y177" i="6"/>
  <c r="AD177" i="6"/>
  <c r="AE138" i="6"/>
  <c r="X119" i="6"/>
  <c r="AV161" i="1"/>
  <c r="W239" i="6"/>
  <c r="AE177" i="6"/>
  <c r="AC138" i="6"/>
  <c r="AB119" i="6"/>
  <c r="AX136" i="1"/>
  <c r="Y239" i="6"/>
  <c r="Y138" i="6"/>
  <c r="AT174" i="1"/>
  <c r="AA171" i="6"/>
  <c r="AC123" i="6"/>
  <c r="Y148" i="6"/>
  <c r="AC143" i="6"/>
  <c r="Z143" i="6"/>
  <c r="AB138" i="6"/>
  <c r="AE167" i="6"/>
  <c r="AU155" i="1"/>
  <c r="AX165" i="1"/>
  <c r="W167" i="6"/>
  <c r="AS174" i="1"/>
  <c r="W171" i="6"/>
  <c r="X123" i="6"/>
  <c r="AB148" i="6"/>
  <c r="Y143" i="6"/>
  <c r="W138" i="6"/>
  <c r="X138" i="6"/>
  <c r="Z167" i="6"/>
  <c r="AW155" i="1"/>
  <c r="AD167" i="6"/>
  <c r="AT202" i="1"/>
  <c r="Y167" i="6"/>
  <c r="AX202" i="1"/>
  <c r="Z171" i="6"/>
  <c r="Z123" i="6"/>
  <c r="AA148" i="6"/>
  <c r="AB143" i="6"/>
  <c r="AA138" i="6"/>
  <c r="AC167" i="6"/>
  <c r="G9" i="23"/>
  <c r="I9" i="23" s="1"/>
  <c r="AW133" i="1"/>
  <c r="AS202" i="1"/>
  <c r="AV155" i="1"/>
  <c r="AW165" i="1"/>
  <c r="AA203" i="6"/>
  <c r="AB203" i="6"/>
  <c r="AC203" i="6"/>
  <c r="AE203" i="6"/>
  <c r="Z203" i="6"/>
  <c r="Y203" i="6"/>
  <c r="AD203" i="6"/>
  <c r="W203" i="6"/>
  <c r="X203" i="6"/>
  <c r="AC198" i="6"/>
  <c r="AE198" i="6"/>
  <c r="AD198" i="6"/>
  <c r="W198" i="6"/>
  <c r="AA198" i="6"/>
  <c r="Y198" i="6"/>
  <c r="X198" i="6"/>
  <c r="AB198" i="6"/>
  <c r="Z198" i="6"/>
  <c r="AB184" i="6"/>
  <c r="AC184" i="6"/>
  <c r="AE184" i="6"/>
  <c r="AD184" i="6"/>
  <c r="W184" i="6"/>
  <c r="AA184" i="6"/>
  <c r="X184" i="6"/>
  <c r="Y184" i="6"/>
  <c r="Z184" i="6"/>
  <c r="AB158" i="6"/>
  <c r="AD158" i="6"/>
  <c r="AC158" i="6"/>
  <c r="Z158" i="6"/>
  <c r="AE158" i="6"/>
  <c r="W158" i="6"/>
  <c r="AA158" i="6"/>
  <c r="X158" i="6"/>
  <c r="Y158" i="6"/>
  <c r="Z207" i="6"/>
  <c r="W207" i="6"/>
  <c r="Y207" i="6"/>
  <c r="AA207" i="6"/>
  <c r="X207" i="6"/>
  <c r="AB207" i="6"/>
  <c r="AD207" i="6"/>
  <c r="AC207" i="6"/>
  <c r="AE207" i="6"/>
  <c r="AC128" i="6"/>
  <c r="Y128" i="6"/>
  <c r="AE128" i="6"/>
  <c r="AB128" i="6"/>
  <c r="W128" i="6"/>
  <c r="AA128" i="6"/>
  <c r="Z128" i="6"/>
  <c r="AD128" i="6"/>
  <c r="X128" i="6"/>
  <c r="AA120" i="6"/>
  <c r="X120" i="6"/>
  <c r="AC120" i="6"/>
  <c r="W120" i="6"/>
  <c r="Y120" i="6"/>
  <c r="AE120" i="6"/>
  <c r="AD120" i="6"/>
  <c r="Z120" i="6"/>
  <c r="AB120" i="6"/>
  <c r="AC173" i="6"/>
  <c r="AD173" i="6"/>
  <c r="C96" i="23"/>
  <c r="C75" i="23"/>
  <c r="AD218" i="6"/>
  <c r="Y218" i="6"/>
  <c r="W218" i="6"/>
  <c r="X218" i="6"/>
  <c r="AB218" i="6"/>
  <c r="AA218" i="6"/>
  <c r="AC218" i="6"/>
  <c r="AE218" i="6"/>
  <c r="Z218" i="6"/>
  <c r="AC163" i="6"/>
  <c r="AB163" i="6"/>
  <c r="Y163" i="6"/>
  <c r="AD163" i="6"/>
  <c r="Z163" i="6"/>
  <c r="W163" i="6"/>
  <c r="AA163" i="6"/>
  <c r="X163" i="6"/>
  <c r="AE163" i="6"/>
  <c r="AC226" i="6"/>
  <c r="AE226" i="6"/>
  <c r="Y226" i="6"/>
  <c r="Z226" i="6"/>
  <c r="AD226" i="6"/>
  <c r="W226" i="6"/>
  <c r="AB226" i="6"/>
  <c r="AA226" i="6"/>
  <c r="X226" i="6"/>
  <c r="W149" i="6"/>
  <c r="X149" i="6"/>
  <c r="AE149" i="6"/>
  <c r="AA149" i="6"/>
  <c r="AB149" i="6"/>
  <c r="Y149" i="6"/>
  <c r="AD149" i="6"/>
  <c r="Z149" i="6"/>
  <c r="AC149" i="6"/>
  <c r="X232" i="6"/>
  <c r="AB232" i="6"/>
  <c r="Z232" i="6"/>
  <c r="AE232" i="6"/>
  <c r="AC232" i="6"/>
  <c r="AD232" i="6"/>
  <c r="Y232" i="6"/>
  <c r="W232" i="6"/>
  <c r="AA232" i="6"/>
  <c r="W107" i="6"/>
  <c r="AD107" i="6"/>
  <c r="Z107" i="6"/>
  <c r="X107" i="6"/>
  <c r="AB107" i="6"/>
  <c r="Y107" i="6"/>
  <c r="AC107" i="6"/>
  <c r="AE107" i="6"/>
  <c r="AA107" i="6"/>
  <c r="AC135" i="6"/>
  <c r="Z135" i="6"/>
  <c r="AE135" i="6"/>
  <c r="AB135" i="6"/>
  <c r="AD135" i="6"/>
  <c r="Y135" i="6"/>
  <c r="W135" i="6"/>
  <c r="X135" i="6"/>
  <c r="AA135" i="6"/>
  <c r="AB201" i="6"/>
  <c r="AC201" i="6"/>
  <c r="Z201" i="6"/>
  <c r="X201" i="6"/>
  <c r="AE201" i="6"/>
  <c r="Y201" i="6"/>
  <c r="AA201" i="6"/>
  <c r="W201" i="6"/>
  <c r="AD201" i="6"/>
  <c r="AD210" i="6"/>
  <c r="Y210" i="6"/>
  <c r="W210" i="6"/>
  <c r="AA210" i="6"/>
  <c r="AC210" i="6"/>
  <c r="Z210" i="6"/>
  <c r="AE210" i="6"/>
  <c r="AB210" i="6"/>
  <c r="X210" i="6"/>
  <c r="AB197" i="6"/>
  <c r="AC197" i="6"/>
  <c r="AE197" i="6"/>
  <c r="X197" i="6"/>
  <c r="AA197" i="6"/>
  <c r="Z197" i="6"/>
  <c r="Y197" i="6"/>
  <c r="W197" i="6"/>
  <c r="AD197" i="6"/>
  <c r="AC206" i="6"/>
  <c r="AE206" i="6"/>
  <c r="AD206" i="6"/>
  <c r="Z206" i="6"/>
  <c r="Y206" i="6"/>
  <c r="W206" i="6"/>
  <c r="AA206" i="6"/>
  <c r="X206" i="6"/>
  <c r="AB206" i="6"/>
  <c r="Z174" i="6"/>
  <c r="AE174" i="6"/>
  <c r="AD174" i="6"/>
  <c r="Y174" i="6"/>
  <c r="AC174" i="6"/>
  <c r="W174" i="6"/>
  <c r="AA174" i="6"/>
  <c r="AB174" i="6"/>
  <c r="X174" i="6"/>
  <c r="Y231" i="6"/>
  <c r="Z231" i="6"/>
  <c r="W231" i="6"/>
  <c r="AA231" i="6"/>
  <c r="AD231" i="6"/>
  <c r="AC231" i="6"/>
  <c r="AE231" i="6"/>
  <c r="X231" i="6"/>
  <c r="AB231" i="6"/>
  <c r="AE217" i="6"/>
  <c r="Y217" i="6"/>
  <c r="AD217" i="6"/>
  <c r="Z217" i="6"/>
  <c r="W217" i="6"/>
  <c r="AA217" i="6"/>
  <c r="AC217" i="6"/>
  <c r="X217" i="6"/>
  <c r="AB217" i="6"/>
  <c r="X216" i="6"/>
  <c r="AB216" i="6"/>
  <c r="AC216" i="6"/>
  <c r="AA216" i="6"/>
  <c r="Z216" i="6"/>
  <c r="AE216" i="6"/>
  <c r="Y216" i="6"/>
  <c r="W216" i="6"/>
  <c r="AD216" i="6"/>
  <c r="Y112" i="1"/>
  <c r="C22" i="23"/>
  <c r="AT129" i="1"/>
  <c r="AB137" i="6"/>
  <c r="AC137" i="6"/>
  <c r="Y137" i="6"/>
  <c r="Z137" i="6"/>
  <c r="AE137" i="6"/>
  <c r="W137" i="6"/>
  <c r="AA137" i="6"/>
  <c r="AD137" i="6"/>
  <c r="X137" i="6"/>
  <c r="W125" i="6"/>
  <c r="AA125" i="6"/>
  <c r="AB125" i="6"/>
  <c r="X125" i="6"/>
  <c r="Z125" i="6"/>
  <c r="AC125" i="6"/>
  <c r="Y125" i="6"/>
  <c r="AE125" i="6"/>
  <c r="AD125" i="6"/>
  <c r="AA213" i="6"/>
  <c r="AB213" i="6"/>
  <c r="X213" i="6"/>
  <c r="AC213" i="6"/>
  <c r="Z213" i="6"/>
  <c r="AE213" i="6"/>
  <c r="W213" i="6"/>
  <c r="Y213" i="6"/>
  <c r="AD213" i="6"/>
  <c r="AS133" i="1"/>
  <c r="AS129" i="1"/>
  <c r="AV133" i="1"/>
  <c r="AV129" i="1"/>
  <c r="Y173" i="6"/>
  <c r="C92" i="23"/>
  <c r="C71" i="23"/>
  <c r="W117" i="6"/>
  <c r="Z117" i="6"/>
  <c r="X117" i="6"/>
  <c r="AC117" i="6"/>
  <c r="Y117" i="6"/>
  <c r="AE117" i="6"/>
  <c r="AD117" i="6"/>
  <c r="AA117" i="6"/>
  <c r="AB117" i="6"/>
  <c r="AB209" i="6"/>
  <c r="AE209" i="6"/>
  <c r="AA209" i="6"/>
  <c r="X209" i="6"/>
  <c r="AC209" i="6"/>
  <c r="Z209" i="6"/>
  <c r="AD209" i="6"/>
  <c r="W209" i="6"/>
  <c r="Y209" i="6"/>
  <c r="W145" i="6"/>
  <c r="X145" i="6"/>
  <c r="Z145" i="6"/>
  <c r="AE145" i="6"/>
  <c r="AA145" i="6"/>
  <c r="AB145" i="6"/>
  <c r="AD145" i="6"/>
  <c r="Y145" i="6"/>
  <c r="AC145" i="6"/>
  <c r="AA140" i="6"/>
  <c r="X140" i="6"/>
  <c r="W140" i="6"/>
  <c r="AB140" i="6"/>
  <c r="AD140" i="6"/>
  <c r="Y140" i="6"/>
  <c r="AC140" i="6"/>
  <c r="Z140" i="6"/>
  <c r="AE140" i="6"/>
  <c r="Y223" i="6"/>
  <c r="AD223" i="6"/>
  <c r="Z223" i="6"/>
  <c r="W223" i="6"/>
  <c r="AA223" i="6"/>
  <c r="X223" i="6"/>
  <c r="AB223" i="6"/>
  <c r="AC223" i="6"/>
  <c r="AE223" i="6"/>
  <c r="AC188" i="6"/>
  <c r="Z188" i="6"/>
  <c r="AE188" i="6"/>
  <c r="AA188" i="6"/>
  <c r="X188" i="6"/>
  <c r="AB188" i="6"/>
  <c r="Y188" i="6"/>
  <c r="W188" i="6"/>
  <c r="AD188" i="6"/>
  <c r="Z153" i="6"/>
  <c r="AE153" i="6"/>
  <c r="W153" i="6"/>
  <c r="AB153" i="6"/>
  <c r="Y153" i="6"/>
  <c r="AC153" i="6"/>
  <c r="X153" i="6"/>
  <c r="AD153" i="6"/>
  <c r="AA153" i="6"/>
  <c r="AB147" i="6"/>
  <c r="AC147" i="6"/>
  <c r="AD147" i="6"/>
  <c r="Y147" i="6"/>
  <c r="AE147" i="6"/>
  <c r="W147" i="6"/>
  <c r="AA147" i="6"/>
  <c r="X147" i="6"/>
  <c r="Z147" i="6"/>
  <c r="AC175" i="6"/>
  <c r="Z175" i="6"/>
  <c r="W175" i="6"/>
  <c r="AA175" i="6"/>
  <c r="X175" i="6"/>
  <c r="AB175" i="6"/>
  <c r="Y175" i="6"/>
  <c r="AE175" i="6"/>
  <c r="AD175" i="6"/>
  <c r="W114" i="6"/>
  <c r="AB114" i="6"/>
  <c r="X114" i="6"/>
  <c r="AE114" i="6"/>
  <c r="Z114" i="6"/>
  <c r="Y114" i="6"/>
  <c r="AA114" i="6"/>
  <c r="AC114" i="6"/>
  <c r="AD114" i="6"/>
  <c r="Y134" i="6"/>
  <c r="AC134" i="6"/>
  <c r="Z134" i="6"/>
  <c r="AE134" i="6"/>
  <c r="AD134" i="6"/>
  <c r="X134" i="6"/>
  <c r="AB134" i="6"/>
  <c r="AA134" i="6"/>
  <c r="W134" i="6"/>
  <c r="AA115" i="6"/>
  <c r="AB115" i="6"/>
  <c r="X115" i="6"/>
  <c r="AC115" i="6"/>
  <c r="Y115" i="6"/>
  <c r="AE115" i="6"/>
  <c r="W115" i="6"/>
  <c r="AD115" i="6"/>
  <c r="AC240" i="6"/>
  <c r="AE240" i="6"/>
  <c r="Z240" i="6"/>
  <c r="AD240" i="6"/>
  <c r="AB240" i="6"/>
  <c r="W240" i="6"/>
  <c r="AA240" i="6"/>
  <c r="X240" i="6"/>
  <c r="Y240" i="6"/>
  <c r="AA200" i="6"/>
  <c r="X200" i="6"/>
  <c r="AB200" i="6"/>
  <c r="W200" i="6"/>
  <c r="AC200" i="6"/>
  <c r="AE200" i="6"/>
  <c r="Z200" i="6"/>
  <c r="Y200" i="6"/>
  <c r="AD200" i="6"/>
  <c r="AC241" i="6"/>
  <c r="Z241" i="6"/>
  <c r="AE241" i="6"/>
  <c r="AD241" i="6"/>
  <c r="Y241" i="6"/>
  <c r="W241" i="6"/>
  <c r="AA241" i="6"/>
  <c r="X241" i="6"/>
  <c r="AB241" i="6"/>
  <c r="AA165" i="6"/>
  <c r="X165" i="6"/>
  <c r="AB165" i="6"/>
  <c r="Y165" i="6"/>
  <c r="AC165" i="6"/>
  <c r="AD165" i="6"/>
  <c r="Z165" i="6"/>
  <c r="W165" i="6"/>
  <c r="AE165" i="6"/>
  <c r="W224" i="6"/>
  <c r="AA224" i="6"/>
  <c r="X224" i="6"/>
  <c r="Y224" i="6"/>
  <c r="AD224" i="6"/>
  <c r="AB224" i="6"/>
  <c r="Z224" i="6"/>
  <c r="AC224" i="6"/>
  <c r="AE224" i="6"/>
  <c r="AB169" i="6"/>
  <c r="Y169" i="6"/>
  <c r="AD169" i="6"/>
  <c r="AC169" i="6"/>
  <c r="Z169" i="6"/>
  <c r="AE169" i="6"/>
  <c r="X169" i="6"/>
  <c r="AA169" i="6"/>
  <c r="W169" i="6"/>
  <c r="AB219" i="6"/>
  <c r="AC219" i="6"/>
  <c r="Z219" i="6"/>
  <c r="W219" i="6"/>
  <c r="AA219" i="6"/>
  <c r="X219" i="6"/>
  <c r="AE219" i="6"/>
  <c r="Y219" i="6"/>
  <c r="AD219" i="6"/>
  <c r="AA152" i="6"/>
  <c r="X152" i="6"/>
  <c r="AB152" i="6"/>
  <c r="AE152" i="6"/>
  <c r="W152" i="6"/>
  <c r="Y152" i="6"/>
  <c r="AC152" i="6"/>
  <c r="Z152" i="6"/>
  <c r="AD152" i="6"/>
  <c r="AU133" i="1"/>
  <c r="AU129" i="1"/>
  <c r="AB173" i="6"/>
  <c r="C15" i="23"/>
  <c r="C36" i="23" s="1"/>
  <c r="AC108" i="6"/>
  <c r="AD108" i="6"/>
  <c r="Y108" i="6"/>
  <c r="W108" i="6"/>
  <c r="AA108" i="6"/>
  <c r="X108" i="6"/>
  <c r="AE108" i="6"/>
  <c r="Z108" i="6"/>
  <c r="AB108" i="6"/>
  <c r="AC155" i="6"/>
  <c r="AD155" i="6"/>
  <c r="Y155" i="6"/>
  <c r="Z155" i="6"/>
  <c r="AB155" i="6"/>
  <c r="AE155" i="6"/>
  <c r="W155" i="6"/>
  <c r="X155" i="6"/>
  <c r="AA155" i="6"/>
  <c r="AA136" i="6"/>
  <c r="AB136" i="6"/>
  <c r="W136" i="6"/>
  <c r="X136" i="6"/>
  <c r="Y136" i="6"/>
  <c r="AD136" i="6"/>
  <c r="Z136" i="6"/>
  <c r="AC136" i="6"/>
  <c r="AE136" i="6"/>
  <c r="W230" i="6"/>
  <c r="AA230" i="6"/>
  <c r="X230" i="6"/>
  <c r="AD230" i="6"/>
  <c r="AB230" i="6"/>
  <c r="AC230" i="6"/>
  <c r="Z230" i="6"/>
  <c r="AE230" i="6"/>
  <c r="Y230" i="6"/>
  <c r="AD160" i="6"/>
  <c r="AC160" i="6"/>
  <c r="Z160" i="6"/>
  <c r="AE160" i="6"/>
  <c r="W160" i="6"/>
  <c r="AA160" i="6"/>
  <c r="X160" i="6"/>
  <c r="AB160" i="6"/>
  <c r="Y160" i="6"/>
  <c r="AE179" i="6"/>
  <c r="Z179" i="6"/>
  <c r="AD179" i="6"/>
  <c r="Y179" i="6"/>
  <c r="W179" i="6"/>
  <c r="AA179" i="6"/>
  <c r="X179" i="6"/>
  <c r="AB179" i="6"/>
  <c r="AC179" i="6"/>
  <c r="W238" i="6"/>
  <c r="AA238" i="6"/>
  <c r="X238" i="6"/>
  <c r="AE238" i="6"/>
  <c r="Z238" i="6"/>
  <c r="Y238" i="6"/>
  <c r="AC238" i="6"/>
  <c r="AD238" i="6"/>
  <c r="AB238" i="6"/>
  <c r="Z144" i="6"/>
  <c r="W144" i="6"/>
  <c r="X144" i="6"/>
  <c r="AB144" i="6"/>
  <c r="Y144" i="6"/>
  <c r="AC144" i="6"/>
  <c r="AD144" i="6"/>
  <c r="AE144" i="6"/>
  <c r="AA144" i="6"/>
  <c r="Z237" i="6"/>
  <c r="AE237" i="6"/>
  <c r="AD237" i="6"/>
  <c r="Y237" i="6"/>
  <c r="W237" i="6"/>
  <c r="AA237" i="6"/>
  <c r="X237" i="6"/>
  <c r="AB237" i="6"/>
  <c r="AC237" i="6"/>
  <c r="Y130" i="6"/>
  <c r="AE130" i="6"/>
  <c r="W130" i="6"/>
  <c r="AB130" i="6"/>
  <c r="AA130" i="6"/>
  <c r="Z130" i="6"/>
  <c r="X130" i="6"/>
  <c r="AC130" i="6"/>
  <c r="AD130" i="6"/>
  <c r="W233" i="6"/>
  <c r="X233" i="6"/>
  <c r="AE233" i="6"/>
  <c r="Z233" i="6"/>
  <c r="Y233" i="6"/>
  <c r="AB233" i="6"/>
  <c r="AC233" i="6"/>
  <c r="AA233" i="6"/>
  <c r="AD233" i="6"/>
  <c r="AE187" i="6"/>
  <c r="Y187" i="6"/>
  <c r="AD187" i="6"/>
  <c r="Z187" i="6"/>
  <c r="X187" i="6"/>
  <c r="AB187" i="6"/>
  <c r="AC187" i="6"/>
  <c r="AA187" i="6"/>
  <c r="W187" i="6"/>
  <c r="AA204" i="6"/>
  <c r="X204" i="6"/>
  <c r="AB204" i="6"/>
  <c r="AE204" i="6"/>
  <c r="Y204" i="6"/>
  <c r="AC204" i="6"/>
  <c r="Z204" i="6"/>
  <c r="AD204" i="6"/>
  <c r="W204" i="6"/>
  <c r="C100" i="23"/>
  <c r="C79" i="23"/>
  <c r="X236" i="6"/>
  <c r="AB236" i="6"/>
  <c r="AC236" i="6"/>
  <c r="AD236" i="6"/>
  <c r="W236" i="6"/>
  <c r="AA236" i="6"/>
  <c r="Z236" i="6"/>
  <c r="Y236" i="6"/>
  <c r="AE236" i="6"/>
  <c r="W159" i="6"/>
  <c r="AA159" i="6"/>
  <c r="AD159" i="6"/>
  <c r="AC159" i="6"/>
  <c r="Z159" i="6"/>
  <c r="AE159" i="6"/>
  <c r="X159" i="6"/>
  <c r="Y159" i="6"/>
  <c r="AB159" i="6"/>
  <c r="Z173" i="6"/>
  <c r="X208" i="6"/>
  <c r="AB208" i="6"/>
  <c r="AC208" i="6"/>
  <c r="AE208" i="6"/>
  <c r="W208" i="6"/>
  <c r="AA208" i="6"/>
  <c r="Y208" i="6"/>
  <c r="AD208" i="6"/>
  <c r="Z208" i="6"/>
  <c r="AE139" i="6"/>
  <c r="W139" i="6"/>
  <c r="AD139" i="6"/>
  <c r="AA139" i="6"/>
  <c r="AC139" i="6"/>
  <c r="Z139" i="6"/>
  <c r="Y139" i="6"/>
  <c r="X139" i="6"/>
  <c r="AB139" i="6"/>
  <c r="X173" i="6"/>
  <c r="W126" i="6"/>
  <c r="AB126" i="6"/>
  <c r="Y126" i="6"/>
  <c r="AA126" i="6"/>
  <c r="X126" i="6"/>
  <c r="AC126" i="6"/>
  <c r="AE126" i="6"/>
  <c r="AD126" i="6"/>
  <c r="Z126" i="6"/>
  <c r="W146" i="6"/>
  <c r="AA146" i="6"/>
  <c r="AB146" i="6"/>
  <c r="Y146" i="6"/>
  <c r="X146" i="6"/>
  <c r="AD146" i="6"/>
  <c r="AC146" i="6"/>
  <c r="Z146" i="6"/>
  <c r="AE146" i="6"/>
  <c r="Y154" i="6"/>
  <c r="AE154" i="6"/>
  <c r="Z154" i="6"/>
  <c r="AD154" i="6"/>
  <c r="W154" i="6"/>
  <c r="AB154" i="6"/>
  <c r="AC154" i="6"/>
  <c r="AA154" i="6"/>
  <c r="X154" i="6"/>
  <c r="AA212" i="6"/>
  <c r="AB212" i="6"/>
  <c r="X212" i="6"/>
  <c r="AC212" i="6"/>
  <c r="AE212" i="6"/>
  <c r="Z212" i="6"/>
  <c r="W212" i="6"/>
  <c r="Y212" i="6"/>
  <c r="AD212" i="6"/>
  <c r="Z142" i="6"/>
  <c r="AE142" i="6"/>
  <c r="AA142" i="6"/>
  <c r="AC142" i="6"/>
  <c r="AB142" i="6"/>
  <c r="X142" i="6"/>
  <c r="Y142" i="6"/>
  <c r="AD142" i="6"/>
  <c r="W142" i="6"/>
  <c r="Y214" i="6"/>
  <c r="W214" i="6"/>
  <c r="Z214" i="6"/>
  <c r="AD214" i="6"/>
  <c r="AA214" i="6"/>
  <c r="AB214" i="6"/>
  <c r="AC214" i="6"/>
  <c r="AE214" i="6"/>
  <c r="X214" i="6"/>
  <c r="AB116" i="6"/>
  <c r="W116" i="6"/>
  <c r="AD116" i="6"/>
  <c r="AA116" i="6"/>
  <c r="AC116" i="6"/>
  <c r="Y116" i="6"/>
  <c r="AE116" i="6"/>
  <c r="Z116" i="6"/>
  <c r="X116" i="6"/>
  <c r="AC229" i="6"/>
  <c r="Y229" i="6"/>
  <c r="AE229" i="6"/>
  <c r="AD229" i="6"/>
  <c r="W229" i="6"/>
  <c r="AA229" i="6"/>
  <c r="X229" i="6"/>
  <c r="AB229" i="6"/>
  <c r="Z229" i="6"/>
  <c r="AD234" i="6"/>
  <c r="Y234" i="6"/>
  <c r="W234" i="6"/>
  <c r="AA234" i="6"/>
  <c r="X234" i="6"/>
  <c r="AE234" i="6"/>
  <c r="AB234" i="6"/>
  <c r="Z234" i="6"/>
  <c r="AC234" i="6"/>
  <c r="Y110" i="6"/>
  <c r="AD110" i="6"/>
  <c r="AA110" i="6"/>
  <c r="X110" i="6"/>
  <c r="AC110" i="6"/>
  <c r="AE110" i="6"/>
  <c r="Z110" i="6"/>
  <c r="W110" i="6"/>
  <c r="AB110" i="6"/>
  <c r="Z121" i="6"/>
  <c r="AB121" i="6"/>
  <c r="X121" i="6"/>
  <c r="AE121" i="6"/>
  <c r="Y121" i="6"/>
  <c r="AD121" i="6"/>
  <c r="AC121" i="6"/>
  <c r="W121" i="6"/>
  <c r="AA121" i="6"/>
  <c r="Y186" i="6"/>
  <c r="W186" i="6"/>
  <c r="AD186" i="6"/>
  <c r="AE186" i="6"/>
  <c r="AA186" i="6"/>
  <c r="X186" i="6"/>
  <c r="AB186" i="6"/>
  <c r="AC186" i="6"/>
  <c r="Z186" i="6"/>
  <c r="X183" i="6"/>
  <c r="AB183" i="6"/>
  <c r="AC183" i="6"/>
  <c r="AE183" i="6"/>
  <c r="Z183" i="6"/>
  <c r="Y183" i="6"/>
  <c r="AD183" i="6"/>
  <c r="AA183" i="6"/>
  <c r="W183" i="6"/>
  <c r="AB133" i="6"/>
  <c r="Y133" i="6"/>
  <c r="AC133" i="6"/>
  <c r="AE133" i="6"/>
  <c r="W133" i="6"/>
  <c r="AA133" i="6"/>
  <c r="Z133" i="6"/>
  <c r="AD133" i="6"/>
  <c r="X133" i="6"/>
  <c r="AB150" i="6"/>
  <c r="Y150" i="6"/>
  <c r="Z150" i="6"/>
  <c r="AE150" i="6"/>
  <c r="AD150" i="6"/>
  <c r="AC150" i="6"/>
  <c r="W150" i="6"/>
  <c r="AA150" i="6"/>
  <c r="X150" i="6"/>
  <c r="AC129" i="6"/>
  <c r="AE129" i="6"/>
  <c r="AD129" i="6"/>
  <c r="Y129" i="6"/>
  <c r="W129" i="6"/>
  <c r="AA129" i="6"/>
  <c r="Z129" i="6"/>
  <c r="AB129" i="6"/>
  <c r="X129" i="6"/>
  <c r="AA173" i="6"/>
  <c r="X189" i="6"/>
  <c r="AB189" i="6"/>
  <c r="AC189" i="6"/>
  <c r="AE189" i="6"/>
  <c r="Z189" i="6"/>
  <c r="Y189" i="6"/>
  <c r="W189" i="6"/>
  <c r="AA189" i="6"/>
  <c r="AD189" i="6"/>
  <c r="AE227" i="6"/>
  <c r="Z227" i="6"/>
  <c r="W227" i="6"/>
  <c r="AB227" i="6"/>
  <c r="AA227" i="6"/>
  <c r="AC227" i="6"/>
  <c r="X227" i="6"/>
  <c r="Y227" i="6"/>
  <c r="AD227" i="6"/>
  <c r="AD221" i="6"/>
  <c r="Y221" i="6"/>
  <c r="AA221" i="6"/>
  <c r="Z221" i="6"/>
  <c r="W221" i="6"/>
  <c r="X221" i="6"/>
  <c r="AB221" i="6"/>
  <c r="AC221" i="6"/>
  <c r="AE221" i="6"/>
  <c r="AC205" i="6"/>
  <c r="AE205" i="6"/>
  <c r="Y205" i="6"/>
  <c r="X205" i="6"/>
  <c r="AD205" i="6"/>
  <c r="Z205" i="6"/>
  <c r="W205" i="6"/>
  <c r="AA205" i="6"/>
  <c r="AB205" i="6"/>
  <c r="X170" i="6"/>
  <c r="AB170" i="6"/>
  <c r="Y170" i="6"/>
  <c r="AD170" i="6"/>
  <c r="Z170" i="6"/>
  <c r="AE170" i="6"/>
  <c r="W170" i="6"/>
  <c r="AA170" i="6"/>
  <c r="AC170" i="6"/>
  <c r="AE166" i="6"/>
  <c r="X166" i="6"/>
  <c r="W166" i="6"/>
  <c r="AB166" i="6"/>
  <c r="AA166" i="6"/>
  <c r="Y166" i="6"/>
  <c r="AD166" i="6"/>
  <c r="AC166" i="6"/>
  <c r="Z166" i="6"/>
  <c r="AD225" i="6"/>
  <c r="Y225" i="6"/>
  <c r="W225" i="6"/>
  <c r="AA225" i="6"/>
  <c r="AE225" i="6"/>
  <c r="X225" i="6"/>
  <c r="Z225" i="6"/>
  <c r="AB225" i="6"/>
  <c r="AC225" i="6"/>
  <c r="AE228" i="6"/>
  <c r="AD228" i="6"/>
  <c r="Y228" i="6"/>
  <c r="AA228" i="6"/>
  <c r="X228" i="6"/>
  <c r="W228" i="6"/>
  <c r="AB228" i="6"/>
  <c r="AC228" i="6"/>
  <c r="Z228" i="6"/>
  <c r="AD182" i="6"/>
  <c r="Y182" i="6"/>
  <c r="W182" i="6"/>
  <c r="AA182" i="6"/>
  <c r="Z182" i="6"/>
  <c r="X182" i="6"/>
  <c r="AE182" i="6"/>
  <c r="AB182" i="6"/>
  <c r="AC182" i="6"/>
  <c r="X112" i="6"/>
  <c r="Y112" i="6"/>
  <c r="AA112" i="6"/>
  <c r="AD112" i="6"/>
  <c r="AC112" i="6"/>
  <c r="AE112" i="6"/>
  <c r="W112" i="6"/>
  <c r="Z112" i="6"/>
  <c r="AB112" i="6"/>
  <c r="AC195" i="6"/>
  <c r="Z195" i="6"/>
  <c r="AD195" i="6"/>
  <c r="W195" i="6"/>
  <c r="AA195" i="6"/>
  <c r="X195" i="6"/>
  <c r="AB195" i="6"/>
  <c r="AE195" i="6"/>
  <c r="Y195" i="6"/>
  <c r="AC215" i="6"/>
  <c r="Z215" i="6"/>
  <c r="W215" i="6"/>
  <c r="AA215" i="6"/>
  <c r="X215" i="6"/>
  <c r="AB215" i="6"/>
  <c r="Y215" i="6"/>
  <c r="AD215" i="6"/>
  <c r="AE215" i="6"/>
  <c r="AA111" i="6"/>
  <c r="Z111" i="6"/>
  <c r="AB111" i="6"/>
  <c r="AC111" i="6"/>
  <c r="Y111" i="6"/>
  <c r="AD111" i="6"/>
  <c r="AE111" i="6"/>
  <c r="X111" i="6"/>
  <c r="W111" i="6"/>
  <c r="AD124" i="6"/>
  <c r="Y124" i="6"/>
  <c r="AE124" i="6"/>
  <c r="W124" i="6"/>
  <c r="AA124" i="6"/>
  <c r="X124" i="6"/>
  <c r="AC124" i="6"/>
  <c r="Z124" i="6"/>
  <c r="AB124" i="6"/>
  <c r="X168" i="6"/>
  <c r="AB168" i="6"/>
  <c r="Y168" i="6"/>
  <c r="W168" i="6"/>
  <c r="AA168" i="6"/>
  <c r="AC168" i="6"/>
  <c r="AE168" i="6"/>
  <c r="AD168" i="6"/>
  <c r="Z168" i="6"/>
  <c r="W202" i="6"/>
  <c r="AA202" i="6"/>
  <c r="Z202" i="6"/>
  <c r="AD202" i="6"/>
  <c r="X202" i="6"/>
  <c r="Y202" i="6"/>
  <c r="AB202" i="6"/>
  <c r="AE202" i="6"/>
  <c r="AC202" i="6"/>
  <c r="AA178" i="6"/>
  <c r="X178" i="6"/>
  <c r="AB178" i="6"/>
  <c r="Z178" i="6"/>
  <c r="AD178" i="6"/>
  <c r="W178" i="6"/>
  <c r="AC178" i="6"/>
  <c r="AE178" i="6"/>
  <c r="Y178" i="6"/>
  <c r="AD180" i="6"/>
  <c r="Y180" i="6"/>
  <c r="AA180" i="6"/>
  <c r="Z180" i="6"/>
  <c r="AE180" i="6"/>
  <c r="W180" i="6"/>
  <c r="X180" i="6"/>
  <c r="AB180" i="6"/>
  <c r="AC180" i="6"/>
  <c r="AA164" i="6"/>
  <c r="X164" i="6"/>
  <c r="AB164" i="6"/>
  <c r="AE164" i="6"/>
  <c r="W164" i="6"/>
  <c r="Y164" i="6"/>
  <c r="AD164" i="6"/>
  <c r="AC164" i="6"/>
  <c r="Z164" i="6"/>
  <c r="AB235" i="6"/>
  <c r="AE235" i="6"/>
  <c r="AD235" i="6"/>
  <c r="W235" i="6"/>
  <c r="AA235" i="6"/>
  <c r="X235" i="6"/>
  <c r="Z235" i="6"/>
  <c r="Y235" i="6"/>
  <c r="AC235" i="6"/>
  <c r="AD151" i="6"/>
  <c r="AC151" i="6"/>
  <c r="AE151" i="6"/>
  <c r="Y151" i="6"/>
  <c r="Z151" i="6"/>
  <c r="W151" i="6"/>
  <c r="AB151" i="6"/>
  <c r="X151" i="6"/>
  <c r="AA151" i="6"/>
  <c r="X211" i="6"/>
  <c r="AB211" i="6"/>
  <c r="AC211" i="6"/>
  <c r="AE211" i="6"/>
  <c r="Y211" i="6"/>
  <c r="Z211" i="6"/>
  <c r="AD211" i="6"/>
  <c r="W211" i="6"/>
  <c r="AA211" i="6"/>
  <c r="AD220" i="6"/>
  <c r="Z220" i="6"/>
  <c r="W220" i="6"/>
  <c r="AA220" i="6"/>
  <c r="AB220" i="6"/>
  <c r="AC220" i="6"/>
  <c r="AE220" i="6"/>
  <c r="Y220" i="6"/>
  <c r="X220" i="6"/>
  <c r="X162" i="6"/>
  <c r="AB162" i="6"/>
  <c r="AD162" i="6"/>
  <c r="AC162" i="6"/>
  <c r="Z162" i="6"/>
  <c r="Y162" i="6"/>
  <c r="AE162" i="6"/>
  <c r="W162" i="6"/>
  <c r="AA162" i="6"/>
  <c r="AE156" i="6"/>
  <c r="W156" i="6"/>
  <c r="AA156" i="6"/>
  <c r="AD156" i="6"/>
  <c r="Z156" i="6"/>
  <c r="X156" i="6"/>
  <c r="AC156" i="6"/>
  <c r="AB156" i="6"/>
  <c r="Y156" i="6"/>
  <c r="AB191" i="6"/>
  <c r="X191" i="6"/>
  <c r="AC191" i="6"/>
  <c r="Z191" i="6"/>
  <c r="AE191" i="6"/>
  <c r="AD191" i="6"/>
  <c r="Y191" i="6"/>
  <c r="W191" i="6"/>
  <c r="AA191" i="6"/>
  <c r="AD193" i="6"/>
  <c r="Z193" i="6"/>
  <c r="W193" i="6"/>
  <c r="AA193" i="6"/>
  <c r="X193" i="6"/>
  <c r="AB193" i="6"/>
  <c r="AC193" i="6"/>
  <c r="AE193" i="6"/>
  <c r="Y193" i="6"/>
  <c r="AB132" i="6"/>
  <c r="Y132" i="6"/>
  <c r="AC132" i="6"/>
  <c r="W132" i="6"/>
  <c r="X132" i="6"/>
  <c r="Z132" i="6"/>
  <c r="AE132" i="6"/>
  <c r="AA132" i="6"/>
  <c r="AD132" i="6"/>
  <c r="Z161" i="6"/>
  <c r="X161" i="6"/>
  <c r="AE161" i="6"/>
  <c r="AA161" i="6"/>
  <c r="W161" i="6"/>
  <c r="AB161" i="6"/>
  <c r="Y161" i="6"/>
  <c r="AD161" i="6"/>
  <c r="AC161" i="6"/>
  <c r="AE192" i="6"/>
  <c r="Z192" i="6"/>
  <c r="W192" i="6"/>
  <c r="AD192" i="6"/>
  <c r="Y192" i="6"/>
  <c r="AA192" i="6"/>
  <c r="X192" i="6"/>
  <c r="AB192" i="6"/>
  <c r="AC192" i="6"/>
  <c r="X196" i="6"/>
  <c r="Y196" i="6"/>
  <c r="AB196" i="6"/>
  <c r="AE196" i="6"/>
  <c r="AC196" i="6"/>
  <c r="AD196" i="6"/>
  <c r="Z196" i="6"/>
  <c r="W196" i="6"/>
  <c r="AA196" i="6"/>
  <c r="AD222" i="6"/>
  <c r="Y222" i="6"/>
  <c r="W222" i="6"/>
  <c r="X222" i="6"/>
  <c r="AB222" i="6"/>
  <c r="AA222" i="6"/>
  <c r="AC222" i="6"/>
  <c r="Z222" i="6"/>
  <c r="AE222" i="6"/>
  <c r="AV240" i="1"/>
  <c r="AV242" i="1"/>
  <c r="AX241" i="1"/>
  <c r="AU240" i="1"/>
  <c r="AU242" i="1"/>
  <c r="AT242" i="1"/>
  <c r="AT240" i="1"/>
  <c r="AX242" i="1"/>
  <c r="AW240" i="1"/>
  <c r="AV241" i="1"/>
  <c r="AW242" i="1"/>
  <c r="AX240" i="1"/>
  <c r="AT236" i="1"/>
  <c r="AT235" i="1"/>
  <c r="AU239" i="1"/>
  <c r="C29" i="23"/>
  <c r="E8" i="23"/>
  <c r="E49" i="23" s="1"/>
  <c r="G31" i="23"/>
  <c r="E31" i="23"/>
  <c r="C38" i="23"/>
  <c r="E17" i="23"/>
  <c r="E58" i="23" s="1"/>
  <c r="G17" i="23"/>
  <c r="I17" i="23" s="1"/>
  <c r="C41" i="23"/>
  <c r="E20" i="23"/>
  <c r="E61" i="23" s="1"/>
  <c r="G20" i="23"/>
  <c r="I20" i="23" s="1"/>
  <c r="C34" i="23"/>
  <c r="E13" i="23"/>
  <c r="E54" i="23" s="1"/>
  <c r="G13" i="23"/>
  <c r="I13" i="23" s="1"/>
  <c r="C40" i="23"/>
  <c r="E19" i="23"/>
  <c r="E60" i="23" s="1"/>
  <c r="G19" i="23"/>
  <c r="I19" i="23" s="1"/>
  <c r="C42" i="23"/>
  <c r="E21" i="23"/>
  <c r="E62" i="23" s="1"/>
  <c r="G21" i="23"/>
  <c r="I21" i="23" s="1"/>
  <c r="C32" i="23"/>
  <c r="E11" i="23"/>
  <c r="E52" i="23" s="1"/>
  <c r="G11" i="23"/>
  <c r="I11" i="23" s="1"/>
  <c r="C37" i="23"/>
  <c r="E16" i="23"/>
  <c r="E57" i="23" s="1"/>
  <c r="G16" i="23"/>
  <c r="I16" i="23" s="1"/>
  <c r="E39" i="23"/>
  <c r="G39" i="23"/>
  <c r="C33" i="23"/>
  <c r="E12" i="23"/>
  <c r="E53" i="23" s="1"/>
  <c r="G12" i="23"/>
  <c r="I12" i="23" s="1"/>
  <c r="G35" i="23"/>
  <c r="E35" i="23"/>
  <c r="AX236" i="1"/>
  <c r="AW236" i="1"/>
  <c r="AI210" i="1"/>
  <c r="AI213" i="1"/>
  <c r="AI209" i="1"/>
  <c r="AI215" i="1"/>
  <c r="AI214" i="1"/>
  <c r="AI208" i="1"/>
  <c r="AI207" i="1"/>
  <c r="AI212" i="1"/>
  <c r="AI211" i="1"/>
  <c r="AI246" i="1"/>
  <c r="AI243" i="1"/>
  <c r="AI248" i="1"/>
  <c r="AI244" i="1"/>
  <c r="AI251" i="1"/>
  <c r="AI250" i="1"/>
  <c r="AI245" i="1"/>
  <c r="AI249" i="1"/>
  <c r="AI247" i="1"/>
  <c r="AS189" i="1"/>
  <c r="AW189" i="1"/>
  <c r="AT189" i="1"/>
  <c r="AX189" i="1"/>
  <c r="AU189" i="1"/>
  <c r="AV189" i="1"/>
  <c r="AU194" i="1"/>
  <c r="AV194" i="1"/>
  <c r="AS194" i="1"/>
  <c r="AW194" i="1"/>
  <c r="AX194" i="1"/>
  <c r="AT194" i="1"/>
  <c r="AS193" i="1"/>
  <c r="AW193" i="1"/>
  <c r="AT193" i="1"/>
  <c r="AX193" i="1"/>
  <c r="AU193" i="1"/>
  <c r="AV193" i="1"/>
  <c r="AS131" i="1"/>
  <c r="AS166" i="1"/>
  <c r="AX166" i="1"/>
  <c r="AU166" i="1"/>
  <c r="AU234" i="1"/>
  <c r="AS234" i="1"/>
  <c r="AX234" i="1"/>
  <c r="AS168" i="1"/>
  <c r="AW168" i="1"/>
  <c r="AT168" i="1"/>
  <c r="AX168" i="1"/>
  <c r="AU168" i="1"/>
  <c r="AV168" i="1"/>
  <c r="AU127" i="1"/>
  <c r="AV127" i="1"/>
  <c r="AW127" i="1"/>
  <c r="AX127" i="1"/>
  <c r="AS127" i="1"/>
  <c r="AT127" i="1"/>
  <c r="AU196" i="1"/>
  <c r="AV196" i="1"/>
  <c r="AS196" i="1"/>
  <c r="AW196" i="1"/>
  <c r="AT196" i="1"/>
  <c r="AX196" i="1"/>
  <c r="AS170" i="1"/>
  <c r="AW170" i="1"/>
  <c r="AT170" i="1"/>
  <c r="AX170" i="1"/>
  <c r="AU170" i="1"/>
  <c r="AV170" i="1"/>
  <c r="AS134" i="1"/>
  <c r="AW134" i="1"/>
  <c r="AT134" i="1"/>
  <c r="AX134" i="1"/>
  <c r="AU134" i="1"/>
  <c r="AV134" i="1"/>
  <c r="AU167" i="1"/>
  <c r="AS167" i="1"/>
  <c r="AT167" i="1"/>
  <c r="AS237" i="1"/>
  <c r="AT237" i="1"/>
  <c r="AV237" i="1"/>
  <c r="AT192" i="1"/>
  <c r="AS126" i="1"/>
  <c r="AW126" i="1"/>
  <c r="AT126" i="1"/>
  <c r="AX126" i="1"/>
  <c r="AU126" i="1"/>
  <c r="AV126" i="1"/>
  <c r="AU157" i="1"/>
  <c r="AV157" i="1"/>
  <c r="AS157" i="1"/>
  <c r="AT157" i="1"/>
  <c r="AW157" i="1"/>
  <c r="AX157" i="1"/>
  <c r="AX130" i="1"/>
  <c r="AU153" i="1"/>
  <c r="AV153" i="1"/>
  <c r="AS153" i="1"/>
  <c r="AT153" i="1"/>
  <c r="AW153" i="1"/>
  <c r="AX153" i="1"/>
  <c r="AU238" i="1"/>
  <c r="AW238" i="1"/>
  <c r="AT238" i="1"/>
  <c r="AU190" i="1"/>
  <c r="AV190" i="1"/>
  <c r="AS190" i="1"/>
  <c r="AW190" i="1"/>
  <c r="AT190" i="1"/>
  <c r="AX190" i="1"/>
  <c r="W134" i="12"/>
  <c r="S110" i="12"/>
  <c r="S114" i="12"/>
  <c r="S118" i="12"/>
  <c r="S122" i="12"/>
  <c r="S126" i="12"/>
  <c r="S130" i="12"/>
  <c r="S134" i="12"/>
  <c r="S138" i="12"/>
  <c r="S142" i="12"/>
  <c r="W142" i="12" s="1"/>
  <c r="S146" i="12"/>
  <c r="S150" i="12"/>
  <c r="J87" i="12"/>
  <c r="S111" i="12"/>
  <c r="S115" i="12"/>
  <c r="S119" i="12"/>
  <c r="S123" i="12"/>
  <c r="S127" i="12"/>
  <c r="S131" i="12"/>
  <c r="S135" i="12"/>
  <c r="S139" i="12"/>
  <c r="S143" i="12"/>
  <c r="W143" i="12" s="1"/>
  <c r="S147" i="12"/>
  <c r="S151" i="12"/>
  <c r="S132" i="12"/>
  <c r="S108" i="12"/>
  <c r="S204" i="12"/>
  <c r="W146" i="12"/>
  <c r="S145" i="12"/>
  <c r="W145" i="12" s="1"/>
  <c r="S137" i="12"/>
  <c r="W137" i="12" s="1"/>
  <c r="S129" i="12"/>
  <c r="S121" i="12"/>
  <c r="S113" i="12"/>
  <c r="S159" i="12"/>
  <c r="S170" i="12"/>
  <c r="S171" i="12"/>
  <c r="S201" i="12"/>
  <c r="S211" i="12"/>
  <c r="S148" i="12"/>
  <c r="W148" i="12" s="1"/>
  <c r="S116" i="12"/>
  <c r="S107" i="12"/>
  <c r="S144" i="12"/>
  <c r="S136" i="12"/>
  <c r="S128" i="12"/>
  <c r="S120" i="12"/>
  <c r="S112" i="12"/>
  <c r="S198" i="12"/>
  <c r="S202" i="12"/>
  <c r="S197" i="12"/>
  <c r="S199" i="12"/>
  <c r="S203" i="12"/>
  <c r="S140" i="12"/>
  <c r="S124" i="12"/>
  <c r="U122" i="12"/>
  <c r="S156" i="12"/>
  <c r="S160" i="12"/>
  <c r="J92" i="12"/>
  <c r="S153" i="12"/>
  <c r="S157" i="12"/>
  <c r="S152" i="12"/>
  <c r="S208" i="12"/>
  <c r="S212" i="12"/>
  <c r="S209" i="12"/>
  <c r="S213" i="12"/>
  <c r="S172" i="12"/>
  <c r="S176" i="12"/>
  <c r="S173" i="12"/>
  <c r="S177" i="12"/>
  <c r="W138" i="12"/>
  <c r="S149" i="12"/>
  <c r="W149" i="12" s="1"/>
  <c r="S141" i="12"/>
  <c r="W141" i="12" s="1"/>
  <c r="S133" i="12"/>
  <c r="S125" i="12"/>
  <c r="S117" i="12"/>
  <c r="S109" i="12"/>
  <c r="S155" i="12"/>
  <c r="S175" i="12"/>
  <c r="S205" i="12"/>
  <c r="S206" i="12"/>
  <c r="S207" i="12"/>
  <c r="V140" i="12"/>
  <c r="W140" i="12" s="1"/>
  <c r="V136" i="12"/>
  <c r="V151" i="12"/>
  <c r="W151" i="12" s="1"/>
  <c r="V147" i="12"/>
  <c r="W147" i="12" s="1"/>
  <c r="S167" i="12"/>
  <c r="S163" i="12"/>
  <c r="S187" i="12"/>
  <c r="S183" i="12"/>
  <c r="S188" i="12"/>
  <c r="S193" i="12"/>
  <c r="S189" i="12"/>
  <c r="S223" i="12"/>
  <c r="S219" i="12"/>
  <c r="S224" i="12"/>
  <c r="S229" i="12"/>
  <c r="S225" i="12"/>
  <c r="V144" i="12"/>
  <c r="W144" i="12" s="1"/>
  <c r="V139" i="12"/>
  <c r="W139" i="12" s="1"/>
  <c r="V135" i="12"/>
  <c r="W135" i="12" s="1"/>
  <c r="V150" i="12"/>
  <c r="W150" i="12" s="1"/>
  <c r="S161" i="12"/>
  <c r="S166" i="12"/>
  <c r="S186" i="12"/>
  <c r="S196" i="12"/>
  <c r="S222" i="12"/>
  <c r="S232" i="12"/>
  <c r="U118" i="12"/>
  <c r="U148" i="12"/>
  <c r="U138" i="12"/>
  <c r="U164" i="12"/>
  <c r="U142" i="12"/>
  <c r="U144" i="12"/>
  <c r="U132" i="12"/>
  <c r="U158" i="12"/>
  <c r="U121" i="12"/>
  <c r="U117" i="12"/>
  <c r="U141" i="12"/>
  <c r="U137" i="12"/>
  <c r="U151" i="12"/>
  <c r="D150" i="12" s="1"/>
  <c r="U147" i="12"/>
  <c r="D146" i="12" s="1"/>
  <c r="U143" i="12"/>
  <c r="U157" i="12"/>
  <c r="U153" i="12"/>
  <c r="Y153" i="12" s="1"/>
  <c r="U167" i="12"/>
  <c r="U163" i="12"/>
  <c r="U128" i="12"/>
  <c r="U124" i="12"/>
  <c r="U120" i="12"/>
  <c r="U116" i="12"/>
  <c r="U140" i="12"/>
  <c r="U136" i="12"/>
  <c r="U150" i="12"/>
  <c r="D149" i="12" s="1"/>
  <c r="U146" i="12"/>
  <c r="D145" i="12" s="1"/>
  <c r="U160" i="12"/>
  <c r="U156" i="12"/>
  <c r="U152" i="12"/>
  <c r="U166" i="12"/>
  <c r="U170" i="12"/>
  <c r="U154" i="12"/>
  <c r="U135" i="12"/>
  <c r="Y135" i="12" s="1"/>
  <c r="U149" i="12"/>
  <c r="U145" i="12"/>
  <c r="U155" i="12"/>
  <c r="U171" i="12"/>
  <c r="U178" i="12"/>
  <c r="U174" i="12"/>
  <c r="U177" i="12"/>
  <c r="U173" i="12"/>
  <c r="U176" i="12"/>
  <c r="U172" i="12"/>
  <c r="U175" i="12"/>
  <c r="D51" i="20"/>
  <c r="D47" i="20"/>
  <c r="D54" i="20"/>
  <c r="D50" i="20"/>
  <c r="D46" i="20"/>
  <c r="E52" i="20"/>
  <c r="E48" i="20"/>
  <c r="F53" i="20"/>
  <c r="F49" i="20"/>
  <c r="D53" i="20"/>
  <c r="D49" i="20"/>
  <c r="E51" i="20"/>
  <c r="E47" i="20"/>
  <c r="F52" i="20"/>
  <c r="F48" i="20"/>
  <c r="D52" i="20"/>
  <c r="E54" i="20"/>
  <c r="F46" i="20"/>
  <c r="F51" i="20"/>
  <c r="G69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D47" i="16"/>
  <c r="J54" i="16"/>
  <c r="L70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47" i="16"/>
  <c r="J70" i="16"/>
  <c r="J68" i="16"/>
  <c r="J48" i="16"/>
  <c r="J49" i="16"/>
  <c r="J50" i="16"/>
  <c r="J51" i="16"/>
  <c r="J52" i="16"/>
  <c r="J53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47" i="16"/>
  <c r="E47" i="16"/>
  <c r="D48" i="16"/>
  <c r="E48" i="16"/>
  <c r="E49" i="16"/>
  <c r="D50" i="16"/>
  <c r="E50" i="16"/>
  <c r="E51" i="16"/>
  <c r="D52" i="16"/>
  <c r="E52" i="16"/>
  <c r="E53" i="16"/>
  <c r="D54" i="16"/>
  <c r="E54" i="16"/>
  <c r="E55" i="16"/>
  <c r="D56" i="16"/>
  <c r="E56" i="16"/>
  <c r="E57" i="16"/>
  <c r="D58" i="16"/>
  <c r="E58" i="16"/>
  <c r="E59" i="16"/>
  <c r="D60" i="16"/>
  <c r="E60" i="16"/>
  <c r="E61" i="16"/>
  <c r="D62" i="16"/>
  <c r="E62" i="16"/>
  <c r="E63" i="16"/>
  <c r="D64" i="16"/>
  <c r="E64" i="16"/>
  <c r="E65" i="16"/>
  <c r="D66" i="16"/>
  <c r="E66" i="16"/>
  <c r="D67" i="16"/>
  <c r="E67" i="16"/>
  <c r="D68" i="16"/>
  <c r="E68" i="16"/>
  <c r="D69" i="16"/>
  <c r="E69" i="16"/>
  <c r="D70" i="16"/>
  <c r="E70" i="16"/>
  <c r="D71" i="16"/>
  <c r="E71" i="16"/>
  <c r="D72" i="16"/>
  <c r="E72" i="16"/>
  <c r="D73" i="16"/>
  <c r="E73" i="16"/>
  <c r="D74" i="16"/>
  <c r="E74" i="16"/>
  <c r="D75" i="16"/>
  <c r="E75" i="16"/>
  <c r="D76" i="16"/>
  <c r="E76" i="16"/>
  <c r="D77" i="16"/>
  <c r="E77" i="16"/>
  <c r="D78" i="16"/>
  <c r="E78" i="16"/>
  <c r="D79" i="16"/>
  <c r="E79" i="16"/>
  <c r="D80" i="16"/>
  <c r="E80" i="16"/>
  <c r="D81" i="16"/>
  <c r="E81" i="16"/>
  <c r="D82" i="16"/>
  <c r="E82" i="16"/>
  <c r="D83" i="16"/>
  <c r="E83" i="16"/>
  <c r="D84" i="16"/>
  <c r="E84" i="16"/>
  <c r="D85" i="16"/>
  <c r="E85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47" i="16"/>
  <c r="W14" i="15"/>
  <c r="X12" i="15"/>
  <c r="B3" i="15"/>
  <c r="B5" i="15"/>
  <c r="AT199" i="1" l="1"/>
  <c r="AS199" i="1"/>
  <c r="Y144" i="12"/>
  <c r="D143" i="12" s="1"/>
  <c r="AC37" i="25"/>
  <c r="Z45" i="25" s="1"/>
  <c r="F72" i="25" s="1"/>
  <c r="AG37" i="25"/>
  <c r="AA45" i="25" s="1"/>
  <c r="AT130" i="1"/>
  <c r="AS192" i="1"/>
  <c r="AV156" i="1"/>
  <c r="AW131" i="1"/>
  <c r="AX198" i="1"/>
  <c r="AS130" i="1"/>
  <c r="AT156" i="1"/>
  <c r="AX197" i="1"/>
  <c r="AS198" i="1"/>
  <c r="AX192" i="1"/>
  <c r="AS156" i="1"/>
  <c r="AT131" i="1"/>
  <c r="AU198" i="1"/>
  <c r="AS138" i="1"/>
  <c r="AV138" i="1"/>
  <c r="AI224" i="1"/>
  <c r="AM224" i="1" s="1"/>
  <c r="AI222" i="1"/>
  <c r="AI220" i="1"/>
  <c r="AM220" i="1" s="1"/>
  <c r="AI219" i="1"/>
  <c r="AI221" i="1"/>
  <c r="AM221" i="1" s="1"/>
  <c r="AW130" i="1"/>
  <c r="AW192" i="1"/>
  <c r="AX131" i="1"/>
  <c r="AU197" i="1"/>
  <c r="AV192" i="1"/>
  <c r="AW197" i="1"/>
  <c r="AU235" i="1"/>
  <c r="AT164" i="1"/>
  <c r="AX167" i="1"/>
  <c r="AU131" i="1"/>
  <c r="AS197" i="1"/>
  <c r="AV164" i="1"/>
  <c r="AW164" i="1"/>
  <c r="AS164" i="1"/>
  <c r="AV130" i="1"/>
  <c r="AU132" i="1"/>
  <c r="AW167" i="1"/>
  <c r="AU164" i="1"/>
  <c r="AS132" i="1"/>
  <c r="AW132" i="1"/>
  <c r="AV132" i="1"/>
  <c r="AX132" i="1"/>
  <c r="AW237" i="1"/>
  <c r="AW234" i="1"/>
  <c r="AW156" i="1"/>
  <c r="AV198" i="1"/>
  <c r="AI218" i="1"/>
  <c r="AX238" i="1"/>
  <c r="AV234" i="1"/>
  <c r="AV166" i="1"/>
  <c r="AI217" i="1"/>
  <c r="AM217" i="1" s="1"/>
  <c r="AW239" i="1"/>
  <c r="AI223" i="1"/>
  <c r="AV239" i="1"/>
  <c r="AS203" i="1"/>
  <c r="AU203" i="1"/>
  <c r="AS238" i="1"/>
  <c r="AU237" i="1"/>
  <c r="AU156" i="1"/>
  <c r="AT166" i="1"/>
  <c r="AT198" i="1"/>
  <c r="AI216" i="1"/>
  <c r="AX239" i="1"/>
  <c r="AV128" i="1"/>
  <c r="AT239" i="1"/>
  <c r="AT203" i="1"/>
  <c r="AV235" i="1"/>
  <c r="AM243" i="1"/>
  <c r="AW243" i="1" s="1"/>
  <c r="AM215" i="1"/>
  <c r="AW215" i="1" s="1"/>
  <c r="AM247" i="1"/>
  <c r="AT247" i="1" s="1"/>
  <c r="AM246" i="1"/>
  <c r="AW246" i="1" s="1"/>
  <c r="AM209" i="1"/>
  <c r="AT209" i="1" s="1"/>
  <c r="AM172" i="1"/>
  <c r="AU158" i="1"/>
  <c r="AV158" i="1"/>
  <c r="AW158" i="1"/>
  <c r="AS158" i="1"/>
  <c r="AT158" i="1"/>
  <c r="AX158" i="1"/>
  <c r="AM135" i="1"/>
  <c r="AV200" i="1"/>
  <c r="AT200" i="1"/>
  <c r="AX200" i="1"/>
  <c r="AU200" i="1"/>
  <c r="AS200" i="1"/>
  <c r="AW200" i="1"/>
  <c r="AM249" i="1"/>
  <c r="AM140" i="1"/>
  <c r="AM124" i="1"/>
  <c r="AX159" i="1"/>
  <c r="AU159" i="1"/>
  <c r="AS159" i="1"/>
  <c r="AT159" i="1"/>
  <c r="AW159" i="1"/>
  <c r="AV159" i="1"/>
  <c r="AM142" i="1"/>
  <c r="AM145" i="1"/>
  <c r="AV197" i="1"/>
  <c r="AM245" i="1"/>
  <c r="AV245" i="1" s="1"/>
  <c r="AM211" i="1"/>
  <c r="AT211" i="1" s="1"/>
  <c r="AM210" i="1"/>
  <c r="AT210" i="1" s="1"/>
  <c r="AU236" i="1"/>
  <c r="AW138" i="1"/>
  <c r="AT138" i="1"/>
  <c r="AS235" i="1"/>
  <c r="AM173" i="1"/>
  <c r="AM143" i="1"/>
  <c r="AM117" i="1"/>
  <c r="AM151" i="1"/>
  <c r="AM178" i="1"/>
  <c r="AM147" i="1"/>
  <c r="AM169" i="1"/>
  <c r="AM212" i="1"/>
  <c r="AU212" i="1" s="1"/>
  <c r="AW160" i="1"/>
  <c r="AM184" i="1"/>
  <c r="AM149" i="1"/>
  <c r="AM185" i="1"/>
  <c r="AU162" i="1"/>
  <c r="AT162" i="1"/>
  <c r="AM187" i="1"/>
  <c r="AV204" i="1"/>
  <c r="AS204" i="1"/>
  <c r="AW204" i="1"/>
  <c r="AT204" i="1"/>
  <c r="AX204" i="1"/>
  <c r="AU204" i="1"/>
  <c r="AM152" i="1"/>
  <c r="AM250" i="1"/>
  <c r="AW250" i="1" s="1"/>
  <c r="AM251" i="1"/>
  <c r="AX251" i="1" s="1"/>
  <c r="AM207" i="1"/>
  <c r="AU207" i="1" s="1"/>
  <c r="AU160" i="1"/>
  <c r="AM186" i="1"/>
  <c r="AM123" i="1"/>
  <c r="AM188" i="1"/>
  <c r="AM144" i="1"/>
  <c r="AM176" i="1"/>
  <c r="AM139" i="1"/>
  <c r="AV203" i="1"/>
  <c r="AX203" i="1"/>
  <c r="AM121" i="1"/>
  <c r="AM244" i="1"/>
  <c r="AV244" i="1" s="1"/>
  <c r="AM208" i="1"/>
  <c r="AT208" i="1" s="1"/>
  <c r="AW241" i="1"/>
  <c r="AS241" i="1"/>
  <c r="AW162" i="1"/>
  <c r="AX160" i="1"/>
  <c r="AM171" i="1"/>
  <c r="AM175" i="1"/>
  <c r="AS154" i="1"/>
  <c r="AX154" i="1"/>
  <c r="AW154" i="1"/>
  <c r="AT154" i="1"/>
  <c r="AU154" i="1"/>
  <c r="AV154" i="1"/>
  <c r="AM180" i="1"/>
  <c r="AT128" i="1"/>
  <c r="AS128" i="1"/>
  <c r="AX128" i="1"/>
  <c r="AM177" i="1"/>
  <c r="AM213" i="1"/>
  <c r="AT213" i="1" s="1"/>
  <c r="AM248" i="1"/>
  <c r="AV248" i="1" s="1"/>
  <c r="AM214" i="1"/>
  <c r="AU214" i="1" s="1"/>
  <c r="AV236" i="1"/>
  <c r="AX235" i="1"/>
  <c r="AT241" i="1"/>
  <c r="AX162" i="1"/>
  <c r="AS160" i="1"/>
  <c r="AM150" i="1"/>
  <c r="AM137" i="1"/>
  <c r="AM146" i="1"/>
  <c r="AM182" i="1"/>
  <c r="AM179" i="1"/>
  <c r="AV199" i="1"/>
  <c r="AU199" i="1"/>
  <c r="AM183" i="1"/>
  <c r="AM122" i="1"/>
  <c r="AT160" i="1"/>
  <c r="AM119" i="1"/>
  <c r="AW205" i="1"/>
  <c r="AU205" i="1"/>
  <c r="AS205" i="1"/>
  <c r="AT205" i="1"/>
  <c r="AX205" i="1"/>
  <c r="AV205" i="1"/>
  <c r="AM118" i="1"/>
  <c r="AM141" i="1"/>
  <c r="AU138" i="1"/>
  <c r="AX138" i="1"/>
  <c r="C30" i="23"/>
  <c r="E9" i="23"/>
  <c r="E50" i="23" s="1"/>
  <c r="C97" i="23"/>
  <c r="C76" i="23"/>
  <c r="C94" i="23"/>
  <c r="C73" i="23"/>
  <c r="I39" i="23"/>
  <c r="G100" i="23"/>
  <c r="G79" i="23"/>
  <c r="G15" i="23"/>
  <c r="I15" i="23" s="1"/>
  <c r="E79" i="23"/>
  <c r="E100" i="23"/>
  <c r="E15" i="23"/>
  <c r="E56" i="23" s="1"/>
  <c r="C93" i="23"/>
  <c r="C72" i="23"/>
  <c r="C82" i="23"/>
  <c r="C103" i="23"/>
  <c r="C74" i="23"/>
  <c r="C95" i="23"/>
  <c r="C69" i="23"/>
  <c r="C90" i="23"/>
  <c r="E22" i="23"/>
  <c r="E63" i="23" s="1"/>
  <c r="G22" i="23"/>
  <c r="I22" i="23" s="1"/>
  <c r="C43" i="23"/>
  <c r="E71" i="23"/>
  <c r="E92" i="23"/>
  <c r="I31" i="23"/>
  <c r="G92" i="23"/>
  <c r="G71" i="23"/>
  <c r="E96" i="23"/>
  <c r="E75" i="23"/>
  <c r="I35" i="23"/>
  <c r="G96" i="23"/>
  <c r="G75" i="23"/>
  <c r="C77" i="23"/>
  <c r="C98" i="23"/>
  <c r="C101" i="23"/>
  <c r="C80" i="23"/>
  <c r="C102" i="23"/>
  <c r="C81" i="23"/>
  <c r="C78" i="23"/>
  <c r="C99" i="23"/>
  <c r="AV212" i="1"/>
  <c r="AX215" i="1"/>
  <c r="AX214" i="1"/>
  <c r="G37" i="23"/>
  <c r="E37" i="23"/>
  <c r="E40" i="23"/>
  <c r="G40" i="23"/>
  <c r="G41" i="23"/>
  <c r="E41" i="23"/>
  <c r="E38" i="23"/>
  <c r="G38" i="23"/>
  <c r="E33" i="23"/>
  <c r="G33" i="23"/>
  <c r="E32" i="23"/>
  <c r="G32" i="23"/>
  <c r="E42" i="23"/>
  <c r="G42" i="23"/>
  <c r="E34" i="23"/>
  <c r="G34" i="23"/>
  <c r="G36" i="23"/>
  <c r="E36" i="23"/>
  <c r="G29" i="23"/>
  <c r="E29" i="23"/>
  <c r="AW249" i="1"/>
  <c r="AV249" i="1"/>
  <c r="AT249" i="1"/>
  <c r="AX249" i="1"/>
  <c r="AS249" i="1"/>
  <c r="AU249" i="1"/>
  <c r="AS208" i="1"/>
  <c r="AI233" i="1"/>
  <c r="AI226" i="1"/>
  <c r="AW245" i="1"/>
  <c r="AX245" i="1"/>
  <c r="AW248" i="1"/>
  <c r="AT248" i="1"/>
  <c r="AS248" i="1"/>
  <c r="AW211" i="1"/>
  <c r="AV211" i="1"/>
  <c r="AW210" i="1"/>
  <c r="AV210" i="1"/>
  <c r="AX210" i="1"/>
  <c r="AI228" i="1"/>
  <c r="AM219" i="1"/>
  <c r="AI232" i="1"/>
  <c r="AM223" i="1"/>
  <c r="AS250" i="1"/>
  <c r="AI230" i="1"/>
  <c r="AM218" i="1"/>
  <c r="AI227" i="1"/>
  <c r="AV247" i="1"/>
  <c r="AU251" i="1"/>
  <c r="AT251" i="1"/>
  <c r="AS246" i="1"/>
  <c r="AT246" i="1"/>
  <c r="AM216" i="1"/>
  <c r="AI225" i="1"/>
  <c r="AM222" i="1"/>
  <c r="AI231" i="1"/>
  <c r="D144" i="12"/>
  <c r="F150" i="12"/>
  <c r="J150" i="12"/>
  <c r="G150" i="12"/>
  <c r="K150" i="12"/>
  <c r="H150" i="12"/>
  <c r="L150" i="12"/>
  <c r="I150" i="12"/>
  <c r="M150" i="12"/>
  <c r="D153" i="12"/>
  <c r="G146" i="12"/>
  <c r="K146" i="12"/>
  <c r="H146" i="12"/>
  <c r="M146" i="12"/>
  <c r="I146" i="12"/>
  <c r="J146" i="12"/>
  <c r="F146" i="12"/>
  <c r="L146" i="12"/>
  <c r="D147" i="12"/>
  <c r="R164" i="12"/>
  <c r="R168" i="12"/>
  <c r="R165" i="12"/>
  <c r="R169" i="12"/>
  <c r="R163" i="12"/>
  <c r="R166" i="12"/>
  <c r="R167" i="12"/>
  <c r="D148" i="12"/>
  <c r="D159" i="12"/>
  <c r="W136" i="12"/>
  <c r="R154" i="12"/>
  <c r="V154" i="12" s="1"/>
  <c r="W154" i="12" s="1"/>
  <c r="R158" i="12"/>
  <c r="V158" i="12" s="1"/>
  <c r="W158" i="12" s="1"/>
  <c r="D157" i="12" s="1"/>
  <c r="R155" i="12"/>
  <c r="V155" i="12" s="1"/>
  <c r="W155" i="12" s="1"/>
  <c r="R159" i="12"/>
  <c r="V159" i="12" s="1"/>
  <c r="W159" i="12" s="1"/>
  <c r="D158" i="12" s="1"/>
  <c r="R153" i="12"/>
  <c r="V153" i="12" s="1"/>
  <c r="W153" i="12" s="1"/>
  <c r="D152" i="12" s="1"/>
  <c r="R152" i="12"/>
  <c r="V152" i="12" s="1"/>
  <c r="W152" i="12" s="1"/>
  <c r="D151" i="12" s="1"/>
  <c r="R156" i="12"/>
  <c r="V156" i="12" s="1"/>
  <c r="W156" i="12" s="1"/>
  <c r="D155" i="12" s="1"/>
  <c r="R157" i="12"/>
  <c r="V157" i="12" s="1"/>
  <c r="W157" i="12" s="1"/>
  <c r="D156" i="12" s="1"/>
  <c r="R160" i="12"/>
  <c r="V160" i="12" s="1"/>
  <c r="W160" i="12" s="1"/>
  <c r="D154" i="12"/>
  <c r="G149" i="12"/>
  <c r="J149" i="12"/>
  <c r="F149" i="12"/>
  <c r="K149" i="12"/>
  <c r="H149" i="12"/>
  <c r="L149" i="12"/>
  <c r="I149" i="12"/>
  <c r="M149" i="12"/>
  <c r="G145" i="12"/>
  <c r="K145" i="12"/>
  <c r="J145" i="12"/>
  <c r="F145" i="12"/>
  <c r="L145" i="12"/>
  <c r="H145" i="12"/>
  <c r="M145" i="12"/>
  <c r="I145" i="12"/>
  <c r="D142" i="12"/>
  <c r="D65" i="16"/>
  <c r="D63" i="16"/>
  <c r="D61" i="16"/>
  <c r="D59" i="16"/>
  <c r="D57" i="16"/>
  <c r="D55" i="16"/>
  <c r="D53" i="16"/>
  <c r="D51" i="16"/>
  <c r="D49" i="16"/>
  <c r="F143" i="12" l="1"/>
  <c r="I143" i="12"/>
  <c r="M143" i="12"/>
  <c r="G143" i="12"/>
  <c r="L143" i="12"/>
  <c r="K143" i="12"/>
  <c r="H143" i="12"/>
  <c r="J143" i="12"/>
  <c r="AU211" i="1"/>
  <c r="AX211" i="1"/>
  <c r="AU243" i="1"/>
  <c r="AS211" i="1"/>
  <c r="AU213" i="1"/>
  <c r="AW209" i="1"/>
  <c r="AX243" i="1"/>
  <c r="AU208" i="1"/>
  <c r="AU244" i="1"/>
  <c r="AV215" i="1"/>
  <c r="AX244" i="1"/>
  <c r="AT215" i="1"/>
  <c r="AT244" i="1"/>
  <c r="AU210" i="1"/>
  <c r="AW244" i="1"/>
  <c r="AU215" i="1"/>
  <c r="AV207" i="1"/>
  <c r="AI229" i="1"/>
  <c r="AS210" i="1"/>
  <c r="AS215" i="1"/>
  <c r="AS207" i="1"/>
  <c r="AS244" i="1"/>
  <c r="AU247" i="1"/>
  <c r="AU248" i="1"/>
  <c r="AW208" i="1"/>
  <c r="AX212" i="1"/>
  <c r="AV251" i="1"/>
  <c r="AU245" i="1"/>
  <c r="AX208" i="1"/>
  <c r="AW212" i="1"/>
  <c r="AW251" i="1"/>
  <c r="AS245" i="1"/>
  <c r="AV208" i="1"/>
  <c r="AT212" i="1"/>
  <c r="AX248" i="1"/>
  <c r="AT245" i="1"/>
  <c r="AS212" i="1"/>
  <c r="AS251" i="1"/>
  <c r="AU149" i="1"/>
  <c r="AX149" i="1"/>
  <c r="AS149" i="1"/>
  <c r="AT149" i="1"/>
  <c r="AV149" i="1"/>
  <c r="AW149" i="1"/>
  <c r="AX207" i="1"/>
  <c r="AW247" i="1"/>
  <c r="AM230" i="1"/>
  <c r="AW230" i="1" s="1"/>
  <c r="AU250" i="1"/>
  <c r="AM232" i="1"/>
  <c r="AT232" i="1" s="1"/>
  <c r="AV213" i="1"/>
  <c r="AS214" i="1"/>
  <c r="AX183" i="1"/>
  <c r="AS183" i="1"/>
  <c r="AV183" i="1"/>
  <c r="AT183" i="1"/>
  <c r="AW183" i="1"/>
  <c r="AU183" i="1"/>
  <c r="AU146" i="1"/>
  <c r="AV146" i="1"/>
  <c r="AS146" i="1"/>
  <c r="AT146" i="1"/>
  <c r="AW146" i="1"/>
  <c r="AX146" i="1"/>
  <c r="AV171" i="1"/>
  <c r="AW171" i="1"/>
  <c r="AU171" i="1"/>
  <c r="AX171" i="1"/>
  <c r="AS171" i="1"/>
  <c r="AT171" i="1"/>
  <c r="AS176" i="1"/>
  <c r="AW176" i="1"/>
  <c r="AT176" i="1"/>
  <c r="AX176" i="1"/>
  <c r="AU176" i="1"/>
  <c r="AV176" i="1"/>
  <c r="AW186" i="1"/>
  <c r="AS186" i="1"/>
  <c r="AT186" i="1"/>
  <c r="AV186" i="1"/>
  <c r="AX186" i="1"/>
  <c r="AU186" i="1"/>
  <c r="AT147" i="1"/>
  <c r="AU147" i="1"/>
  <c r="AV147" i="1"/>
  <c r="AW147" i="1"/>
  <c r="AX147" i="1"/>
  <c r="AS147" i="1"/>
  <c r="AX143" i="1"/>
  <c r="AT143" i="1"/>
  <c r="AS143" i="1"/>
  <c r="AV143" i="1"/>
  <c r="AU143" i="1"/>
  <c r="AW143" i="1"/>
  <c r="AX124" i="1"/>
  <c r="AS124" i="1"/>
  <c r="AU124" i="1"/>
  <c r="AT124" i="1"/>
  <c r="AW124" i="1"/>
  <c r="AV124" i="1"/>
  <c r="AM231" i="1"/>
  <c r="AW231" i="1" s="1"/>
  <c r="AX141" i="1"/>
  <c r="AT141" i="1"/>
  <c r="AV141" i="1"/>
  <c r="AU141" i="1"/>
  <c r="AS141" i="1"/>
  <c r="AW141" i="1"/>
  <c r="AU177" i="1"/>
  <c r="AV177" i="1"/>
  <c r="AS177" i="1"/>
  <c r="AW177" i="1"/>
  <c r="AX177" i="1"/>
  <c r="AT177" i="1"/>
  <c r="AW152" i="1"/>
  <c r="AT152" i="1"/>
  <c r="AU152" i="1"/>
  <c r="AX152" i="1"/>
  <c r="AV152" i="1"/>
  <c r="AS152" i="1"/>
  <c r="AX187" i="1"/>
  <c r="AV187" i="1"/>
  <c r="AS187" i="1"/>
  <c r="AU187" i="1"/>
  <c r="AW187" i="1"/>
  <c r="AT187" i="1"/>
  <c r="AV184" i="1"/>
  <c r="AU184" i="1"/>
  <c r="AT184" i="1"/>
  <c r="AS184" i="1"/>
  <c r="AX184" i="1"/>
  <c r="AW184" i="1"/>
  <c r="AT142" i="1"/>
  <c r="AS142" i="1"/>
  <c r="AX142" i="1"/>
  <c r="AU142" i="1"/>
  <c r="AV142" i="1"/>
  <c r="AW142" i="1"/>
  <c r="AU246" i="1"/>
  <c r="AS247" i="1"/>
  <c r="AV243" i="1"/>
  <c r="AX250" i="1"/>
  <c r="AM228" i="1"/>
  <c r="AX228" i="1" s="1"/>
  <c r="AS213" i="1"/>
  <c r="AU137" i="1"/>
  <c r="AT137" i="1"/>
  <c r="AX137" i="1"/>
  <c r="AV137" i="1"/>
  <c r="AS137" i="1"/>
  <c r="AW137" i="1"/>
  <c r="AT121" i="1"/>
  <c r="AW121" i="1"/>
  <c r="AU121" i="1"/>
  <c r="AS121" i="1"/>
  <c r="AX121" i="1"/>
  <c r="AV121" i="1"/>
  <c r="AX144" i="1"/>
  <c r="AT144" i="1"/>
  <c r="AS144" i="1"/>
  <c r="AW144" i="1"/>
  <c r="AU144" i="1"/>
  <c r="AV144" i="1"/>
  <c r="AU178" i="1"/>
  <c r="AT178" i="1"/>
  <c r="AS178" i="1"/>
  <c r="AX178" i="1"/>
  <c r="AW178" i="1"/>
  <c r="AV178" i="1"/>
  <c r="AV173" i="1"/>
  <c r="AS173" i="1"/>
  <c r="AT173" i="1"/>
  <c r="AW173" i="1"/>
  <c r="AX173" i="1"/>
  <c r="AU173" i="1"/>
  <c r="AS119" i="1"/>
  <c r="AU119" i="1"/>
  <c r="AX119" i="1"/>
  <c r="AW119" i="1"/>
  <c r="AV119" i="1"/>
  <c r="AT119" i="1"/>
  <c r="AS140" i="1"/>
  <c r="AW140" i="1"/>
  <c r="AT140" i="1"/>
  <c r="AX140" i="1"/>
  <c r="AU140" i="1"/>
  <c r="AV140" i="1"/>
  <c r="AX246" i="1"/>
  <c r="AT250" i="1"/>
  <c r="AX209" i="1"/>
  <c r="AV209" i="1"/>
  <c r="AW214" i="1"/>
  <c r="AV179" i="1"/>
  <c r="AT179" i="1"/>
  <c r="AS179" i="1"/>
  <c r="AU179" i="1"/>
  <c r="AX179" i="1"/>
  <c r="AW179" i="1"/>
  <c r="AS150" i="1"/>
  <c r="AW150" i="1"/>
  <c r="AT150" i="1"/>
  <c r="AU150" i="1"/>
  <c r="AX150" i="1"/>
  <c r="AV150" i="1"/>
  <c r="AU188" i="1"/>
  <c r="AT188" i="1"/>
  <c r="AS188" i="1"/>
  <c r="AW188" i="1"/>
  <c r="AX188" i="1"/>
  <c r="AV188" i="1"/>
  <c r="AT151" i="1"/>
  <c r="AW151" i="1"/>
  <c r="AU151" i="1"/>
  <c r="AV151" i="1"/>
  <c r="AX151" i="1"/>
  <c r="AS151" i="1"/>
  <c r="AM225" i="1"/>
  <c r="AX225" i="1" s="1"/>
  <c r="AX118" i="1"/>
  <c r="AT118" i="1"/>
  <c r="AU118" i="1"/>
  <c r="AV118" i="1"/>
  <c r="AW118" i="1"/>
  <c r="AS118" i="1"/>
  <c r="AW207" i="1"/>
  <c r="AM229" i="1"/>
  <c r="AX229" i="1" s="1"/>
  <c r="AS243" i="1"/>
  <c r="AM226" i="1"/>
  <c r="AX226" i="1" s="1"/>
  <c r="AW213" i="1"/>
  <c r="AT207" i="1"/>
  <c r="AV246" i="1"/>
  <c r="AX247" i="1"/>
  <c r="AT243" i="1"/>
  <c r="AV250" i="1"/>
  <c r="AX213" i="1"/>
  <c r="AS209" i="1"/>
  <c r="AT214" i="1"/>
  <c r="AS185" i="1"/>
  <c r="AX185" i="1"/>
  <c r="AW185" i="1"/>
  <c r="AV185" i="1"/>
  <c r="AU185" i="1"/>
  <c r="AT185" i="1"/>
  <c r="AU169" i="1"/>
  <c r="AX169" i="1"/>
  <c r="AV169" i="1"/>
  <c r="AT169" i="1"/>
  <c r="AS169" i="1"/>
  <c r="AW169" i="1"/>
  <c r="AX135" i="1"/>
  <c r="AT135" i="1"/>
  <c r="AW135" i="1"/>
  <c r="AS135" i="1"/>
  <c r="AU135" i="1"/>
  <c r="AV135" i="1"/>
  <c r="AS172" i="1"/>
  <c r="AW172" i="1"/>
  <c r="AT172" i="1"/>
  <c r="AX172" i="1"/>
  <c r="AU172" i="1"/>
  <c r="AV172" i="1"/>
  <c r="AM227" i="1"/>
  <c r="AM233" i="1"/>
  <c r="AW233" i="1" s="1"/>
  <c r="AU209" i="1"/>
  <c r="AV214" i="1"/>
  <c r="AX122" i="1"/>
  <c r="AT122" i="1"/>
  <c r="AV122" i="1"/>
  <c r="AU122" i="1"/>
  <c r="AW122" i="1"/>
  <c r="AS122" i="1"/>
  <c r="AU182" i="1"/>
  <c r="AS182" i="1"/>
  <c r="AV182" i="1"/>
  <c r="AX182" i="1"/>
  <c r="AT182" i="1"/>
  <c r="AW182" i="1"/>
  <c r="AU180" i="1"/>
  <c r="AT180" i="1"/>
  <c r="AV180" i="1"/>
  <c r="AW180" i="1"/>
  <c r="AX180" i="1"/>
  <c r="AS180" i="1"/>
  <c r="AT175" i="1"/>
  <c r="AX175" i="1"/>
  <c r="AS175" i="1"/>
  <c r="AU175" i="1"/>
  <c r="AV175" i="1"/>
  <c r="AW175" i="1"/>
  <c r="AX139" i="1"/>
  <c r="AU139" i="1"/>
  <c r="AW139" i="1"/>
  <c r="AV139" i="1"/>
  <c r="AT139" i="1"/>
  <c r="AS139" i="1"/>
  <c r="AX123" i="1"/>
  <c r="AU123" i="1"/>
  <c r="AT123" i="1"/>
  <c r="AV123" i="1"/>
  <c r="AW123" i="1"/>
  <c r="AS123" i="1"/>
  <c r="AX117" i="1"/>
  <c r="AS117" i="1"/>
  <c r="AT117" i="1"/>
  <c r="AV117" i="1"/>
  <c r="AU117" i="1"/>
  <c r="AW117" i="1"/>
  <c r="AT145" i="1"/>
  <c r="AS145" i="1"/>
  <c r="AW145" i="1"/>
  <c r="AV145" i="1"/>
  <c r="AX145" i="1"/>
  <c r="AU145" i="1"/>
  <c r="E30" i="23"/>
  <c r="G30" i="23"/>
  <c r="C70" i="23"/>
  <c r="C91" i="23"/>
  <c r="E97" i="23"/>
  <c r="E76" i="23"/>
  <c r="I33" i="23"/>
  <c r="G73" i="23"/>
  <c r="G94" i="23"/>
  <c r="E98" i="23"/>
  <c r="E77" i="23"/>
  <c r="I38" i="23"/>
  <c r="G99" i="23"/>
  <c r="G78" i="23"/>
  <c r="I92" i="23"/>
  <c r="I71" i="23"/>
  <c r="I34" i="23"/>
  <c r="G95" i="23"/>
  <c r="G74" i="23"/>
  <c r="E95" i="23"/>
  <c r="E74" i="23"/>
  <c r="E99" i="23"/>
  <c r="E78" i="23"/>
  <c r="I100" i="23"/>
  <c r="I79" i="23"/>
  <c r="I42" i="23"/>
  <c r="G103" i="23"/>
  <c r="G82" i="23"/>
  <c r="E102" i="23"/>
  <c r="E81" i="23"/>
  <c r="E94" i="23"/>
  <c r="E73" i="23"/>
  <c r="E103" i="23"/>
  <c r="E82" i="23"/>
  <c r="I41" i="23"/>
  <c r="G81" i="23"/>
  <c r="G102" i="23"/>
  <c r="I75" i="23"/>
  <c r="I96" i="23"/>
  <c r="C104" i="23"/>
  <c r="C83" i="23"/>
  <c r="E43" i="23"/>
  <c r="G43" i="23"/>
  <c r="I36" i="23"/>
  <c r="G97" i="23"/>
  <c r="G76" i="23"/>
  <c r="E90" i="23"/>
  <c r="E69" i="23"/>
  <c r="I32" i="23"/>
  <c r="G72" i="23"/>
  <c r="G93" i="23"/>
  <c r="I40" i="23"/>
  <c r="G80" i="23"/>
  <c r="G101" i="23"/>
  <c r="I37" i="23"/>
  <c r="G98" i="23"/>
  <c r="G77" i="23"/>
  <c r="I29" i="23"/>
  <c r="G69" i="23"/>
  <c r="G90" i="23"/>
  <c r="E72" i="23"/>
  <c r="E93" i="23"/>
  <c r="E80" i="23"/>
  <c r="E101" i="23"/>
  <c r="AW218" i="1"/>
  <c r="AT218" i="1"/>
  <c r="AS218" i="1"/>
  <c r="AU218" i="1"/>
  <c r="AX218" i="1"/>
  <c r="AV218" i="1"/>
  <c r="AX223" i="1"/>
  <c r="AV223" i="1"/>
  <c r="AT223" i="1"/>
  <c r="AS223" i="1"/>
  <c r="AU223" i="1"/>
  <c r="AW223" i="1"/>
  <c r="AV224" i="1"/>
  <c r="AX224" i="1"/>
  <c r="AS224" i="1"/>
  <c r="AW224" i="1"/>
  <c r="AU224" i="1"/>
  <c r="AT224" i="1"/>
  <c r="AX227" i="1"/>
  <c r="AS227" i="1"/>
  <c r="AU227" i="1"/>
  <c r="AW227" i="1"/>
  <c r="AV227" i="1"/>
  <c r="AT227" i="1"/>
  <c r="AV222" i="1"/>
  <c r="AX222" i="1"/>
  <c r="AS222" i="1"/>
  <c r="AW222" i="1"/>
  <c r="AU222" i="1"/>
  <c r="AT222" i="1"/>
  <c r="AX232" i="1"/>
  <c r="AW232" i="1"/>
  <c r="AU232" i="1"/>
  <c r="AU226" i="1"/>
  <c r="AS226" i="1"/>
  <c r="AV216" i="1"/>
  <c r="AX216" i="1"/>
  <c r="AS216" i="1"/>
  <c r="AW216" i="1"/>
  <c r="AU216" i="1"/>
  <c r="AT216" i="1"/>
  <c r="AU225" i="1"/>
  <c r="AW225" i="1"/>
  <c r="AT225" i="1"/>
  <c r="AV220" i="1"/>
  <c r="AT220" i="1"/>
  <c r="AS220" i="1"/>
  <c r="AX220" i="1"/>
  <c r="AW220" i="1"/>
  <c r="AU220" i="1"/>
  <c r="AW221" i="1"/>
  <c r="AV221" i="1"/>
  <c r="AT221" i="1"/>
  <c r="AX221" i="1"/>
  <c r="AS221" i="1"/>
  <c r="AU221" i="1"/>
  <c r="AW219" i="1"/>
  <c r="AV219" i="1"/>
  <c r="AT219" i="1"/>
  <c r="AU219" i="1"/>
  <c r="AX219" i="1"/>
  <c r="AS219" i="1"/>
  <c r="AX217" i="1"/>
  <c r="AS217" i="1"/>
  <c r="AU217" i="1"/>
  <c r="AW217" i="1"/>
  <c r="AV217" i="1"/>
  <c r="AT217" i="1"/>
  <c r="F152" i="12"/>
  <c r="J152" i="12"/>
  <c r="G152" i="12"/>
  <c r="K152" i="12"/>
  <c r="H152" i="12"/>
  <c r="L152" i="12"/>
  <c r="I152" i="12"/>
  <c r="M152" i="12"/>
  <c r="F156" i="12"/>
  <c r="J156" i="12"/>
  <c r="G156" i="12"/>
  <c r="K156" i="12"/>
  <c r="H156" i="12"/>
  <c r="L156" i="12"/>
  <c r="I156" i="12"/>
  <c r="M156" i="12"/>
  <c r="F155" i="12"/>
  <c r="J155" i="12"/>
  <c r="G155" i="12"/>
  <c r="K155" i="12"/>
  <c r="H155" i="12"/>
  <c r="L155" i="12"/>
  <c r="I155" i="12"/>
  <c r="M155" i="12"/>
  <c r="F151" i="12"/>
  <c r="J151" i="12"/>
  <c r="G151" i="12"/>
  <c r="K151" i="12"/>
  <c r="H151" i="12"/>
  <c r="L151" i="12"/>
  <c r="I151" i="12"/>
  <c r="M151" i="12"/>
  <c r="F157" i="12"/>
  <c r="J157" i="12"/>
  <c r="G157" i="12"/>
  <c r="K157" i="12"/>
  <c r="H157" i="12"/>
  <c r="L157" i="12"/>
  <c r="I157" i="12"/>
  <c r="M157" i="12"/>
  <c r="F159" i="12"/>
  <c r="J159" i="12"/>
  <c r="G159" i="12"/>
  <c r="K159" i="12"/>
  <c r="H159" i="12"/>
  <c r="L159" i="12"/>
  <c r="I159" i="12"/>
  <c r="M159" i="12"/>
  <c r="R213" i="12"/>
  <c r="V213" i="12" s="1"/>
  <c r="R177" i="12"/>
  <c r="V177" i="12" s="1"/>
  <c r="R204" i="12"/>
  <c r="V204" i="12" s="1"/>
  <c r="R222" i="12"/>
  <c r="V222" i="12" s="1"/>
  <c r="R231" i="12"/>
  <c r="V231" i="12" s="1"/>
  <c r="W231" i="12" s="1"/>
  <c r="V168" i="12"/>
  <c r="R195" i="12"/>
  <c r="V195" i="12" s="1"/>
  <c r="W195" i="12" s="1"/>
  <c r="R186" i="12"/>
  <c r="V186" i="12" s="1"/>
  <c r="F153" i="12"/>
  <c r="J153" i="12"/>
  <c r="G153" i="12"/>
  <c r="K153" i="12"/>
  <c r="H153" i="12"/>
  <c r="L153" i="12"/>
  <c r="I153" i="12"/>
  <c r="M153" i="12"/>
  <c r="R203" i="12"/>
  <c r="V203" i="12" s="1"/>
  <c r="V167" i="12"/>
  <c r="R230" i="12"/>
  <c r="V230" i="12" s="1"/>
  <c r="W230" i="12" s="1"/>
  <c r="R194" i="12"/>
  <c r="V194" i="12" s="1"/>
  <c r="W194" i="12" s="1"/>
  <c r="R212" i="12"/>
  <c r="V212" i="12" s="1"/>
  <c r="R221" i="12"/>
  <c r="V221" i="12" s="1"/>
  <c r="R185" i="12"/>
  <c r="V185" i="12" s="1"/>
  <c r="R176" i="12"/>
  <c r="V176" i="12" s="1"/>
  <c r="R209" i="12"/>
  <c r="V209" i="12" s="1"/>
  <c r="R173" i="12"/>
  <c r="V173" i="12" s="1"/>
  <c r="R200" i="12"/>
  <c r="V200" i="12" s="1"/>
  <c r="R182" i="12"/>
  <c r="V182" i="12" s="1"/>
  <c r="R227" i="12"/>
  <c r="V227" i="12" s="1"/>
  <c r="W227" i="12" s="1"/>
  <c r="V164" i="12"/>
  <c r="R191" i="12"/>
  <c r="V191" i="12" s="1"/>
  <c r="W191" i="12" s="1"/>
  <c r="R218" i="12"/>
  <c r="V218" i="12" s="1"/>
  <c r="G142" i="12"/>
  <c r="K142" i="12"/>
  <c r="H142" i="12"/>
  <c r="M142" i="12"/>
  <c r="I142" i="12"/>
  <c r="J142" i="12"/>
  <c r="L142" i="12"/>
  <c r="F142" i="12"/>
  <c r="G148" i="12"/>
  <c r="K148" i="12"/>
  <c r="H148" i="12"/>
  <c r="M148" i="12"/>
  <c r="I148" i="12"/>
  <c r="J148" i="12"/>
  <c r="F148" i="12"/>
  <c r="L148" i="12"/>
  <c r="R225" i="12"/>
  <c r="V225" i="12" s="1"/>
  <c r="W225" i="12" s="1"/>
  <c r="R189" i="12"/>
  <c r="V189" i="12" s="1"/>
  <c r="W189" i="12" s="1"/>
  <c r="R216" i="12"/>
  <c r="V216" i="12" s="1"/>
  <c r="R180" i="12"/>
  <c r="V180" i="12" s="1"/>
  <c r="R171" i="12"/>
  <c r="V171" i="12" s="1"/>
  <c r="R207" i="12"/>
  <c r="V207" i="12" s="1"/>
  <c r="R198" i="12"/>
  <c r="V198" i="12" s="1"/>
  <c r="R223" i="12"/>
  <c r="V223" i="12" s="1"/>
  <c r="R187" i="12"/>
  <c r="V187" i="12" s="1"/>
  <c r="R214" i="12"/>
  <c r="V214" i="12" s="1"/>
  <c r="R178" i="12"/>
  <c r="V178" i="12" s="1"/>
  <c r="R232" i="12"/>
  <c r="V232" i="12" s="1"/>
  <c r="W232" i="12" s="1"/>
  <c r="R205" i="12"/>
  <c r="V205" i="12" s="1"/>
  <c r="V169" i="12"/>
  <c r="R196" i="12"/>
  <c r="V196" i="12" s="1"/>
  <c r="W196" i="12" s="1"/>
  <c r="G147" i="12"/>
  <c r="K147" i="12"/>
  <c r="J147" i="12"/>
  <c r="F147" i="12"/>
  <c r="L147" i="12"/>
  <c r="H147" i="12"/>
  <c r="M147" i="12"/>
  <c r="I147" i="12"/>
  <c r="F158" i="12"/>
  <c r="J158" i="12"/>
  <c r="G158" i="12"/>
  <c r="K158" i="12"/>
  <c r="H158" i="12"/>
  <c r="L158" i="12"/>
  <c r="I158" i="12"/>
  <c r="M158" i="12"/>
  <c r="R215" i="12"/>
  <c r="V215" i="12" s="1"/>
  <c r="R179" i="12"/>
  <c r="V179" i="12" s="1"/>
  <c r="R206" i="12"/>
  <c r="V206" i="12" s="1"/>
  <c r="R170" i="12"/>
  <c r="V170" i="12" s="1"/>
  <c r="R224" i="12"/>
  <c r="V224" i="12" s="1"/>
  <c r="W224" i="12" s="1"/>
  <c r="R197" i="12"/>
  <c r="V197" i="12" s="1"/>
  <c r="V161" i="12"/>
  <c r="R188" i="12"/>
  <c r="V188" i="12" s="1"/>
  <c r="W188" i="12" s="1"/>
  <c r="F154" i="12"/>
  <c r="J154" i="12"/>
  <c r="G154" i="12"/>
  <c r="K154" i="12"/>
  <c r="H154" i="12"/>
  <c r="L154" i="12"/>
  <c r="I154" i="12"/>
  <c r="M154" i="12"/>
  <c r="R199" i="12"/>
  <c r="V199" i="12" s="1"/>
  <c r="V163" i="12"/>
  <c r="R226" i="12"/>
  <c r="V226" i="12" s="1"/>
  <c r="W226" i="12" s="1"/>
  <c r="R190" i="12"/>
  <c r="V190" i="12" s="1"/>
  <c r="W190" i="12" s="1"/>
  <c r="R172" i="12"/>
  <c r="V172" i="12" s="1"/>
  <c r="R217" i="12"/>
  <c r="V217" i="12" s="1"/>
  <c r="R208" i="12"/>
  <c r="V208" i="12" s="1"/>
  <c r="R181" i="12"/>
  <c r="V181" i="12" s="1"/>
  <c r="G144" i="12"/>
  <c r="K144" i="12"/>
  <c r="H144" i="12"/>
  <c r="M144" i="12"/>
  <c r="I144" i="12"/>
  <c r="J144" i="12"/>
  <c r="F144" i="12"/>
  <c r="L144" i="12"/>
  <c r="V166" i="12"/>
  <c r="R229" i="12"/>
  <c r="V229" i="12" s="1"/>
  <c r="W229" i="12" s="1"/>
  <c r="R193" i="12"/>
  <c r="V193" i="12" s="1"/>
  <c r="W193" i="12" s="1"/>
  <c r="R220" i="12"/>
  <c r="V220" i="12" s="1"/>
  <c r="R184" i="12"/>
  <c r="V184" i="12" s="1"/>
  <c r="R202" i="12"/>
  <c r="V202" i="12" s="1"/>
  <c r="R175" i="12"/>
  <c r="V175" i="12" s="1"/>
  <c r="R211" i="12"/>
  <c r="V211" i="12" s="1"/>
  <c r="R219" i="12"/>
  <c r="V219" i="12" s="1"/>
  <c r="R183" i="12"/>
  <c r="V183" i="12" s="1"/>
  <c r="R210" i="12"/>
  <c r="V210" i="12" s="1"/>
  <c r="R174" i="12"/>
  <c r="V174" i="12" s="1"/>
  <c r="V165" i="12"/>
  <c r="R192" i="12"/>
  <c r="V192" i="12" s="1"/>
  <c r="W192" i="12" s="1"/>
  <c r="R201" i="12"/>
  <c r="V201" i="12" s="1"/>
  <c r="R228" i="12"/>
  <c r="V228" i="12" s="1"/>
  <c r="W228" i="12" s="1"/>
  <c r="Q20" i="6"/>
  <c r="I133" i="5"/>
  <c r="I132" i="5"/>
  <c r="W201" i="12" l="1"/>
  <c r="Y201" i="12"/>
  <c r="W210" i="12"/>
  <c r="Y210" i="12"/>
  <c r="W175" i="12"/>
  <c r="Y175" i="12"/>
  <c r="W208" i="12"/>
  <c r="Y208" i="12"/>
  <c r="W161" i="12"/>
  <c r="Y161" i="12"/>
  <c r="W206" i="12"/>
  <c r="Y206" i="12"/>
  <c r="W169" i="12"/>
  <c r="Y169" i="12"/>
  <c r="W214" i="12"/>
  <c r="Y214" i="12"/>
  <c r="W207" i="12"/>
  <c r="W200" i="12"/>
  <c r="Y200" i="12"/>
  <c r="W185" i="12"/>
  <c r="Y185" i="12"/>
  <c r="W204" i="12"/>
  <c r="Y204" i="12"/>
  <c r="W183" i="12"/>
  <c r="Y183" i="12"/>
  <c r="W202" i="12"/>
  <c r="Y202" i="12"/>
  <c r="W217" i="12"/>
  <c r="Y217" i="12"/>
  <c r="W163" i="12"/>
  <c r="Y163" i="12"/>
  <c r="W197" i="12"/>
  <c r="Y197" i="12"/>
  <c r="W179" i="12"/>
  <c r="Y179" i="12"/>
  <c r="W205" i="12"/>
  <c r="Y205" i="12"/>
  <c r="W187" i="12"/>
  <c r="Y187" i="12"/>
  <c r="W171" i="12"/>
  <c r="Y171" i="12"/>
  <c r="W164" i="12"/>
  <c r="D163" i="12" s="1"/>
  <c r="Y164" i="12"/>
  <c r="W173" i="12"/>
  <c r="Y173" i="12"/>
  <c r="W221" i="12"/>
  <c r="Y221" i="12"/>
  <c r="W167" i="12"/>
  <c r="Y167" i="12"/>
  <c r="W168" i="12"/>
  <c r="D167" i="12" s="1"/>
  <c r="Y168" i="12"/>
  <c r="W177" i="12"/>
  <c r="Y177" i="12"/>
  <c r="W165" i="12"/>
  <c r="D164" i="12" s="1"/>
  <c r="Y165" i="12"/>
  <c r="W219" i="12"/>
  <c r="Y219" i="12"/>
  <c r="W184" i="12"/>
  <c r="Y184" i="12"/>
  <c r="W166" i="12"/>
  <c r="D165" i="12" s="1"/>
  <c r="Y166" i="12"/>
  <c r="W172" i="12"/>
  <c r="D171" i="12" s="1"/>
  <c r="Y172" i="12"/>
  <c r="W199" i="12"/>
  <c r="Y199" i="12"/>
  <c r="W215" i="12"/>
  <c r="Y215" i="12"/>
  <c r="W223" i="12"/>
  <c r="Y223" i="12"/>
  <c r="W180" i="12"/>
  <c r="W209" i="12"/>
  <c r="Y209" i="12"/>
  <c r="W212" i="12"/>
  <c r="Y212" i="12"/>
  <c r="W203" i="12"/>
  <c r="Y203" i="12"/>
  <c r="W213" i="12"/>
  <c r="Y213" i="12"/>
  <c r="W174" i="12"/>
  <c r="D173" i="12" s="1"/>
  <c r="Y174" i="12"/>
  <c r="W211" i="12"/>
  <c r="Y211" i="12"/>
  <c r="W220" i="12"/>
  <c r="Y220" i="12"/>
  <c r="W181" i="12"/>
  <c r="Y181" i="12"/>
  <c r="W170" i="12"/>
  <c r="D169" i="12" s="1"/>
  <c r="Y170" i="12"/>
  <c r="W178" i="12"/>
  <c r="D177" i="12" s="1"/>
  <c r="Y178" i="12"/>
  <c r="W198" i="12"/>
  <c r="W216" i="12"/>
  <c r="W218" i="12"/>
  <c r="Y218" i="12"/>
  <c r="W182" i="12"/>
  <c r="Y182" i="12"/>
  <c r="W176" i="12"/>
  <c r="D175" i="12" s="1"/>
  <c r="Y176" i="12"/>
  <c r="W186" i="12"/>
  <c r="Y186" i="12"/>
  <c r="W222" i="12"/>
  <c r="Y222" i="12"/>
  <c r="AT226" i="1"/>
  <c r="AW226" i="1"/>
  <c r="AV226" i="1"/>
  <c r="AS231" i="1"/>
  <c r="AX231" i="1"/>
  <c r="AS230" i="1"/>
  <c r="AV230" i="1"/>
  <c r="AV231" i="1"/>
  <c r="AT230" i="1"/>
  <c r="AU231" i="1"/>
  <c r="AV228" i="1"/>
  <c r="AT228" i="1"/>
  <c r="AU228" i="1"/>
  <c r="AW228" i="1"/>
  <c r="AS228" i="1"/>
  <c r="AS229" i="1"/>
  <c r="AT233" i="1"/>
  <c r="AV232" i="1"/>
  <c r="AW229" i="1"/>
  <c r="AU233" i="1"/>
  <c r="AU229" i="1"/>
  <c r="AX233" i="1"/>
  <c r="AV225" i="1"/>
  <c r="AX230" i="1"/>
  <c r="AT229" i="1"/>
  <c r="AT231" i="1"/>
  <c r="AS225" i="1"/>
  <c r="AS232" i="1"/>
  <c r="AU230" i="1"/>
  <c r="AS233" i="1"/>
  <c r="AV229" i="1"/>
  <c r="AV233" i="1"/>
  <c r="I30" i="23"/>
  <c r="G70" i="23"/>
  <c r="G91" i="23"/>
  <c r="E91" i="23"/>
  <c r="E70" i="23"/>
  <c r="I101" i="23"/>
  <c r="I80" i="23"/>
  <c r="I97" i="23"/>
  <c r="I76" i="23"/>
  <c r="I99" i="23"/>
  <c r="I78" i="23"/>
  <c r="I90" i="23"/>
  <c r="I69" i="23"/>
  <c r="E104" i="23"/>
  <c r="E83" i="23"/>
  <c r="I82" i="23"/>
  <c r="I103" i="23"/>
  <c r="I43" i="23"/>
  <c r="G104" i="23"/>
  <c r="G83" i="23"/>
  <c r="I93" i="23"/>
  <c r="I72" i="23"/>
  <c r="I74" i="23"/>
  <c r="I95" i="23"/>
  <c r="I102" i="23"/>
  <c r="I81" i="23"/>
  <c r="I98" i="23"/>
  <c r="I77" i="23"/>
  <c r="I94" i="23"/>
  <c r="I73" i="23"/>
  <c r="I177" i="12"/>
  <c r="M177" i="12"/>
  <c r="F177" i="12"/>
  <c r="J177" i="12"/>
  <c r="G177" i="12"/>
  <c r="K177" i="12"/>
  <c r="H177" i="12"/>
  <c r="L177" i="12"/>
  <c r="I175" i="12"/>
  <c r="M175" i="12"/>
  <c r="F175" i="12"/>
  <c r="J175" i="12"/>
  <c r="G175" i="12"/>
  <c r="K175" i="12"/>
  <c r="H175" i="12"/>
  <c r="L175" i="12"/>
  <c r="I173" i="12"/>
  <c r="M173" i="12"/>
  <c r="F173" i="12"/>
  <c r="J173" i="12"/>
  <c r="G173" i="12"/>
  <c r="K173" i="12"/>
  <c r="H173" i="12"/>
  <c r="L173" i="12"/>
  <c r="F163" i="12"/>
  <c r="J163" i="12"/>
  <c r="K163" i="12"/>
  <c r="H163" i="12"/>
  <c r="L163" i="12"/>
  <c r="I163" i="12"/>
  <c r="M163" i="12"/>
  <c r="I167" i="12"/>
  <c r="M167" i="12"/>
  <c r="F167" i="12"/>
  <c r="J167" i="12"/>
  <c r="G167" i="12"/>
  <c r="K167" i="12"/>
  <c r="H167" i="12"/>
  <c r="L167" i="12"/>
  <c r="I169" i="12"/>
  <c r="M169" i="12"/>
  <c r="F169" i="12"/>
  <c r="J169" i="12"/>
  <c r="G169" i="12"/>
  <c r="K169" i="12"/>
  <c r="H169" i="12"/>
  <c r="L169" i="12"/>
  <c r="F164" i="12"/>
  <c r="G164" i="12"/>
  <c r="H164" i="12"/>
  <c r="I164" i="12"/>
  <c r="M164" i="12"/>
  <c r="J164" i="12"/>
  <c r="K164" i="12"/>
  <c r="L164" i="12"/>
  <c r="I165" i="12"/>
  <c r="M165" i="12"/>
  <c r="F165" i="12"/>
  <c r="J165" i="12"/>
  <c r="G165" i="12"/>
  <c r="K165" i="12"/>
  <c r="H165" i="12"/>
  <c r="L165" i="12"/>
  <c r="I171" i="12"/>
  <c r="M171" i="12"/>
  <c r="F171" i="12"/>
  <c r="J171" i="12"/>
  <c r="G171" i="12"/>
  <c r="K171" i="12"/>
  <c r="H171" i="12"/>
  <c r="L171" i="12"/>
  <c r="F161" i="12"/>
  <c r="J161" i="12"/>
  <c r="G161" i="12"/>
  <c r="K161" i="12"/>
  <c r="H161" i="12"/>
  <c r="L161" i="12"/>
  <c r="I161" i="12"/>
  <c r="M161" i="12"/>
  <c r="AD12" i="13"/>
  <c r="AD13" i="13"/>
  <c r="AD14" i="13"/>
  <c r="AD15" i="13"/>
  <c r="AD16" i="13"/>
  <c r="AD17" i="13"/>
  <c r="AD18" i="13"/>
  <c r="AD19" i="13"/>
  <c r="AD11" i="13"/>
  <c r="X12" i="13"/>
  <c r="V12" i="13"/>
  <c r="V13" i="13"/>
  <c r="V14" i="13"/>
  <c r="V15" i="13"/>
  <c r="V16" i="13"/>
  <c r="V17" i="13"/>
  <c r="V18" i="13"/>
  <c r="V19" i="13"/>
  <c r="V11" i="13"/>
  <c r="AD242" i="5"/>
  <c r="AD243" i="5"/>
  <c r="AD244" i="5"/>
  <c r="AD245" i="5"/>
  <c r="AD246" i="5"/>
  <c r="AD247" i="5"/>
  <c r="AD248" i="5"/>
  <c r="AD249" i="5"/>
  <c r="AD241" i="5"/>
  <c r="E199" i="13"/>
  <c r="AF212" i="5"/>
  <c r="AF109" i="5"/>
  <c r="AF106" i="5"/>
  <c r="AF100" i="5"/>
  <c r="AF108" i="5"/>
  <c r="AF211" i="5"/>
  <c r="AK196" i="5"/>
  <c r="AF214" i="5"/>
  <c r="AB241" i="5"/>
  <c r="AA241" i="5"/>
  <c r="K204" i="5"/>
  <c r="K205" i="5"/>
  <c r="K206" i="5"/>
  <c r="K207" i="5"/>
  <c r="K208" i="5"/>
  <c r="K209" i="5"/>
  <c r="K210" i="5"/>
  <c r="K211" i="5"/>
  <c r="K203" i="5"/>
  <c r="K129" i="5"/>
  <c r="E263" i="13"/>
  <c r="F263" i="13"/>
  <c r="G263" i="13"/>
  <c r="H263" i="13"/>
  <c r="I263" i="13"/>
  <c r="J263" i="13"/>
  <c r="E258" i="13"/>
  <c r="F258" i="13"/>
  <c r="G258" i="13"/>
  <c r="H258" i="13"/>
  <c r="I258" i="13"/>
  <c r="J258" i="13"/>
  <c r="K263" i="13"/>
  <c r="F262" i="13"/>
  <c r="G262" i="13"/>
  <c r="H262" i="13"/>
  <c r="I262" i="13"/>
  <c r="J262" i="13"/>
  <c r="K262" i="13"/>
  <c r="E262" i="13"/>
  <c r="K253" i="13"/>
  <c r="K258" i="13"/>
  <c r="F257" i="13"/>
  <c r="G257" i="13"/>
  <c r="H257" i="13"/>
  <c r="I257" i="13"/>
  <c r="J257" i="13"/>
  <c r="K257" i="13"/>
  <c r="E257" i="13"/>
  <c r="F252" i="13"/>
  <c r="G252" i="13"/>
  <c r="H252" i="13"/>
  <c r="I252" i="13"/>
  <c r="J252" i="13"/>
  <c r="K252" i="13"/>
  <c r="F253" i="13"/>
  <c r="G253" i="13"/>
  <c r="H253" i="13"/>
  <c r="I253" i="13"/>
  <c r="J253" i="13"/>
  <c r="E253" i="13"/>
  <c r="E252" i="13"/>
  <c r="E251" i="13"/>
  <c r="F251" i="13"/>
  <c r="G251" i="13"/>
  <c r="H251" i="13"/>
  <c r="I251" i="13"/>
  <c r="J251" i="13"/>
  <c r="K251" i="13"/>
  <c r="F250" i="13"/>
  <c r="G250" i="13"/>
  <c r="H250" i="13"/>
  <c r="I250" i="13"/>
  <c r="J250" i="13"/>
  <c r="K250" i="13"/>
  <c r="E245" i="13"/>
  <c r="E250" i="13"/>
  <c r="K246" i="13"/>
  <c r="N239" i="13"/>
  <c r="N237" i="13"/>
  <c r="F245" i="13"/>
  <c r="G245" i="13"/>
  <c r="H245" i="13"/>
  <c r="I245" i="13"/>
  <c r="J245" i="13"/>
  <c r="K245" i="13"/>
  <c r="K226" i="13"/>
  <c r="K224" i="13"/>
  <c r="K223" i="13"/>
  <c r="F223" i="13"/>
  <c r="G223" i="13"/>
  <c r="H223" i="13"/>
  <c r="I223" i="13"/>
  <c r="J223" i="13"/>
  <c r="F224" i="13"/>
  <c r="G224" i="13"/>
  <c r="H224" i="13"/>
  <c r="I224" i="13"/>
  <c r="J224" i="13"/>
  <c r="F225" i="13"/>
  <c r="G225" i="13"/>
  <c r="H225" i="13"/>
  <c r="I225" i="13"/>
  <c r="J225" i="13"/>
  <c r="K225" i="13"/>
  <c r="F226" i="13"/>
  <c r="G226" i="13"/>
  <c r="H226" i="13"/>
  <c r="I226" i="13"/>
  <c r="J226" i="13"/>
  <c r="E224" i="13"/>
  <c r="E225" i="13"/>
  <c r="E226" i="13"/>
  <c r="E223" i="13"/>
  <c r="O225" i="13"/>
  <c r="E231" i="13"/>
  <c r="E234" i="13"/>
  <c r="F234" i="13"/>
  <c r="G234" i="13"/>
  <c r="H234" i="13"/>
  <c r="I234" i="13"/>
  <c r="J234" i="13"/>
  <c r="K234" i="13"/>
  <c r="K233" i="13"/>
  <c r="E232" i="13"/>
  <c r="F232" i="13"/>
  <c r="G232" i="13"/>
  <c r="H232" i="13"/>
  <c r="I232" i="13"/>
  <c r="J232" i="13"/>
  <c r="K232" i="13"/>
  <c r="E233" i="13"/>
  <c r="F233" i="13"/>
  <c r="G233" i="13"/>
  <c r="H233" i="13"/>
  <c r="I233" i="13"/>
  <c r="J233" i="13"/>
  <c r="F231" i="13"/>
  <c r="G231" i="13"/>
  <c r="H231" i="13"/>
  <c r="I231" i="13"/>
  <c r="J231" i="13"/>
  <c r="K231" i="13"/>
  <c r="M31" i="13"/>
  <c r="N31" i="13"/>
  <c r="O31" i="13"/>
  <c r="P31" i="13"/>
  <c r="Q31" i="13"/>
  <c r="R31" i="13"/>
  <c r="M32" i="13"/>
  <c r="N32" i="13"/>
  <c r="O32" i="13"/>
  <c r="P32" i="13"/>
  <c r="Q32" i="13"/>
  <c r="R32" i="13"/>
  <c r="L32" i="13"/>
  <c r="L31" i="13"/>
  <c r="M35" i="13"/>
  <c r="N35" i="13"/>
  <c r="O35" i="13"/>
  <c r="P35" i="13"/>
  <c r="Q35" i="13"/>
  <c r="L35" i="13"/>
  <c r="Q228" i="13"/>
  <c r="U228" i="13"/>
  <c r="T228" i="13"/>
  <c r="S228" i="13"/>
  <c r="R228" i="13"/>
  <c r="P228" i="13"/>
  <c r="O228" i="13"/>
  <c r="U227" i="13"/>
  <c r="T227" i="13"/>
  <c r="S227" i="13"/>
  <c r="R227" i="13"/>
  <c r="Q227" i="13"/>
  <c r="P227" i="13"/>
  <c r="O227" i="13"/>
  <c r="U226" i="13"/>
  <c r="T226" i="13"/>
  <c r="S226" i="13"/>
  <c r="R226" i="13"/>
  <c r="Q226" i="13"/>
  <c r="P226" i="13"/>
  <c r="O226" i="13"/>
  <c r="U225" i="13"/>
  <c r="T225" i="13"/>
  <c r="S225" i="13"/>
  <c r="R225" i="13"/>
  <c r="Q225" i="13"/>
  <c r="P225" i="13"/>
  <c r="F218" i="13"/>
  <c r="G218" i="13"/>
  <c r="H218" i="13"/>
  <c r="I218" i="13"/>
  <c r="J218" i="13"/>
  <c r="K218" i="13"/>
  <c r="F219" i="13"/>
  <c r="G219" i="13"/>
  <c r="H219" i="13"/>
  <c r="I219" i="13"/>
  <c r="J219" i="13"/>
  <c r="K219" i="13"/>
  <c r="F220" i="13"/>
  <c r="G220" i="13"/>
  <c r="H220" i="13"/>
  <c r="I220" i="13"/>
  <c r="J220" i="13"/>
  <c r="K220" i="13"/>
  <c r="E219" i="13"/>
  <c r="E220" i="13"/>
  <c r="E218" i="13"/>
  <c r="F199" i="13"/>
  <c r="G199" i="13"/>
  <c r="H199" i="13"/>
  <c r="I199" i="13"/>
  <c r="J199" i="13"/>
  <c r="K199" i="13"/>
  <c r="E200" i="13"/>
  <c r="F200" i="13"/>
  <c r="G200" i="13"/>
  <c r="H200" i="13"/>
  <c r="I200" i="13"/>
  <c r="J200" i="13"/>
  <c r="K200" i="13"/>
  <c r="E201" i="13"/>
  <c r="F201" i="13"/>
  <c r="G201" i="13"/>
  <c r="H201" i="13"/>
  <c r="I201" i="13"/>
  <c r="J201" i="13"/>
  <c r="K201" i="13"/>
  <c r="F198" i="13"/>
  <c r="G198" i="13"/>
  <c r="H198" i="13"/>
  <c r="I198" i="13"/>
  <c r="J198" i="13"/>
  <c r="K198" i="13"/>
  <c r="E198" i="13"/>
  <c r="N69" i="13"/>
  <c r="O69" i="13"/>
  <c r="P69" i="13"/>
  <c r="Q69" i="13"/>
  <c r="R69" i="13"/>
  <c r="S69" i="13"/>
  <c r="I133" i="13"/>
  <c r="I82" i="13"/>
  <c r="K133" i="13"/>
  <c r="K123" i="13"/>
  <c r="K95" i="13"/>
  <c r="K104" i="13"/>
  <c r="D162" i="12" l="1"/>
  <c r="D176" i="12"/>
  <c r="D166" i="12"/>
  <c r="D172" i="12"/>
  <c r="D170" i="12"/>
  <c r="D168" i="12"/>
  <c r="D160" i="12"/>
  <c r="D174" i="12"/>
  <c r="I91" i="23"/>
  <c r="I70" i="23"/>
  <c r="I83" i="23"/>
  <c r="I104" i="23"/>
  <c r="C140" i="5"/>
  <c r="C141" i="5"/>
  <c r="I69" i="5"/>
  <c r="G69" i="5"/>
  <c r="J101" i="5"/>
  <c r="AA225" i="5"/>
  <c r="AB225" i="5"/>
  <c r="AC225" i="5"/>
  <c r="AD225" i="5"/>
  <c r="AE225" i="5"/>
  <c r="AF225" i="5"/>
  <c r="Z225" i="5"/>
  <c r="AJ219" i="5"/>
  <c r="AJ223" i="5"/>
  <c r="Z214" i="5" s="1"/>
  <c r="AA221" i="5"/>
  <c r="AB221" i="5"/>
  <c r="AC221" i="5"/>
  <c r="AD221" i="5"/>
  <c r="AE221" i="5"/>
  <c r="AF221" i="5"/>
  <c r="AA222" i="5"/>
  <c r="AB222" i="5"/>
  <c r="AC222" i="5"/>
  <c r="AD222" i="5"/>
  <c r="AE222" i="5"/>
  <c r="AF222" i="5"/>
  <c r="Z222" i="5"/>
  <c r="D108" i="13"/>
  <c r="E108" i="13"/>
  <c r="F108" i="13"/>
  <c r="G108" i="13"/>
  <c r="H108" i="13"/>
  <c r="I108" i="13"/>
  <c r="D109" i="13"/>
  <c r="E109" i="13"/>
  <c r="F109" i="13"/>
  <c r="G109" i="13"/>
  <c r="H109" i="13"/>
  <c r="I109" i="13"/>
  <c r="C109" i="13"/>
  <c r="Z221" i="5"/>
  <c r="D114" i="13"/>
  <c r="E114" i="13"/>
  <c r="F114" i="13"/>
  <c r="G114" i="13"/>
  <c r="H114" i="13"/>
  <c r="I114" i="13"/>
  <c r="D133" i="13"/>
  <c r="E133" i="13"/>
  <c r="F133" i="13"/>
  <c r="G133" i="13"/>
  <c r="H133" i="13"/>
  <c r="D123" i="13"/>
  <c r="E123" i="13"/>
  <c r="F123" i="13"/>
  <c r="G123" i="13"/>
  <c r="H123" i="13"/>
  <c r="I123" i="13"/>
  <c r="C133" i="13"/>
  <c r="C123" i="13"/>
  <c r="C114" i="13"/>
  <c r="C105" i="13"/>
  <c r="D105" i="13"/>
  <c r="E105" i="13"/>
  <c r="F105" i="13"/>
  <c r="G105" i="13"/>
  <c r="H105" i="13"/>
  <c r="I105" i="13"/>
  <c r="C106" i="13"/>
  <c r="D106" i="13"/>
  <c r="E106" i="13"/>
  <c r="F106" i="13"/>
  <c r="G106" i="13"/>
  <c r="H106" i="13"/>
  <c r="I106" i="13"/>
  <c r="C107" i="13"/>
  <c r="D107" i="13"/>
  <c r="E107" i="13"/>
  <c r="F107" i="13"/>
  <c r="G107" i="13"/>
  <c r="H107" i="13"/>
  <c r="I107" i="13"/>
  <c r="C108" i="13"/>
  <c r="D104" i="13"/>
  <c r="E104" i="13"/>
  <c r="F104" i="13"/>
  <c r="G104" i="13"/>
  <c r="H104" i="13"/>
  <c r="I104" i="13"/>
  <c r="C104" i="13"/>
  <c r="D141" i="5"/>
  <c r="E141" i="5"/>
  <c r="F141" i="5"/>
  <c r="G141" i="5"/>
  <c r="H141" i="5"/>
  <c r="I141" i="5"/>
  <c r="D95" i="13"/>
  <c r="E95" i="13"/>
  <c r="F95" i="13"/>
  <c r="G95" i="13"/>
  <c r="H95" i="13"/>
  <c r="I95" i="13"/>
  <c r="C95" i="13"/>
  <c r="L53" i="13"/>
  <c r="M53" i="13"/>
  <c r="N53" i="13"/>
  <c r="O53" i="13"/>
  <c r="P53" i="13"/>
  <c r="Q53" i="13"/>
  <c r="L54" i="13"/>
  <c r="M54" i="13"/>
  <c r="N54" i="13"/>
  <c r="O54" i="13"/>
  <c r="P54" i="13"/>
  <c r="Q54" i="13"/>
  <c r="L55" i="13"/>
  <c r="M55" i="13"/>
  <c r="N55" i="13"/>
  <c r="O55" i="13"/>
  <c r="P55" i="13"/>
  <c r="Q55" i="13"/>
  <c r="K55" i="13"/>
  <c r="K53" i="13"/>
  <c r="K54" i="13"/>
  <c r="C86" i="13"/>
  <c r="D86" i="13"/>
  <c r="E86" i="13"/>
  <c r="F86" i="13"/>
  <c r="G86" i="13"/>
  <c r="H86" i="13"/>
  <c r="I86" i="13"/>
  <c r="C87" i="13"/>
  <c r="G87" i="13"/>
  <c r="E89" i="13"/>
  <c r="I89" i="13"/>
  <c r="D85" i="13"/>
  <c r="E85" i="13"/>
  <c r="F85" i="13"/>
  <c r="G85" i="13"/>
  <c r="H85" i="13"/>
  <c r="I85" i="13"/>
  <c r="C85" i="13"/>
  <c r="H82" i="13"/>
  <c r="H89" i="13" s="1"/>
  <c r="C81" i="13"/>
  <c r="C88" i="13" s="1"/>
  <c r="D80" i="13"/>
  <c r="D87" i="13" s="1"/>
  <c r="E80" i="13"/>
  <c r="E87" i="13" s="1"/>
  <c r="F80" i="13"/>
  <c r="F87" i="13" s="1"/>
  <c r="G80" i="13"/>
  <c r="H80" i="13"/>
  <c r="H87" i="13" s="1"/>
  <c r="I80" i="13"/>
  <c r="I87" i="13" s="1"/>
  <c r="D81" i="13"/>
  <c r="D88" i="13" s="1"/>
  <c r="E81" i="13"/>
  <c r="E88" i="13" s="1"/>
  <c r="F81" i="13"/>
  <c r="F88" i="13" s="1"/>
  <c r="G81" i="13"/>
  <c r="G88" i="13" s="1"/>
  <c r="H81" i="13"/>
  <c r="H88" i="13" s="1"/>
  <c r="I81" i="13"/>
  <c r="I88" i="13" s="1"/>
  <c r="D82" i="13"/>
  <c r="D89" i="13" s="1"/>
  <c r="E82" i="13"/>
  <c r="F82" i="13"/>
  <c r="F89" i="13" s="1"/>
  <c r="G82" i="13"/>
  <c r="G89" i="13" s="1"/>
  <c r="C82" i="13"/>
  <c r="C89" i="13" s="1"/>
  <c r="C80" i="13"/>
  <c r="D69" i="13"/>
  <c r="E69" i="13"/>
  <c r="F69" i="13"/>
  <c r="G69" i="13"/>
  <c r="H69" i="13"/>
  <c r="I69" i="13"/>
  <c r="D70" i="13"/>
  <c r="E70" i="13"/>
  <c r="F70" i="13"/>
  <c r="G70" i="13"/>
  <c r="H70" i="13"/>
  <c r="I70" i="13"/>
  <c r="C71" i="13"/>
  <c r="D71" i="13"/>
  <c r="E71" i="13"/>
  <c r="F71" i="13"/>
  <c r="G71" i="13"/>
  <c r="H71" i="13"/>
  <c r="I71" i="13"/>
  <c r="C72" i="13"/>
  <c r="D72" i="13"/>
  <c r="E72" i="13"/>
  <c r="F72" i="13"/>
  <c r="G72" i="13"/>
  <c r="H72" i="13"/>
  <c r="I72" i="13"/>
  <c r="D68" i="13"/>
  <c r="E68" i="13"/>
  <c r="F68" i="13"/>
  <c r="G68" i="13"/>
  <c r="H68" i="13"/>
  <c r="I68" i="13"/>
  <c r="C68" i="13"/>
  <c r="D65" i="13"/>
  <c r="E65" i="13"/>
  <c r="F65" i="13"/>
  <c r="G65" i="13"/>
  <c r="H65" i="13"/>
  <c r="I65" i="13"/>
  <c r="C65" i="13"/>
  <c r="D64" i="13"/>
  <c r="E64" i="13"/>
  <c r="F64" i="13"/>
  <c r="G64" i="13"/>
  <c r="H64" i="13"/>
  <c r="I64" i="13"/>
  <c r="C64" i="13"/>
  <c r="D63" i="13"/>
  <c r="E63" i="13"/>
  <c r="F63" i="13"/>
  <c r="G63" i="13"/>
  <c r="H63" i="13"/>
  <c r="I63" i="13"/>
  <c r="D62" i="13"/>
  <c r="E62" i="13"/>
  <c r="F62" i="13"/>
  <c r="G62" i="13"/>
  <c r="H62" i="13"/>
  <c r="I62" i="13"/>
  <c r="C62" i="13"/>
  <c r="C69" i="13" s="1"/>
  <c r="D61" i="13"/>
  <c r="E61" i="13"/>
  <c r="F61" i="13"/>
  <c r="G61" i="13"/>
  <c r="H61" i="13"/>
  <c r="I61" i="13"/>
  <c r="D142" i="5"/>
  <c r="E142" i="5"/>
  <c r="F142" i="5"/>
  <c r="G142" i="5"/>
  <c r="H142" i="5"/>
  <c r="I142" i="5"/>
  <c r="C142" i="5"/>
  <c r="I140" i="5"/>
  <c r="H140" i="5"/>
  <c r="G140" i="5"/>
  <c r="F140" i="5"/>
  <c r="E140" i="5"/>
  <c r="D140" i="5"/>
  <c r="O22" i="5"/>
  <c r="M22" i="5"/>
  <c r="L22" i="5"/>
  <c r="L18" i="5"/>
  <c r="L17" i="5"/>
  <c r="M17" i="5"/>
  <c r="L16" i="5"/>
  <c r="O17" i="5"/>
  <c r="E18" i="5"/>
  <c r="M16" i="5"/>
  <c r="C44" i="13"/>
  <c r="AL200" i="5"/>
  <c r="AL199" i="5"/>
  <c r="AL198" i="5"/>
  <c r="AL197" i="5"/>
  <c r="AL196" i="5"/>
  <c r="AL195" i="5"/>
  <c r="AL194" i="5"/>
  <c r="AL193" i="5"/>
  <c r="AL192" i="5"/>
  <c r="AK200" i="5"/>
  <c r="AK199" i="5"/>
  <c r="AK198" i="5"/>
  <c r="AK197" i="5"/>
  <c r="AK195" i="5"/>
  <c r="AK194" i="5"/>
  <c r="AK193" i="5"/>
  <c r="AK192" i="5"/>
  <c r="AJ200" i="5"/>
  <c r="AJ199" i="5"/>
  <c r="AJ198" i="5"/>
  <c r="AJ197" i="5"/>
  <c r="AJ196" i="5"/>
  <c r="AJ195" i="5"/>
  <c r="AJ194" i="5"/>
  <c r="AJ193" i="5"/>
  <c r="AJ192" i="5"/>
  <c r="AL191" i="5"/>
  <c r="AL190" i="5"/>
  <c r="AL189" i="5"/>
  <c r="AL188" i="5"/>
  <c r="AL187" i="5"/>
  <c r="AE212" i="5" s="1"/>
  <c r="AL186" i="5"/>
  <c r="AL185" i="5"/>
  <c r="AL184" i="5"/>
  <c r="AL183" i="5"/>
  <c r="AK191" i="5"/>
  <c r="AK190" i="5"/>
  <c r="AK189" i="5"/>
  <c r="AK188" i="5"/>
  <c r="AK187" i="5"/>
  <c r="AK186" i="5"/>
  <c r="AK185" i="5"/>
  <c r="AK184" i="5"/>
  <c r="AK183" i="5"/>
  <c r="AP211" i="5"/>
  <c r="AO211" i="5"/>
  <c r="AO212" i="5" s="1"/>
  <c r="AB193" i="5"/>
  <c r="AB194" i="5"/>
  <c r="AB195" i="5"/>
  <c r="AB196" i="5"/>
  <c r="AC196" i="5" s="1"/>
  <c r="AB197" i="5"/>
  <c r="AB198" i="5"/>
  <c r="AB199" i="5"/>
  <c r="AB200" i="5"/>
  <c r="AC200" i="5" s="1"/>
  <c r="AB192" i="5"/>
  <c r="AB184" i="5"/>
  <c r="AB185" i="5"/>
  <c r="AB186" i="5"/>
  <c r="AB187" i="5"/>
  <c r="AC187" i="5" s="1"/>
  <c r="AB188" i="5"/>
  <c r="AB189" i="5"/>
  <c r="AB190" i="5"/>
  <c r="AB191" i="5"/>
  <c r="AC191" i="5" s="1"/>
  <c r="AB183" i="5"/>
  <c r="AB175" i="5"/>
  <c r="AB176" i="5"/>
  <c r="AB177" i="5"/>
  <c r="AB178" i="5"/>
  <c r="AC178" i="5" s="1"/>
  <c r="AB179" i="5"/>
  <c r="AB180" i="5"/>
  <c r="AB181" i="5"/>
  <c r="AB182" i="5"/>
  <c r="AC182" i="5" s="1"/>
  <c r="AB174" i="5"/>
  <c r="AB166" i="5"/>
  <c r="AB167" i="5"/>
  <c r="AB168" i="5"/>
  <c r="AB169" i="5"/>
  <c r="AC169" i="5" s="1"/>
  <c r="AB170" i="5"/>
  <c r="AB171" i="5"/>
  <c r="AB172" i="5"/>
  <c r="AB173" i="5"/>
  <c r="AC173" i="5" s="1"/>
  <c r="AB165" i="5"/>
  <c r="AB157" i="5"/>
  <c r="AB158" i="5"/>
  <c r="AB159" i="5"/>
  <c r="AB160" i="5"/>
  <c r="AC160" i="5" s="1"/>
  <c r="AB161" i="5"/>
  <c r="AB162" i="5"/>
  <c r="AB163" i="5"/>
  <c r="AB164" i="5"/>
  <c r="AC164" i="5" s="1"/>
  <c r="AB156" i="5"/>
  <c r="AB148" i="5"/>
  <c r="AB149" i="5"/>
  <c r="AB150" i="5"/>
  <c r="AB151" i="5"/>
  <c r="AB152" i="5"/>
  <c r="AB153" i="5"/>
  <c r="AB154" i="5"/>
  <c r="AB155" i="5"/>
  <c r="AB147" i="5"/>
  <c r="AB139" i="5"/>
  <c r="AB140" i="5"/>
  <c r="AB141" i="5"/>
  <c r="AB142" i="5"/>
  <c r="AC142" i="5" s="1"/>
  <c r="AB143" i="5"/>
  <c r="AB144" i="5"/>
  <c r="AB145" i="5"/>
  <c r="AB146" i="5"/>
  <c r="AC146" i="5" s="1"/>
  <c r="AB138" i="5"/>
  <c r="AO108" i="5"/>
  <c r="AO107" i="5"/>
  <c r="AO106" i="5"/>
  <c r="AO104" i="5"/>
  <c r="AO103" i="5"/>
  <c r="AO102" i="5"/>
  <c r="AP116" i="5"/>
  <c r="AP118" i="5"/>
  <c r="AP119" i="5"/>
  <c r="AP120" i="5"/>
  <c r="AP121" i="5"/>
  <c r="AP115" i="5"/>
  <c r="AP108" i="5"/>
  <c r="AP107" i="5"/>
  <c r="AP106" i="5"/>
  <c r="AO105" i="5"/>
  <c r="AP105" i="5" s="1"/>
  <c r="AP104" i="5"/>
  <c r="AP103" i="5"/>
  <c r="AP102" i="5"/>
  <c r="AN115" i="5"/>
  <c r="AN116" i="5"/>
  <c r="AN117" i="5"/>
  <c r="AO118" i="5"/>
  <c r="AO121" i="5"/>
  <c r="AO120" i="5"/>
  <c r="AO119" i="5"/>
  <c r="AO117" i="5"/>
  <c r="AO116" i="5"/>
  <c r="AO115" i="5"/>
  <c r="AJ212" i="5"/>
  <c r="AN212" i="5"/>
  <c r="AK211" i="5"/>
  <c r="AK212" i="5" s="1"/>
  <c r="AL211" i="5"/>
  <c r="AL212" i="5" s="1"/>
  <c r="AM211" i="5"/>
  <c r="AM212" i="5" s="1"/>
  <c r="AN211" i="5"/>
  <c r="AP212" i="5"/>
  <c r="AJ211" i="5"/>
  <c r="AJ225" i="5"/>
  <c r="AJ224" i="5"/>
  <c r="C123" i="11"/>
  <c r="C127" i="11" s="1"/>
  <c r="AA211" i="5"/>
  <c r="AB211" i="5"/>
  <c r="AC211" i="5"/>
  <c r="AD211" i="5"/>
  <c r="AE211" i="5"/>
  <c r="Z211" i="5"/>
  <c r="J67" i="5"/>
  <c r="I67" i="5"/>
  <c r="F71" i="5"/>
  <c r="F70" i="5"/>
  <c r="F69" i="5"/>
  <c r="F68" i="5"/>
  <c r="F67" i="5"/>
  <c r="D88" i="12"/>
  <c r="D89" i="12"/>
  <c r="D90" i="12"/>
  <c r="E90" i="12"/>
  <c r="D91" i="12"/>
  <c r="D92" i="12"/>
  <c r="E92" i="12"/>
  <c r="D93" i="12"/>
  <c r="D94" i="12"/>
  <c r="E94" i="12" s="1"/>
  <c r="D95" i="12"/>
  <c r="D96" i="12"/>
  <c r="D97" i="12"/>
  <c r="D98" i="12"/>
  <c r="E98" i="12" s="1"/>
  <c r="D99" i="12"/>
  <c r="D100" i="12"/>
  <c r="D87" i="12"/>
  <c r="AI148" i="5"/>
  <c r="AM148" i="5"/>
  <c r="AI149" i="5"/>
  <c r="AM149" i="5"/>
  <c r="AI150" i="5"/>
  <c r="AM150" i="5"/>
  <c r="AI152" i="5"/>
  <c r="AM152" i="5"/>
  <c r="AI153" i="5"/>
  <c r="AM153" i="5"/>
  <c r="AI154" i="5"/>
  <c r="AM154" i="5"/>
  <c r="AH158" i="5"/>
  <c r="AL158" i="5"/>
  <c r="AH159" i="5"/>
  <c r="AL159" i="5"/>
  <c r="AH162" i="5"/>
  <c r="AL162" i="5"/>
  <c r="AH163" i="5"/>
  <c r="AL163" i="5"/>
  <c r="AF166" i="5"/>
  <c r="AG166" i="5"/>
  <c r="AJ166" i="5"/>
  <c r="AK166" i="5"/>
  <c r="AG168" i="5"/>
  <c r="AK168" i="5"/>
  <c r="AF170" i="5"/>
  <c r="AG170" i="5"/>
  <c r="AJ170" i="5"/>
  <c r="AK170" i="5"/>
  <c r="AG172" i="5"/>
  <c r="AK172" i="5"/>
  <c r="AF175" i="5"/>
  <c r="AG175" i="5"/>
  <c r="AJ175" i="5"/>
  <c r="AK175" i="5"/>
  <c r="AG177" i="5"/>
  <c r="AK177" i="5"/>
  <c r="AF179" i="5"/>
  <c r="AG179" i="5"/>
  <c r="AJ179" i="5"/>
  <c r="AK179" i="5"/>
  <c r="AG181" i="5"/>
  <c r="AK181" i="5"/>
  <c r="AF183" i="5"/>
  <c r="AJ183" i="5"/>
  <c r="AG184" i="5"/>
  <c r="AH184" i="5"/>
  <c r="AE185" i="5"/>
  <c r="AF185" i="5"/>
  <c r="AI185" i="5"/>
  <c r="AJ185" i="5"/>
  <c r="AG188" i="5"/>
  <c r="AH188" i="5"/>
  <c r="AE189" i="5"/>
  <c r="AF189" i="5"/>
  <c r="AI189" i="5"/>
  <c r="AJ189" i="5"/>
  <c r="AH192" i="5"/>
  <c r="AE193" i="5"/>
  <c r="AG193" i="5"/>
  <c r="AH193" i="5"/>
  <c r="AI193" i="5"/>
  <c r="AG194" i="5"/>
  <c r="AE197" i="5"/>
  <c r="AF197" i="5"/>
  <c r="AH197" i="5"/>
  <c r="AI197" i="5"/>
  <c r="AG198" i="5"/>
  <c r="AH198" i="5"/>
  <c r="AA109" i="5"/>
  <c r="AB109" i="5"/>
  <c r="AC109" i="5"/>
  <c r="AD109" i="5"/>
  <c r="AE109" i="5"/>
  <c r="Z109" i="5"/>
  <c r="AC199" i="5"/>
  <c r="AD199" i="5" s="1"/>
  <c r="AC198" i="5"/>
  <c r="AD198" i="5" s="1"/>
  <c r="AC197" i="5"/>
  <c r="AD197" i="5" s="1"/>
  <c r="AC195" i="5"/>
  <c r="AD195" i="5" s="1"/>
  <c r="AC194" i="5"/>
  <c r="AD194" i="5" s="1"/>
  <c r="AC193" i="5"/>
  <c r="AD193" i="5" s="1"/>
  <c r="AC192" i="5"/>
  <c r="AD192" i="5" s="1"/>
  <c r="AC190" i="5"/>
  <c r="AD190" i="5" s="1"/>
  <c r="AC189" i="5"/>
  <c r="AD189" i="5" s="1"/>
  <c r="AC188" i="5"/>
  <c r="AD188" i="5" s="1"/>
  <c r="AC186" i="5"/>
  <c r="AD186" i="5" s="1"/>
  <c r="AC185" i="5"/>
  <c r="AD185" i="5" s="1"/>
  <c r="AC184" i="5"/>
  <c r="AD184" i="5" s="1"/>
  <c r="AC183" i="5"/>
  <c r="AD183" i="5" s="1"/>
  <c r="AC181" i="5"/>
  <c r="AD181" i="5" s="1"/>
  <c r="AC180" i="5"/>
  <c r="AD180" i="5" s="1"/>
  <c r="AC179" i="5"/>
  <c r="AD179" i="5" s="1"/>
  <c r="AC177" i="5"/>
  <c r="AD177" i="5" s="1"/>
  <c r="AC176" i="5"/>
  <c r="AD176" i="5" s="1"/>
  <c r="AC175" i="5"/>
  <c r="AD175" i="5" s="1"/>
  <c r="AC174" i="5"/>
  <c r="AD174" i="5" s="1"/>
  <c r="AC172" i="5"/>
  <c r="AD172" i="5" s="1"/>
  <c r="AC171" i="5"/>
  <c r="AD171" i="5" s="1"/>
  <c r="AC170" i="5"/>
  <c r="AD170" i="5" s="1"/>
  <c r="AC168" i="5"/>
  <c r="AD168" i="5" s="1"/>
  <c r="AC167" i="5"/>
  <c r="AD167" i="5" s="1"/>
  <c r="AC166" i="5"/>
  <c r="AD166" i="5" s="1"/>
  <c r="AC165" i="5"/>
  <c r="AD165" i="5" s="1"/>
  <c r="AC163" i="5"/>
  <c r="AD163" i="5" s="1"/>
  <c r="AC162" i="5"/>
  <c r="AD162" i="5" s="1"/>
  <c r="AC161" i="5"/>
  <c r="AD161" i="5" s="1"/>
  <c r="AC159" i="5"/>
  <c r="AD159" i="5" s="1"/>
  <c r="AC158" i="5"/>
  <c r="AD158" i="5" s="1"/>
  <c r="AC157" i="5"/>
  <c r="AD157" i="5" s="1"/>
  <c r="AC156" i="5"/>
  <c r="AD156" i="5" s="1"/>
  <c r="AC155" i="5"/>
  <c r="AD155" i="5" s="1"/>
  <c r="AC154" i="5"/>
  <c r="AD154" i="5" s="1"/>
  <c r="AC153" i="5"/>
  <c r="AD153" i="5" s="1"/>
  <c r="AC152" i="5"/>
  <c r="AD152" i="5" s="1"/>
  <c r="AC151" i="5"/>
  <c r="AD151" i="5" s="1"/>
  <c r="AC150" i="5"/>
  <c r="AD150" i="5" s="1"/>
  <c r="AC149" i="5"/>
  <c r="AD149" i="5" s="1"/>
  <c r="AC148" i="5"/>
  <c r="AD148" i="5" s="1"/>
  <c r="AC147" i="5"/>
  <c r="AD147" i="5" s="1"/>
  <c r="AC145" i="5"/>
  <c r="AD145" i="5" s="1"/>
  <c r="AC144" i="5"/>
  <c r="AD144" i="5" s="1"/>
  <c r="AC143" i="5"/>
  <c r="AD143" i="5" s="1"/>
  <c r="AC141" i="5"/>
  <c r="AD141" i="5" s="1"/>
  <c r="AC140" i="5"/>
  <c r="AD140" i="5" s="1"/>
  <c r="AD139" i="5"/>
  <c r="AC138" i="5"/>
  <c r="AD138" i="5" s="1"/>
  <c r="J71" i="5"/>
  <c r="I71" i="5"/>
  <c r="I70" i="5"/>
  <c r="H70" i="5"/>
  <c r="AA103" i="5"/>
  <c r="AA105" i="5" s="1"/>
  <c r="AA106" i="5" s="1"/>
  <c r="AB103" i="5"/>
  <c r="AB105" i="5" s="1"/>
  <c r="AB106" i="5" s="1"/>
  <c r="AC103" i="5"/>
  <c r="AC105" i="5" s="1"/>
  <c r="AC106" i="5" s="1"/>
  <c r="AD103" i="5"/>
  <c r="AD105" i="5" s="1"/>
  <c r="AD106" i="5" s="1"/>
  <c r="AE103" i="5"/>
  <c r="AE105" i="5" s="1"/>
  <c r="AE106" i="5" s="1"/>
  <c r="AF103" i="5"/>
  <c r="AF105" i="5" s="1"/>
  <c r="Z105" i="5"/>
  <c r="AA97" i="5"/>
  <c r="AB97" i="5"/>
  <c r="AB99" i="5" s="1"/>
  <c r="AB100" i="5" s="1"/>
  <c r="AC97" i="5"/>
  <c r="AC99" i="5" s="1"/>
  <c r="AC100" i="5" s="1"/>
  <c r="AD97" i="5"/>
  <c r="AD99" i="5" s="1"/>
  <c r="AD100" i="5" s="1"/>
  <c r="AE97" i="5"/>
  <c r="AF97" i="5"/>
  <c r="AF99" i="5" s="1"/>
  <c r="AA99" i="5"/>
  <c r="AA100" i="5" s="1"/>
  <c r="AE99" i="5"/>
  <c r="AE100" i="5" s="1"/>
  <c r="Z97" i="5"/>
  <c r="F174" i="12" l="1"/>
  <c r="H174" i="12"/>
  <c r="J174" i="12"/>
  <c r="L174" i="12"/>
  <c r="I174" i="12"/>
  <c r="G174" i="12"/>
  <c r="M174" i="12"/>
  <c r="K174" i="12"/>
  <c r="F172" i="12"/>
  <c r="H172" i="12"/>
  <c r="J172" i="12"/>
  <c r="L172" i="12"/>
  <c r="I172" i="12"/>
  <c r="G172" i="12"/>
  <c r="M172" i="12"/>
  <c r="K172" i="12"/>
  <c r="G160" i="12"/>
  <c r="I160" i="12"/>
  <c r="K160" i="12"/>
  <c r="M160" i="12"/>
  <c r="F160" i="12"/>
  <c r="H160" i="12"/>
  <c r="J160" i="12"/>
  <c r="L160" i="12"/>
  <c r="F166" i="12"/>
  <c r="H166" i="12"/>
  <c r="J166" i="12"/>
  <c r="L166" i="12"/>
  <c r="I166" i="12"/>
  <c r="G166" i="12"/>
  <c r="M166" i="12"/>
  <c r="K166" i="12"/>
  <c r="F168" i="12"/>
  <c r="H168" i="12"/>
  <c r="J168" i="12"/>
  <c r="L168" i="12"/>
  <c r="I168" i="12"/>
  <c r="G168" i="12"/>
  <c r="M168" i="12"/>
  <c r="K168" i="12"/>
  <c r="F176" i="12"/>
  <c r="H176" i="12"/>
  <c r="J176" i="12"/>
  <c r="L176" i="12"/>
  <c r="I176" i="12"/>
  <c r="G176" i="12"/>
  <c r="M176" i="12"/>
  <c r="K176" i="12"/>
  <c r="F170" i="12"/>
  <c r="H170" i="12"/>
  <c r="J170" i="12"/>
  <c r="L170" i="12"/>
  <c r="I170" i="12"/>
  <c r="G170" i="12"/>
  <c r="M170" i="12"/>
  <c r="K170" i="12"/>
  <c r="G162" i="12"/>
  <c r="I162" i="12"/>
  <c r="K162" i="12"/>
  <c r="M162" i="12"/>
  <c r="F162" i="12"/>
  <c r="H162" i="12"/>
  <c r="J162" i="12"/>
  <c r="L162" i="12"/>
  <c r="J95" i="12"/>
  <c r="E100" i="12"/>
  <c r="J98" i="12"/>
  <c r="R111" i="12"/>
  <c r="V111" i="12" s="1"/>
  <c r="Y111" i="12" s="1"/>
  <c r="R115" i="12"/>
  <c r="V115" i="12" s="1"/>
  <c r="Y115" i="12" s="1"/>
  <c r="V108" i="12"/>
  <c r="Y108" i="12" s="1"/>
  <c r="R112" i="12"/>
  <c r="V112" i="12" s="1"/>
  <c r="Y112" i="12" s="1"/>
  <c r="R110" i="12"/>
  <c r="V110" i="12" s="1"/>
  <c r="Y110" i="12" s="1"/>
  <c r="R109" i="12"/>
  <c r="V109" i="12" s="1"/>
  <c r="Y109" i="12" s="1"/>
  <c r="R113" i="12"/>
  <c r="V113" i="12" s="1"/>
  <c r="Y113" i="12" s="1"/>
  <c r="R114" i="12"/>
  <c r="V114" i="12" s="1"/>
  <c r="Y114" i="12" s="1"/>
  <c r="R135" i="12"/>
  <c r="D134" i="12" s="1"/>
  <c r="R139" i="12"/>
  <c r="D138" i="12" s="1"/>
  <c r="R134" i="12"/>
  <c r="D133" i="12" s="1"/>
  <c r="R136" i="12"/>
  <c r="D135" i="12" s="1"/>
  <c r="R140" i="12"/>
  <c r="D139" i="12" s="1"/>
  <c r="R142" i="12"/>
  <c r="D141" i="12" s="1"/>
  <c r="R137" i="12"/>
  <c r="D136" i="12" s="1"/>
  <c r="R141" i="12"/>
  <c r="D140" i="12" s="1"/>
  <c r="R138" i="12"/>
  <c r="D137" i="12" s="1"/>
  <c r="R127" i="12"/>
  <c r="V127" i="12" s="1"/>
  <c r="R131" i="12"/>
  <c r="V131" i="12" s="1"/>
  <c r="R126" i="12"/>
  <c r="V126" i="12" s="1"/>
  <c r="R128" i="12"/>
  <c r="V128" i="12" s="1"/>
  <c r="R132" i="12"/>
  <c r="R130" i="12"/>
  <c r="V130" i="12" s="1"/>
  <c r="R129" i="12"/>
  <c r="V129" i="12" s="1"/>
  <c r="R133" i="12"/>
  <c r="R125" i="12"/>
  <c r="V125" i="12" s="1"/>
  <c r="J97" i="12"/>
  <c r="R147" i="12"/>
  <c r="R151" i="12"/>
  <c r="R146" i="12"/>
  <c r="R144" i="12"/>
  <c r="R148" i="12"/>
  <c r="R143" i="12"/>
  <c r="R145" i="12"/>
  <c r="R149" i="12"/>
  <c r="R150" i="12"/>
  <c r="V116" i="12"/>
  <c r="Y116" i="12" s="1"/>
  <c r="R120" i="12"/>
  <c r="V120" i="12" s="1"/>
  <c r="R124" i="12"/>
  <c r="V124" i="12" s="1"/>
  <c r="R119" i="12"/>
  <c r="V119" i="12" s="1"/>
  <c r="R117" i="12"/>
  <c r="V117" i="12" s="1"/>
  <c r="R121" i="12"/>
  <c r="V121" i="12" s="1"/>
  <c r="R118" i="12"/>
  <c r="V118" i="12" s="1"/>
  <c r="R122" i="12"/>
  <c r="R123" i="12"/>
  <c r="V123" i="12" s="1"/>
  <c r="E96" i="12"/>
  <c r="E88" i="12"/>
  <c r="M69" i="13"/>
  <c r="Z224" i="5"/>
  <c r="AA214" i="5"/>
  <c r="AD200" i="5"/>
  <c r="AG200" i="5"/>
  <c r="AI200" i="5"/>
  <c r="AF200" i="5"/>
  <c r="AH200" i="5"/>
  <c r="AE200" i="5"/>
  <c r="AF196" i="5"/>
  <c r="AD196" i="5"/>
  <c r="AG196" i="5"/>
  <c r="AH196" i="5"/>
  <c r="AI196" i="5"/>
  <c r="AE196" i="5"/>
  <c r="AG199" i="5"/>
  <c r="AI195" i="5"/>
  <c r="AE195" i="5"/>
  <c r="AI199" i="5"/>
  <c r="AE199" i="5"/>
  <c r="AF198" i="5"/>
  <c r="AG197" i="5"/>
  <c r="AH195" i="5"/>
  <c r="AI194" i="5"/>
  <c r="AE194" i="5"/>
  <c r="AF193" i="5"/>
  <c r="AF195" i="5"/>
  <c r="AF199" i="5"/>
  <c r="AH199" i="5"/>
  <c r="AI198" i="5"/>
  <c r="AE198" i="5"/>
  <c r="AG195" i="5"/>
  <c r="AH194" i="5"/>
  <c r="AG192" i="5"/>
  <c r="AF192" i="5"/>
  <c r="AI192" i="5"/>
  <c r="AE192" i="5"/>
  <c r="AD187" i="5"/>
  <c r="AG187" i="5"/>
  <c r="AI187" i="5"/>
  <c r="AJ187" i="5"/>
  <c r="AH187" i="5"/>
  <c r="AE187" i="5"/>
  <c r="AF187" i="5"/>
  <c r="AD191" i="5"/>
  <c r="AG191" i="5"/>
  <c r="AE191" i="5"/>
  <c r="AJ191" i="5"/>
  <c r="AH191" i="5"/>
  <c r="AI191" i="5"/>
  <c r="AF191" i="5"/>
  <c r="AG190" i="5"/>
  <c r="AJ190" i="5"/>
  <c r="AF190" i="5"/>
  <c r="AH189" i="5"/>
  <c r="AJ188" i="5"/>
  <c r="AF188" i="5"/>
  <c r="AJ186" i="5"/>
  <c r="AF186" i="5"/>
  <c r="AH185" i="5"/>
  <c r="AJ184" i="5"/>
  <c r="AF184" i="5"/>
  <c r="AH190" i="5"/>
  <c r="AH186" i="5"/>
  <c r="AG186" i="5"/>
  <c r="AI190" i="5"/>
  <c r="AE190" i="5"/>
  <c r="AG189" i="5"/>
  <c r="AI188" i="5"/>
  <c r="AE188" i="5"/>
  <c r="AI186" i="5"/>
  <c r="AE186" i="5"/>
  <c r="AG185" i="5"/>
  <c r="AI184" i="5"/>
  <c r="AE184" i="5"/>
  <c r="AI183" i="5"/>
  <c r="AE183" i="5"/>
  <c r="AH183" i="5"/>
  <c r="AG183" i="5"/>
  <c r="AD182" i="5"/>
  <c r="AH182" i="5"/>
  <c r="AL182" i="5"/>
  <c r="AJ182" i="5"/>
  <c r="AG182" i="5"/>
  <c r="AI182" i="5"/>
  <c r="AM182" i="5"/>
  <c r="AF182" i="5"/>
  <c r="AK182" i="5"/>
  <c r="AD178" i="5"/>
  <c r="AH178" i="5"/>
  <c r="AL178" i="5"/>
  <c r="AJ178" i="5"/>
  <c r="AK178" i="5"/>
  <c r="AI178" i="5"/>
  <c r="AM178" i="5"/>
  <c r="AD212" i="5" s="1"/>
  <c r="AF178" i="5"/>
  <c r="AG178" i="5"/>
  <c r="AG180" i="5"/>
  <c r="AK176" i="5"/>
  <c r="AJ181" i="5"/>
  <c r="AF180" i="5"/>
  <c r="AF177" i="5"/>
  <c r="AF176" i="5"/>
  <c r="AM181" i="5"/>
  <c r="AI181" i="5"/>
  <c r="AM180" i="5"/>
  <c r="AI180" i="5"/>
  <c r="AM179" i="5"/>
  <c r="AI179" i="5"/>
  <c r="AM177" i="5"/>
  <c r="AI177" i="5"/>
  <c r="AM176" i="5"/>
  <c r="AI176" i="5"/>
  <c r="AM175" i="5"/>
  <c r="AI175" i="5"/>
  <c r="AK180" i="5"/>
  <c r="AG176" i="5"/>
  <c r="AF181" i="5"/>
  <c r="AJ180" i="5"/>
  <c r="AJ177" i="5"/>
  <c r="AJ176" i="5"/>
  <c r="AL181" i="5"/>
  <c r="AH181" i="5"/>
  <c r="AL180" i="5"/>
  <c r="AH180" i="5"/>
  <c r="AL179" i="5"/>
  <c r="AH179" i="5"/>
  <c r="AL177" i="5"/>
  <c r="AH177" i="5"/>
  <c r="AL176" i="5"/>
  <c r="AH176" i="5"/>
  <c r="AL175" i="5"/>
  <c r="AH175" i="5"/>
  <c r="AG174" i="5"/>
  <c r="AJ174" i="5"/>
  <c r="AF174" i="5"/>
  <c r="AM174" i="5"/>
  <c r="AI174" i="5"/>
  <c r="AK174" i="5"/>
  <c r="AL174" i="5"/>
  <c r="AH174" i="5"/>
  <c r="AD173" i="5"/>
  <c r="AH173" i="5"/>
  <c r="AL173" i="5"/>
  <c r="AI173" i="5"/>
  <c r="AM173" i="5"/>
  <c r="AJ173" i="5"/>
  <c r="AG173" i="5"/>
  <c r="AK173" i="5"/>
  <c r="AF173" i="5"/>
  <c r="AD169" i="5"/>
  <c r="AH169" i="5"/>
  <c r="AL169" i="5"/>
  <c r="AF169" i="5"/>
  <c r="AJ169" i="5"/>
  <c r="AG169" i="5"/>
  <c r="AK169" i="5"/>
  <c r="AI169" i="5"/>
  <c r="AM169" i="5"/>
  <c r="AC212" i="5" s="1"/>
  <c r="AM171" i="5"/>
  <c r="AI171" i="5"/>
  <c r="AM170" i="5"/>
  <c r="AI170" i="5"/>
  <c r="AM168" i="5"/>
  <c r="AI168" i="5"/>
  <c r="AM167" i="5"/>
  <c r="AI167" i="5"/>
  <c r="AM166" i="5"/>
  <c r="AI166" i="5"/>
  <c r="AK171" i="5"/>
  <c r="AG171" i="5"/>
  <c r="AK167" i="5"/>
  <c r="AG167" i="5"/>
  <c r="AJ172" i="5"/>
  <c r="AF172" i="5"/>
  <c r="AJ171" i="5"/>
  <c r="AF171" i="5"/>
  <c r="AJ168" i="5"/>
  <c r="AF168" i="5"/>
  <c r="AJ167" i="5"/>
  <c r="AF167" i="5"/>
  <c r="AM172" i="5"/>
  <c r="AI172" i="5"/>
  <c r="AL172" i="5"/>
  <c r="AH172" i="5"/>
  <c r="AL171" i="5"/>
  <c r="AH171" i="5"/>
  <c r="AL170" i="5"/>
  <c r="AH170" i="5"/>
  <c r="AL168" i="5"/>
  <c r="AH168" i="5"/>
  <c r="AL167" i="5"/>
  <c r="AH167" i="5"/>
  <c r="AL166" i="5"/>
  <c r="AH166" i="5"/>
  <c r="AJ165" i="5"/>
  <c r="AF165" i="5"/>
  <c r="AG165" i="5"/>
  <c r="AM165" i="5"/>
  <c r="AI165" i="5"/>
  <c r="AK165" i="5"/>
  <c r="AL165" i="5"/>
  <c r="AH165" i="5"/>
  <c r="AD164" i="5"/>
  <c r="AI164" i="5"/>
  <c r="AM164" i="5"/>
  <c r="AL164" i="5"/>
  <c r="AJ164" i="5"/>
  <c r="AN164" i="5"/>
  <c r="AH164" i="5"/>
  <c r="AG164" i="5"/>
  <c r="AK164" i="5"/>
  <c r="AD160" i="5"/>
  <c r="AI160" i="5"/>
  <c r="AM160" i="5"/>
  <c r="AL160" i="5"/>
  <c r="AJ160" i="5"/>
  <c r="AN160" i="5"/>
  <c r="AB212" i="5" s="1"/>
  <c r="AG160" i="5"/>
  <c r="AK160" i="5"/>
  <c r="AH160" i="5"/>
  <c r="AL161" i="5"/>
  <c r="AL157" i="5"/>
  <c r="AK163" i="5"/>
  <c r="AG163" i="5"/>
  <c r="AK162" i="5"/>
  <c r="AG162" i="5"/>
  <c r="AK161" i="5"/>
  <c r="AG161" i="5"/>
  <c r="AK159" i="5"/>
  <c r="AG159" i="5"/>
  <c r="AK158" i="5"/>
  <c r="AG158" i="5"/>
  <c r="AK157" i="5"/>
  <c r="AG157" i="5"/>
  <c r="AH161" i="5"/>
  <c r="AH157" i="5"/>
  <c r="AN163" i="5"/>
  <c r="AJ163" i="5"/>
  <c r="AN162" i="5"/>
  <c r="AJ162" i="5"/>
  <c r="AN161" i="5"/>
  <c r="AJ161" i="5"/>
  <c r="AN159" i="5"/>
  <c r="AJ159" i="5"/>
  <c r="AN158" i="5"/>
  <c r="AJ158" i="5"/>
  <c r="AN157" i="5"/>
  <c r="AJ157" i="5"/>
  <c r="AM163" i="5"/>
  <c r="AI163" i="5"/>
  <c r="AM162" i="5"/>
  <c r="AI162" i="5"/>
  <c r="AM161" i="5"/>
  <c r="AI161" i="5"/>
  <c r="AM159" i="5"/>
  <c r="AI159" i="5"/>
  <c r="AM158" i="5"/>
  <c r="AI158" i="5"/>
  <c r="AM157" i="5"/>
  <c r="AI157" i="5"/>
  <c r="AL156" i="5"/>
  <c r="AH156" i="5"/>
  <c r="AK156" i="5"/>
  <c r="AG156" i="5"/>
  <c r="AN156" i="5"/>
  <c r="AJ156" i="5"/>
  <c r="AM156" i="5"/>
  <c r="AI156" i="5"/>
  <c r="AM151" i="5"/>
  <c r="AL155" i="5"/>
  <c r="AH155" i="5"/>
  <c r="AL154" i="5"/>
  <c r="AH154" i="5"/>
  <c r="AL153" i="5"/>
  <c r="AH153" i="5"/>
  <c r="AL152" i="5"/>
  <c r="AH152" i="5"/>
  <c r="AL151" i="5"/>
  <c r="AH151" i="5"/>
  <c r="AL150" i="5"/>
  <c r="AH150" i="5"/>
  <c r="AL149" i="5"/>
  <c r="AH149" i="5"/>
  <c r="AL148" i="5"/>
  <c r="AH148" i="5"/>
  <c r="AM155" i="5"/>
  <c r="AI151" i="5"/>
  <c r="AO155" i="5"/>
  <c r="AK155" i="5"/>
  <c r="AO154" i="5"/>
  <c r="AK154" i="5"/>
  <c r="AO153" i="5"/>
  <c r="AK153" i="5"/>
  <c r="AO152" i="5"/>
  <c r="AK152" i="5"/>
  <c r="AO151" i="5"/>
  <c r="AA212" i="5" s="1"/>
  <c r="AK151" i="5"/>
  <c r="AO150" i="5"/>
  <c r="AK150" i="5"/>
  <c r="AO149" i="5"/>
  <c r="AK149" i="5"/>
  <c r="AO148" i="5"/>
  <c r="AK148" i="5"/>
  <c r="AI155" i="5"/>
  <c r="AN155" i="5"/>
  <c r="AJ155" i="5"/>
  <c r="AN154" i="5"/>
  <c r="AJ154" i="5"/>
  <c r="AN153" i="5"/>
  <c r="AJ153" i="5"/>
  <c r="AN152" i="5"/>
  <c r="AJ152" i="5"/>
  <c r="AN151" i="5"/>
  <c r="AJ151" i="5"/>
  <c r="AN150" i="5"/>
  <c r="AJ150" i="5"/>
  <c r="AN149" i="5"/>
  <c r="AJ149" i="5"/>
  <c r="AN148" i="5"/>
  <c r="AJ148" i="5"/>
  <c r="AI147" i="5"/>
  <c r="AM147" i="5"/>
  <c r="AL147" i="5"/>
  <c r="AH147" i="5"/>
  <c r="AO147" i="5"/>
  <c r="AK147" i="5"/>
  <c r="AN147" i="5"/>
  <c r="AJ147" i="5"/>
  <c r="AI139" i="5"/>
  <c r="AJ144" i="5"/>
  <c r="AI143" i="5"/>
  <c r="AO144" i="5"/>
  <c r="AN143" i="5"/>
  <c r="AO140" i="5"/>
  <c r="AN139" i="5"/>
  <c r="AJ140" i="5"/>
  <c r="AN144" i="5"/>
  <c r="AM143" i="5"/>
  <c r="AN140" i="5"/>
  <c r="AM139" i="5"/>
  <c r="AK144" i="5"/>
  <c r="AJ143" i="5"/>
  <c r="AK140" i="5"/>
  <c r="AJ139" i="5"/>
  <c r="AD146" i="5"/>
  <c r="AJ146" i="5"/>
  <c r="AN146" i="5"/>
  <c r="AL146" i="5"/>
  <c r="AI146" i="5"/>
  <c r="AK146" i="5"/>
  <c r="AO146" i="5"/>
  <c r="AM146" i="5"/>
  <c r="AD142" i="5"/>
  <c r="AJ142" i="5"/>
  <c r="AN142" i="5"/>
  <c r="AM142" i="5"/>
  <c r="AK142" i="5"/>
  <c r="AO142" i="5"/>
  <c r="Z212" i="5" s="1"/>
  <c r="AL142" i="5"/>
  <c r="AI142" i="5"/>
  <c r="AL145" i="5"/>
  <c r="AO145" i="5"/>
  <c r="AO141" i="5"/>
  <c r="AN145" i="5"/>
  <c r="AJ145" i="5"/>
  <c r="AM144" i="5"/>
  <c r="AI144" i="5"/>
  <c r="AL143" i="5"/>
  <c r="AN141" i="5"/>
  <c r="AJ141" i="5"/>
  <c r="AM140" i="5"/>
  <c r="AI140" i="5"/>
  <c r="AL139" i="5"/>
  <c r="AL141" i="5"/>
  <c r="AK145" i="5"/>
  <c r="AK141" i="5"/>
  <c r="AM145" i="5"/>
  <c r="AI145" i="5"/>
  <c r="AL144" i="5"/>
  <c r="AO143" i="5"/>
  <c r="AK143" i="5"/>
  <c r="AM141" i="5"/>
  <c r="AI141" i="5"/>
  <c r="AL140" i="5"/>
  <c r="AO139" i="5"/>
  <c r="AK139" i="5"/>
  <c r="AO138" i="5"/>
  <c r="AK138" i="5"/>
  <c r="AN138" i="5"/>
  <c r="AJ138" i="5"/>
  <c r="AL138" i="5"/>
  <c r="AM138" i="5"/>
  <c r="AI138" i="5"/>
  <c r="E99" i="12"/>
  <c r="E97" i="12"/>
  <c r="E95" i="12"/>
  <c r="E93" i="12"/>
  <c r="E91" i="12"/>
  <c r="E89" i="12"/>
  <c r="AB108" i="5"/>
  <c r="AE108" i="5"/>
  <c r="AA108" i="5"/>
  <c r="AD108" i="5"/>
  <c r="Z108" i="5"/>
  <c r="AC108" i="5"/>
  <c r="D118" i="12" l="1"/>
  <c r="W119" i="12"/>
  <c r="D128" i="12"/>
  <c r="W129" i="12"/>
  <c r="D125" i="12"/>
  <c r="W126" i="12"/>
  <c r="G140" i="12"/>
  <c r="K140" i="12"/>
  <c r="H140" i="12"/>
  <c r="M140" i="12"/>
  <c r="I140" i="12"/>
  <c r="J140" i="12"/>
  <c r="F140" i="12"/>
  <c r="L140" i="12"/>
  <c r="G135" i="12"/>
  <c r="K135" i="12"/>
  <c r="J135" i="12"/>
  <c r="F135" i="12"/>
  <c r="L135" i="12"/>
  <c r="H135" i="12"/>
  <c r="M135" i="12"/>
  <c r="I135" i="12"/>
  <c r="D113" i="12"/>
  <c r="W114" i="12"/>
  <c r="D110" i="12"/>
  <c r="W111" i="12"/>
  <c r="D117" i="12"/>
  <c r="W118" i="12"/>
  <c r="D123" i="12"/>
  <c r="W124" i="12"/>
  <c r="D129" i="12"/>
  <c r="W130" i="12"/>
  <c r="D130" i="12"/>
  <c r="W131" i="12"/>
  <c r="G136" i="12"/>
  <c r="K136" i="12"/>
  <c r="H136" i="12"/>
  <c r="M136" i="12"/>
  <c r="I136" i="12"/>
  <c r="J136" i="12"/>
  <c r="F136" i="12"/>
  <c r="L136" i="12"/>
  <c r="G133" i="12"/>
  <c r="K133" i="12"/>
  <c r="J133" i="12"/>
  <c r="F133" i="12"/>
  <c r="L133" i="12"/>
  <c r="H133" i="12"/>
  <c r="M133" i="12"/>
  <c r="I133" i="12"/>
  <c r="D112" i="12"/>
  <c r="W113" i="12"/>
  <c r="D111" i="12"/>
  <c r="W112" i="12"/>
  <c r="D120" i="12"/>
  <c r="W121" i="12"/>
  <c r="D119" i="12"/>
  <c r="W120" i="12"/>
  <c r="D124" i="12"/>
  <c r="W125" i="12"/>
  <c r="D126" i="12"/>
  <c r="W127" i="12"/>
  <c r="G141" i="12"/>
  <c r="K141" i="12"/>
  <c r="J141" i="12"/>
  <c r="F141" i="12"/>
  <c r="L141" i="12"/>
  <c r="H141" i="12"/>
  <c r="M141" i="12"/>
  <c r="I141" i="12"/>
  <c r="G138" i="12"/>
  <c r="K138" i="12"/>
  <c r="H138" i="12"/>
  <c r="M138" i="12"/>
  <c r="I138" i="12"/>
  <c r="J138" i="12"/>
  <c r="F138" i="12"/>
  <c r="L138" i="12"/>
  <c r="D108" i="12"/>
  <c r="W109" i="12"/>
  <c r="W108" i="12"/>
  <c r="D122" i="12"/>
  <c r="W123" i="12"/>
  <c r="D116" i="12"/>
  <c r="W117" i="12"/>
  <c r="D115" i="12"/>
  <c r="W116" i="12"/>
  <c r="D127" i="12"/>
  <c r="W128" i="12"/>
  <c r="G137" i="12"/>
  <c r="K137" i="12"/>
  <c r="J137" i="12"/>
  <c r="F137" i="12"/>
  <c r="L137" i="12"/>
  <c r="H137" i="12"/>
  <c r="M137" i="12"/>
  <c r="I137" i="12"/>
  <c r="G139" i="12"/>
  <c r="K139" i="12"/>
  <c r="J139" i="12"/>
  <c r="F139" i="12"/>
  <c r="L139" i="12"/>
  <c r="H139" i="12"/>
  <c r="M139" i="12"/>
  <c r="I139" i="12"/>
  <c r="G134" i="12"/>
  <c r="K134" i="12"/>
  <c r="H134" i="12"/>
  <c r="M134" i="12"/>
  <c r="I134" i="12"/>
  <c r="J134" i="12"/>
  <c r="L134" i="12"/>
  <c r="F134" i="12"/>
  <c r="D109" i="12"/>
  <c r="W110" i="12"/>
  <c r="D114" i="12"/>
  <c r="W115" i="12"/>
  <c r="U215" i="12"/>
  <c r="D214" i="12" s="1"/>
  <c r="U217" i="12"/>
  <c r="D216" i="12" s="1"/>
  <c r="U220" i="12"/>
  <c r="D219" i="12" s="1"/>
  <c r="U216" i="12"/>
  <c r="U219" i="12"/>
  <c r="D218" i="12" s="1"/>
  <c r="U218" i="12"/>
  <c r="D217" i="12" s="1"/>
  <c r="U223" i="12"/>
  <c r="D222" i="12" s="1"/>
  <c r="U222" i="12"/>
  <c r="D221" i="12" s="1"/>
  <c r="U221" i="12"/>
  <c r="D220" i="12" s="1"/>
  <c r="J99" i="12"/>
  <c r="U180" i="12"/>
  <c r="U184" i="12"/>
  <c r="D183" i="12" s="1"/>
  <c r="U183" i="12"/>
  <c r="D182" i="12" s="1"/>
  <c r="U185" i="12"/>
  <c r="D184" i="12" s="1"/>
  <c r="U179" i="12"/>
  <c r="D178" i="12" s="1"/>
  <c r="U187" i="12"/>
  <c r="D186" i="12" s="1"/>
  <c r="U186" i="12"/>
  <c r="D185" i="12" s="1"/>
  <c r="U181" i="12"/>
  <c r="D180" i="12" s="1"/>
  <c r="U182" i="12"/>
  <c r="D181" i="12" s="1"/>
  <c r="U225" i="12"/>
  <c r="U224" i="12"/>
  <c r="U229" i="12"/>
  <c r="U230" i="12"/>
  <c r="U232" i="12"/>
  <c r="U231" i="12"/>
  <c r="U226" i="12"/>
  <c r="U228" i="12"/>
  <c r="U227" i="12"/>
  <c r="U194" i="12"/>
  <c r="U190" i="12"/>
  <c r="U189" i="12"/>
  <c r="U192" i="12"/>
  <c r="U193" i="12"/>
  <c r="U196" i="12"/>
  <c r="U191" i="12"/>
  <c r="U188" i="12"/>
  <c r="U195" i="12"/>
  <c r="U197" i="12"/>
  <c r="D196" i="12" s="1"/>
  <c r="U204" i="12"/>
  <c r="D203" i="12" s="1"/>
  <c r="U203" i="12"/>
  <c r="D202" i="12" s="1"/>
  <c r="U202" i="12"/>
  <c r="D201" i="12" s="1"/>
  <c r="U201" i="12"/>
  <c r="D200" i="12" s="1"/>
  <c r="U199" i="12"/>
  <c r="D198" i="12" s="1"/>
  <c r="U200" i="12"/>
  <c r="D199" i="12" s="1"/>
  <c r="U205" i="12"/>
  <c r="D204" i="12" s="1"/>
  <c r="U198" i="12"/>
  <c r="U207" i="12"/>
  <c r="U206" i="12"/>
  <c r="D205" i="12" s="1"/>
  <c r="U214" i="12"/>
  <c r="D213" i="12" s="1"/>
  <c r="U208" i="12"/>
  <c r="D207" i="12" s="1"/>
  <c r="U210" i="12"/>
  <c r="D209" i="12" s="1"/>
  <c r="U213" i="12"/>
  <c r="D212" i="12" s="1"/>
  <c r="U212" i="12"/>
  <c r="D211" i="12" s="1"/>
  <c r="U211" i="12"/>
  <c r="D210" i="12" s="1"/>
  <c r="U209" i="12"/>
  <c r="D208" i="12" s="1"/>
  <c r="J96" i="12"/>
  <c r="V122" i="12"/>
  <c r="V133" i="12"/>
  <c r="V132" i="12"/>
  <c r="AB214" i="5"/>
  <c r="AA224" i="5"/>
  <c r="D206" i="12" l="1"/>
  <c r="Y207" i="12"/>
  <c r="Y180" i="12"/>
  <c r="D179" i="12" s="1"/>
  <c r="D215" i="12"/>
  <c r="L215" i="12" s="1"/>
  <c r="Y216" i="12"/>
  <c r="Y198" i="12"/>
  <c r="D197" i="12" s="1"/>
  <c r="Y226" i="12"/>
  <c r="D225" i="12" s="1"/>
  <c r="Y230" i="12"/>
  <c r="D229" i="12" s="1"/>
  <c r="Y224" i="12"/>
  <c r="D223" i="12" s="1"/>
  <c r="Y231" i="12"/>
  <c r="D230" i="12" s="1"/>
  <c r="Y232" i="12"/>
  <c r="D231" i="12" s="1"/>
  <c r="Y229" i="12"/>
  <c r="D228" i="12" s="1"/>
  <c r="Y227" i="12"/>
  <c r="D226" i="12" s="1"/>
  <c r="Y225" i="12"/>
  <c r="D224" i="12" s="1"/>
  <c r="D227" i="12"/>
  <c r="Y228" i="12"/>
  <c r="Y189" i="12"/>
  <c r="D188" i="12" s="1"/>
  <c r="Y194" i="12"/>
  <c r="D193" i="12" s="1"/>
  <c r="Y192" i="12"/>
  <c r="D191" i="12" s="1"/>
  <c r="Y193" i="12"/>
  <c r="D192" i="12" s="1"/>
  <c r="Y190" i="12"/>
  <c r="D189" i="12" s="1"/>
  <c r="D194" i="12"/>
  <c r="F194" i="12" s="1"/>
  <c r="Y195" i="12"/>
  <c r="Y191" i="12"/>
  <c r="D190" i="12" s="1"/>
  <c r="Y188" i="12"/>
  <c r="D187" i="12" s="1"/>
  <c r="Y196" i="12"/>
  <c r="D195" i="12" s="1"/>
  <c r="H212" i="12"/>
  <c r="L212" i="12"/>
  <c r="I212" i="12"/>
  <c r="M212" i="12"/>
  <c r="F212" i="12"/>
  <c r="J212" i="12"/>
  <c r="G212" i="12"/>
  <c r="K212" i="12"/>
  <c r="H202" i="12"/>
  <c r="L202" i="12"/>
  <c r="I202" i="12"/>
  <c r="M202" i="12"/>
  <c r="F202" i="12"/>
  <c r="J202" i="12"/>
  <c r="G202" i="12"/>
  <c r="K202" i="12"/>
  <c r="I186" i="12"/>
  <c r="M186" i="12"/>
  <c r="F186" i="12"/>
  <c r="J186" i="12"/>
  <c r="G186" i="12"/>
  <c r="K186" i="12"/>
  <c r="H186" i="12"/>
  <c r="L186" i="12"/>
  <c r="H215" i="12"/>
  <c r="I215" i="12"/>
  <c r="M215" i="12"/>
  <c r="F215" i="12"/>
  <c r="G215" i="12"/>
  <c r="K215" i="12"/>
  <c r="H208" i="12"/>
  <c r="L208" i="12"/>
  <c r="I208" i="12"/>
  <c r="M208" i="12"/>
  <c r="F208" i="12"/>
  <c r="J208" i="12"/>
  <c r="G208" i="12"/>
  <c r="K208" i="12"/>
  <c r="H209" i="12"/>
  <c r="L209" i="12"/>
  <c r="I209" i="12"/>
  <c r="M209" i="12"/>
  <c r="F209" i="12"/>
  <c r="J209" i="12"/>
  <c r="G209" i="12"/>
  <c r="K209" i="12"/>
  <c r="H206" i="12"/>
  <c r="L206" i="12"/>
  <c r="I206" i="12"/>
  <c r="M206" i="12"/>
  <c r="F206" i="12"/>
  <c r="J206" i="12"/>
  <c r="G206" i="12"/>
  <c r="K206" i="12"/>
  <c r="H198" i="12"/>
  <c r="L198" i="12"/>
  <c r="I198" i="12"/>
  <c r="M198" i="12"/>
  <c r="F198" i="12"/>
  <c r="J198" i="12"/>
  <c r="G198" i="12"/>
  <c r="K198" i="12"/>
  <c r="H203" i="12"/>
  <c r="L203" i="12"/>
  <c r="I203" i="12"/>
  <c r="M203" i="12"/>
  <c r="F203" i="12"/>
  <c r="J203" i="12"/>
  <c r="G203" i="12"/>
  <c r="K203" i="12"/>
  <c r="H227" i="12"/>
  <c r="L227" i="12"/>
  <c r="I227" i="12"/>
  <c r="M227" i="12"/>
  <c r="F227" i="12"/>
  <c r="J227" i="12"/>
  <c r="G227" i="12"/>
  <c r="K227" i="12"/>
  <c r="I181" i="12"/>
  <c r="M181" i="12"/>
  <c r="F181" i="12"/>
  <c r="J181" i="12"/>
  <c r="G181" i="12"/>
  <c r="K181" i="12"/>
  <c r="H181" i="12"/>
  <c r="L181" i="12"/>
  <c r="I178" i="12"/>
  <c r="M178" i="12"/>
  <c r="F178" i="12"/>
  <c r="J178" i="12"/>
  <c r="G178" i="12"/>
  <c r="K178" i="12"/>
  <c r="H178" i="12"/>
  <c r="L178" i="12"/>
  <c r="H222" i="12"/>
  <c r="L222" i="12"/>
  <c r="I222" i="12"/>
  <c r="M222" i="12"/>
  <c r="F222" i="12"/>
  <c r="J222" i="12"/>
  <c r="G222" i="12"/>
  <c r="K222" i="12"/>
  <c r="H219" i="12"/>
  <c r="L219" i="12"/>
  <c r="I219" i="12"/>
  <c r="M219" i="12"/>
  <c r="F219" i="12"/>
  <c r="J219" i="12"/>
  <c r="G219" i="12"/>
  <c r="K219" i="12"/>
  <c r="F114" i="12"/>
  <c r="J114" i="12"/>
  <c r="G114" i="12"/>
  <c r="K114" i="12"/>
  <c r="H114" i="12"/>
  <c r="I114" i="12"/>
  <c r="L114" i="12"/>
  <c r="M114" i="12"/>
  <c r="G127" i="12"/>
  <c r="K127" i="12"/>
  <c r="J127" i="12"/>
  <c r="F127" i="12"/>
  <c r="L127" i="12"/>
  <c r="H127" i="12"/>
  <c r="M127" i="12"/>
  <c r="I127" i="12"/>
  <c r="F116" i="12"/>
  <c r="J116" i="12"/>
  <c r="G116" i="12"/>
  <c r="K116" i="12"/>
  <c r="H116" i="12"/>
  <c r="I116" i="12"/>
  <c r="L116" i="12"/>
  <c r="M116" i="12"/>
  <c r="J107" i="12"/>
  <c r="G107" i="12"/>
  <c r="K107" i="12"/>
  <c r="H107" i="12"/>
  <c r="I107" i="12"/>
  <c r="L107" i="12"/>
  <c r="M107" i="12"/>
  <c r="G126" i="12"/>
  <c r="K126" i="12"/>
  <c r="H126" i="12"/>
  <c r="M126" i="12"/>
  <c r="I126" i="12"/>
  <c r="J126" i="12"/>
  <c r="L126" i="12"/>
  <c r="F126" i="12"/>
  <c r="F119" i="12"/>
  <c r="J119" i="12"/>
  <c r="G119" i="12"/>
  <c r="K119" i="12"/>
  <c r="H119" i="12"/>
  <c r="I119" i="12"/>
  <c r="L119" i="12"/>
  <c r="M119" i="12"/>
  <c r="F111" i="12"/>
  <c r="J111" i="12"/>
  <c r="G111" i="12"/>
  <c r="K111" i="12"/>
  <c r="H111" i="12"/>
  <c r="I111" i="12"/>
  <c r="L111" i="12"/>
  <c r="M111" i="12"/>
  <c r="G130" i="12"/>
  <c r="K130" i="12"/>
  <c r="H130" i="12"/>
  <c r="M130" i="12"/>
  <c r="I130" i="12"/>
  <c r="J130" i="12"/>
  <c r="F130" i="12"/>
  <c r="L130" i="12"/>
  <c r="F123" i="12"/>
  <c r="J123" i="12"/>
  <c r="G123" i="12"/>
  <c r="K123" i="12"/>
  <c r="H123" i="12"/>
  <c r="I123" i="12"/>
  <c r="L123" i="12"/>
  <c r="M123" i="12"/>
  <c r="J110" i="12"/>
  <c r="G110" i="12"/>
  <c r="K110" i="12"/>
  <c r="H110" i="12"/>
  <c r="I110" i="12"/>
  <c r="L110" i="12"/>
  <c r="M110" i="12"/>
  <c r="F113" i="12"/>
  <c r="J113" i="12"/>
  <c r="G113" i="12"/>
  <c r="K113" i="12"/>
  <c r="H113" i="12"/>
  <c r="I113" i="12"/>
  <c r="L113" i="12"/>
  <c r="M113" i="12"/>
  <c r="G128" i="12"/>
  <c r="K128" i="12"/>
  <c r="H128" i="12"/>
  <c r="M128" i="12"/>
  <c r="I128" i="12"/>
  <c r="J128" i="12"/>
  <c r="F128" i="12"/>
  <c r="L128" i="12"/>
  <c r="D131" i="12"/>
  <c r="W132" i="12"/>
  <c r="H205" i="12"/>
  <c r="L205" i="12"/>
  <c r="I205" i="12"/>
  <c r="M205" i="12"/>
  <c r="F205" i="12"/>
  <c r="J205" i="12"/>
  <c r="G205" i="12"/>
  <c r="K205" i="12"/>
  <c r="I183" i="12"/>
  <c r="M183" i="12"/>
  <c r="F183" i="12"/>
  <c r="J183" i="12"/>
  <c r="G183" i="12"/>
  <c r="K183" i="12"/>
  <c r="H183" i="12"/>
  <c r="L183" i="12"/>
  <c r="D121" i="12"/>
  <c r="W122" i="12"/>
  <c r="H210" i="12"/>
  <c r="L210" i="12"/>
  <c r="I210" i="12"/>
  <c r="M210" i="12"/>
  <c r="F210" i="12"/>
  <c r="J210" i="12"/>
  <c r="G210" i="12"/>
  <c r="K210" i="12"/>
  <c r="H207" i="12"/>
  <c r="L207" i="12"/>
  <c r="I207" i="12"/>
  <c r="M207" i="12"/>
  <c r="F207" i="12"/>
  <c r="J207" i="12"/>
  <c r="G207" i="12"/>
  <c r="K207" i="12"/>
  <c r="H200" i="12"/>
  <c r="L200" i="12"/>
  <c r="I200" i="12"/>
  <c r="M200" i="12"/>
  <c r="F200" i="12"/>
  <c r="J200" i="12"/>
  <c r="G200" i="12"/>
  <c r="K200" i="12"/>
  <c r="F196" i="12"/>
  <c r="G196" i="12"/>
  <c r="H196" i="12"/>
  <c r="L196" i="12"/>
  <c r="I196" i="12"/>
  <c r="M196" i="12"/>
  <c r="J196" i="12"/>
  <c r="K196" i="12"/>
  <c r="I180" i="12"/>
  <c r="M180" i="12"/>
  <c r="F180" i="12"/>
  <c r="J180" i="12"/>
  <c r="G180" i="12"/>
  <c r="K180" i="12"/>
  <c r="H180" i="12"/>
  <c r="L180" i="12"/>
  <c r="I184" i="12"/>
  <c r="M184" i="12"/>
  <c r="F184" i="12"/>
  <c r="J184" i="12"/>
  <c r="G184" i="12"/>
  <c r="K184" i="12"/>
  <c r="H184" i="12"/>
  <c r="L184" i="12"/>
  <c r="H217" i="12"/>
  <c r="L217" i="12"/>
  <c r="I217" i="12"/>
  <c r="M217" i="12"/>
  <c r="F217" i="12"/>
  <c r="J217" i="12"/>
  <c r="G217" i="12"/>
  <c r="K217" i="12"/>
  <c r="H216" i="12"/>
  <c r="L216" i="12"/>
  <c r="I216" i="12"/>
  <c r="M216" i="12"/>
  <c r="F216" i="12"/>
  <c r="J216" i="12"/>
  <c r="G216" i="12"/>
  <c r="K216" i="12"/>
  <c r="H199" i="12"/>
  <c r="L199" i="12"/>
  <c r="I199" i="12"/>
  <c r="M199" i="12"/>
  <c r="F199" i="12"/>
  <c r="J199" i="12"/>
  <c r="G199" i="12"/>
  <c r="K199" i="12"/>
  <c r="H221" i="12"/>
  <c r="L221" i="12"/>
  <c r="I221" i="12"/>
  <c r="M221" i="12"/>
  <c r="F221" i="12"/>
  <c r="J221" i="12"/>
  <c r="G221" i="12"/>
  <c r="K221" i="12"/>
  <c r="D132" i="12"/>
  <c r="W133" i="12"/>
  <c r="H211" i="12"/>
  <c r="L211" i="12"/>
  <c r="I211" i="12"/>
  <c r="M211" i="12"/>
  <c r="F211" i="12"/>
  <c r="J211" i="12"/>
  <c r="G211" i="12"/>
  <c r="K211" i="12"/>
  <c r="H213" i="12"/>
  <c r="L213" i="12"/>
  <c r="I213" i="12"/>
  <c r="M213" i="12"/>
  <c r="F213" i="12"/>
  <c r="J213" i="12"/>
  <c r="G213" i="12"/>
  <c r="K213" i="12"/>
  <c r="H204" i="12"/>
  <c r="L204" i="12"/>
  <c r="I204" i="12"/>
  <c r="M204" i="12"/>
  <c r="F204" i="12"/>
  <c r="J204" i="12"/>
  <c r="G204" i="12"/>
  <c r="K204" i="12"/>
  <c r="H201" i="12"/>
  <c r="L201" i="12"/>
  <c r="I201" i="12"/>
  <c r="M201" i="12"/>
  <c r="F201" i="12"/>
  <c r="J201" i="12"/>
  <c r="G201" i="12"/>
  <c r="K201" i="12"/>
  <c r="I194" i="12"/>
  <c r="M194" i="12"/>
  <c r="J194" i="12"/>
  <c r="G194" i="12"/>
  <c r="K194" i="12"/>
  <c r="H194" i="12"/>
  <c r="L194" i="12"/>
  <c r="I185" i="12"/>
  <c r="M185" i="12"/>
  <c r="F185" i="12"/>
  <c r="J185" i="12"/>
  <c r="G185" i="12"/>
  <c r="K185" i="12"/>
  <c r="H185" i="12"/>
  <c r="L185" i="12"/>
  <c r="I182" i="12"/>
  <c r="M182" i="12"/>
  <c r="F182" i="12"/>
  <c r="J182" i="12"/>
  <c r="G182" i="12"/>
  <c r="K182" i="12"/>
  <c r="H182" i="12"/>
  <c r="L182" i="12"/>
  <c r="H220" i="12"/>
  <c r="L220" i="12"/>
  <c r="I220" i="12"/>
  <c r="M220" i="12"/>
  <c r="F220" i="12"/>
  <c r="J220" i="12"/>
  <c r="G220" i="12"/>
  <c r="K220" i="12"/>
  <c r="H218" i="12"/>
  <c r="L218" i="12"/>
  <c r="I218" i="12"/>
  <c r="M218" i="12"/>
  <c r="F218" i="12"/>
  <c r="J218" i="12"/>
  <c r="G218" i="12"/>
  <c r="K218" i="12"/>
  <c r="H214" i="12"/>
  <c r="L214" i="12"/>
  <c r="I214" i="12"/>
  <c r="M214" i="12"/>
  <c r="F214" i="12"/>
  <c r="J214" i="12"/>
  <c r="G214" i="12"/>
  <c r="K214" i="12"/>
  <c r="F109" i="12"/>
  <c r="J109" i="12"/>
  <c r="G109" i="12"/>
  <c r="K109" i="12"/>
  <c r="H109" i="12"/>
  <c r="I109" i="12"/>
  <c r="L109" i="12"/>
  <c r="M109" i="12"/>
  <c r="F115" i="12"/>
  <c r="J115" i="12"/>
  <c r="G115" i="12"/>
  <c r="K115" i="12"/>
  <c r="H115" i="12"/>
  <c r="I115" i="12"/>
  <c r="L115" i="12"/>
  <c r="M115" i="12"/>
  <c r="F122" i="12"/>
  <c r="J122" i="12"/>
  <c r="G122" i="12"/>
  <c r="K122" i="12"/>
  <c r="H122" i="12"/>
  <c r="I122" i="12"/>
  <c r="L122" i="12"/>
  <c r="M122" i="12"/>
  <c r="F108" i="12"/>
  <c r="J108" i="12"/>
  <c r="G108" i="12"/>
  <c r="K108" i="12"/>
  <c r="H108" i="12"/>
  <c r="I108" i="12"/>
  <c r="L108" i="12"/>
  <c r="M108" i="12"/>
  <c r="F124" i="12"/>
  <c r="G124" i="12"/>
  <c r="K124" i="12"/>
  <c r="H124" i="12"/>
  <c r="M124" i="12"/>
  <c r="I124" i="12"/>
  <c r="J124" i="12"/>
  <c r="L124" i="12"/>
  <c r="F120" i="12"/>
  <c r="J120" i="12"/>
  <c r="G120" i="12"/>
  <c r="K120" i="12"/>
  <c r="H120" i="12"/>
  <c r="I120" i="12"/>
  <c r="L120" i="12"/>
  <c r="M120" i="12"/>
  <c r="F112" i="12"/>
  <c r="J112" i="12"/>
  <c r="G112" i="12"/>
  <c r="K112" i="12"/>
  <c r="H112" i="12"/>
  <c r="I112" i="12"/>
  <c r="L112" i="12"/>
  <c r="M112" i="12"/>
  <c r="G129" i="12"/>
  <c r="K129" i="12"/>
  <c r="J129" i="12"/>
  <c r="F129" i="12"/>
  <c r="L129" i="12"/>
  <c r="H129" i="12"/>
  <c r="M129" i="12"/>
  <c r="I129" i="12"/>
  <c r="F117" i="12"/>
  <c r="J117" i="12"/>
  <c r="G117" i="12"/>
  <c r="K117" i="12"/>
  <c r="H117" i="12"/>
  <c r="I117" i="12"/>
  <c r="L117" i="12"/>
  <c r="M117" i="12"/>
  <c r="I106" i="12"/>
  <c r="M106" i="12"/>
  <c r="J106" i="12"/>
  <c r="G106" i="12"/>
  <c r="K106" i="12"/>
  <c r="H106" i="12"/>
  <c r="L106" i="12"/>
  <c r="G125" i="12"/>
  <c r="K125" i="12"/>
  <c r="J125" i="12"/>
  <c r="F125" i="12"/>
  <c r="L125" i="12"/>
  <c r="H125" i="12"/>
  <c r="M125" i="12"/>
  <c r="I125" i="12"/>
  <c r="F118" i="12"/>
  <c r="J118" i="12"/>
  <c r="G118" i="12"/>
  <c r="K118" i="12"/>
  <c r="H118" i="12"/>
  <c r="I118" i="12"/>
  <c r="L118" i="12"/>
  <c r="M118" i="12"/>
  <c r="AC214" i="5"/>
  <c r="AB224" i="5"/>
  <c r="I179" i="12" l="1"/>
  <c r="G179" i="12"/>
  <c r="M179" i="12"/>
  <c r="K179" i="12"/>
  <c r="F179" i="12"/>
  <c r="H179" i="12"/>
  <c r="J179" i="12"/>
  <c r="L179" i="12"/>
  <c r="I197" i="12"/>
  <c r="G197" i="12"/>
  <c r="M197" i="12"/>
  <c r="K197" i="12"/>
  <c r="H197" i="12"/>
  <c r="F197" i="12"/>
  <c r="L197" i="12"/>
  <c r="J197" i="12"/>
  <c r="J215" i="12"/>
  <c r="I193" i="12"/>
  <c r="G193" i="12"/>
  <c r="M193" i="12"/>
  <c r="K193" i="12"/>
  <c r="F193" i="12"/>
  <c r="H193" i="12"/>
  <c r="J193" i="12"/>
  <c r="L193" i="12"/>
  <c r="M226" i="12"/>
  <c r="I226" i="12"/>
  <c r="H223" i="12"/>
  <c r="F223" i="12"/>
  <c r="K223" i="12"/>
  <c r="M231" i="12"/>
  <c r="K231" i="12"/>
  <c r="H231" i="12"/>
  <c r="F231" i="12"/>
  <c r="L231" i="12"/>
  <c r="J231" i="12"/>
  <c r="I231" i="12"/>
  <c r="G231" i="12"/>
  <c r="K228" i="12"/>
  <c r="H228" i="12"/>
  <c r="L228" i="12"/>
  <c r="I228" i="12"/>
  <c r="M228" i="12"/>
  <c r="F228" i="12"/>
  <c r="J228" i="12"/>
  <c r="G228" i="12"/>
  <c r="L224" i="12"/>
  <c r="I224" i="12"/>
  <c r="F224" i="12"/>
  <c r="M224" i="12"/>
  <c r="J224" i="12"/>
  <c r="G224" i="12"/>
  <c r="K224" i="12"/>
  <c r="H224" i="12"/>
  <c r="H230" i="12"/>
  <c r="L230" i="12"/>
  <c r="M230" i="12"/>
  <c r="F230" i="12"/>
  <c r="K230" i="12"/>
  <c r="I230" i="12"/>
  <c r="J230" i="12"/>
  <c r="G230" i="12"/>
  <c r="M229" i="12"/>
  <c r="F229" i="12"/>
  <c r="J229" i="12"/>
  <c r="K229" i="12"/>
  <c r="G229" i="12"/>
  <c r="H229" i="12"/>
  <c r="L229" i="12"/>
  <c r="I229" i="12"/>
  <c r="H225" i="12"/>
  <c r="F225" i="12"/>
  <c r="L225" i="12"/>
  <c r="M225" i="12"/>
  <c r="I225" i="12"/>
  <c r="J225" i="12"/>
  <c r="G225" i="12"/>
  <c r="K225" i="12"/>
  <c r="G223" i="12"/>
  <c r="L226" i="12"/>
  <c r="J223" i="12"/>
  <c r="H226" i="12"/>
  <c r="I223" i="12"/>
  <c r="J226" i="12"/>
  <c r="K226" i="12"/>
  <c r="G226" i="12"/>
  <c r="L223" i="12"/>
  <c r="F226" i="12"/>
  <c r="M223" i="12"/>
  <c r="J189" i="12"/>
  <c r="I189" i="12"/>
  <c r="G189" i="12"/>
  <c r="M189" i="12"/>
  <c r="F189" i="12"/>
  <c r="K189" i="12"/>
  <c r="H189" i="12"/>
  <c r="L189" i="12"/>
  <c r="F192" i="12"/>
  <c r="M192" i="12"/>
  <c r="J192" i="12"/>
  <c r="G192" i="12"/>
  <c r="K192" i="12"/>
  <c r="H192" i="12"/>
  <c r="L192" i="12"/>
  <c r="I192" i="12"/>
  <c r="G191" i="12"/>
  <c r="H191" i="12"/>
  <c r="K191" i="12"/>
  <c r="F191" i="12"/>
  <c r="L191" i="12"/>
  <c r="I191" i="12"/>
  <c r="M191" i="12"/>
  <c r="J191" i="12"/>
  <c r="J195" i="12"/>
  <c r="K195" i="12"/>
  <c r="G195" i="12"/>
  <c r="F195" i="12"/>
  <c r="H195" i="12"/>
  <c r="I195" i="12"/>
  <c r="L195" i="12"/>
  <c r="M195" i="12"/>
  <c r="K187" i="12"/>
  <c r="G187" i="12"/>
  <c r="H187" i="12"/>
  <c r="J187" i="12"/>
  <c r="L187" i="12"/>
  <c r="I187" i="12"/>
  <c r="F187" i="12"/>
  <c r="M187" i="12"/>
  <c r="H190" i="12"/>
  <c r="L190" i="12"/>
  <c r="G190" i="12"/>
  <c r="I190" i="12"/>
  <c r="K190" i="12"/>
  <c r="M190" i="12"/>
  <c r="J190" i="12"/>
  <c r="F190" i="12"/>
  <c r="H188" i="12"/>
  <c r="L188" i="12"/>
  <c r="G188" i="12"/>
  <c r="K188" i="12"/>
  <c r="I188" i="12"/>
  <c r="M188" i="12"/>
  <c r="J188" i="12"/>
  <c r="F188" i="12"/>
  <c r="F121" i="12"/>
  <c r="J121" i="12"/>
  <c r="G121" i="12"/>
  <c r="K121" i="12"/>
  <c r="H121" i="12"/>
  <c r="I121" i="12"/>
  <c r="L121" i="12"/>
  <c r="M121" i="12"/>
  <c r="G132" i="12"/>
  <c r="K132" i="12"/>
  <c r="H132" i="12"/>
  <c r="M132" i="12"/>
  <c r="I132" i="12"/>
  <c r="J132" i="12"/>
  <c r="F132" i="12"/>
  <c r="L132" i="12"/>
  <c r="G131" i="12"/>
  <c r="K131" i="12"/>
  <c r="J131" i="12"/>
  <c r="F131" i="12"/>
  <c r="L131" i="12"/>
  <c r="H131" i="12"/>
  <c r="M131" i="12"/>
  <c r="I131" i="12"/>
  <c r="AD214" i="5"/>
  <c r="AC224" i="5"/>
  <c r="AE214" i="5" l="1"/>
  <c r="AD224" i="5"/>
  <c r="AE224" i="5" l="1"/>
  <c r="AF224" i="5" l="1"/>
  <c r="H68" i="5" l="1"/>
  <c r="G67" i="5"/>
  <c r="G68" i="5"/>
  <c r="I68" i="5" s="1"/>
  <c r="G70" i="5"/>
  <c r="G71" i="5"/>
  <c r="G72" i="5"/>
  <c r="G74" i="5"/>
  <c r="G75" i="5"/>
  <c r="I73" i="5"/>
  <c r="I74" i="5"/>
  <c r="I75" i="5"/>
  <c r="AG87" i="10"/>
  <c r="AF87" i="10"/>
  <c r="AE87" i="10"/>
  <c r="AA15" i="5"/>
  <c r="AN43" i="5"/>
  <c r="O76" i="5"/>
  <c r="O75" i="5"/>
  <c r="O68" i="5"/>
  <c r="O67" i="5"/>
  <c r="F16" i="5"/>
  <c r="AR25" i="5"/>
  <c r="AB23" i="5"/>
  <c r="C185" i="11"/>
  <c r="AN40" i="5"/>
  <c r="AB44" i="5"/>
  <c r="AB33" i="5"/>
  <c r="L70" i="5"/>
  <c r="AR309" i="10"/>
  <c r="AR317" i="10" s="1"/>
  <c r="AS309" i="10"/>
  <c r="AS317" i="10" s="1"/>
  <c r="AT309" i="10"/>
  <c r="AT317" i="10" s="1"/>
  <c r="AU309" i="10"/>
  <c r="AU317" i="10" s="1"/>
  <c r="AV309" i="10"/>
  <c r="AV317" i="10" s="1"/>
  <c r="AW309" i="10"/>
  <c r="AW317" i="10" s="1"/>
  <c r="AX309" i="10"/>
  <c r="AX317" i="10" s="1"/>
  <c r="AY309" i="10"/>
  <c r="AY317" i="10" s="1"/>
  <c r="AZ309" i="10"/>
  <c r="AZ317" i="10" s="1"/>
  <c r="BA309" i="10"/>
  <c r="BA317" i="10" s="1"/>
  <c r="BB309" i="10"/>
  <c r="BB317" i="10" s="1"/>
  <c r="BC309" i="10"/>
  <c r="BC317" i="10" s="1"/>
  <c r="BD309" i="10"/>
  <c r="BD317" i="10" s="1"/>
  <c r="BE309" i="10"/>
  <c r="BE317" i="10" s="1"/>
  <c r="AR310" i="10"/>
  <c r="AR318" i="10" s="1"/>
  <c r="AS310" i="10"/>
  <c r="AS318" i="10" s="1"/>
  <c r="AT310" i="10"/>
  <c r="AT318" i="10" s="1"/>
  <c r="AU310" i="10"/>
  <c r="AU318" i="10" s="1"/>
  <c r="AV310" i="10"/>
  <c r="AV318" i="10" s="1"/>
  <c r="AW310" i="10"/>
  <c r="AW318" i="10" s="1"/>
  <c r="AX310" i="10"/>
  <c r="AX318" i="10" s="1"/>
  <c r="AY310" i="10"/>
  <c r="AY318" i="10" s="1"/>
  <c r="AZ310" i="10"/>
  <c r="AZ318" i="10" s="1"/>
  <c r="BA310" i="10"/>
  <c r="BA318" i="10" s="1"/>
  <c r="BB310" i="10"/>
  <c r="BB318" i="10" s="1"/>
  <c r="BC310" i="10"/>
  <c r="BC318" i="10" s="1"/>
  <c r="BD310" i="10"/>
  <c r="BD318" i="10" s="1"/>
  <c r="BE310" i="10"/>
  <c r="BE318" i="10" s="1"/>
  <c r="AQ310" i="10"/>
  <c r="AQ318" i="10" s="1"/>
  <c r="AQ309" i="10"/>
  <c r="AQ317" i="10" s="1"/>
  <c r="D201" i="11"/>
  <c r="E201" i="11"/>
  <c r="F201" i="11"/>
  <c r="G201" i="11"/>
  <c r="H201" i="11"/>
  <c r="I201" i="11"/>
  <c r="J201" i="11"/>
  <c r="K201" i="11"/>
  <c r="L201" i="11"/>
  <c r="M201" i="11"/>
  <c r="N201" i="11"/>
  <c r="O201" i="11"/>
  <c r="P201" i="11"/>
  <c r="Q201" i="11"/>
  <c r="C201" i="11"/>
  <c r="D132" i="11"/>
  <c r="E132" i="11"/>
  <c r="F132" i="11"/>
  <c r="G132" i="11"/>
  <c r="H132" i="11"/>
  <c r="I132" i="11"/>
  <c r="J132" i="11"/>
  <c r="K132" i="11"/>
  <c r="L132" i="11"/>
  <c r="M132" i="11"/>
  <c r="N132" i="11"/>
  <c r="O132" i="11"/>
  <c r="P132" i="11"/>
  <c r="Q132" i="11"/>
  <c r="D133" i="11"/>
  <c r="E133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D134" i="11"/>
  <c r="E134" i="11"/>
  <c r="F134" i="11"/>
  <c r="G134" i="11"/>
  <c r="H134" i="11"/>
  <c r="I134" i="11"/>
  <c r="J134" i="11"/>
  <c r="K134" i="11"/>
  <c r="L134" i="11"/>
  <c r="M134" i="11"/>
  <c r="N134" i="11"/>
  <c r="O134" i="11"/>
  <c r="P134" i="11"/>
  <c r="Q134" i="11"/>
  <c r="C134" i="11"/>
  <c r="C133" i="11"/>
  <c r="C132" i="11"/>
  <c r="L136" i="11" l="1"/>
  <c r="L140" i="11" s="1"/>
  <c r="N136" i="11"/>
  <c r="N141" i="11" s="1"/>
  <c r="N188" i="11" s="1"/>
  <c r="P136" i="11"/>
  <c r="P142" i="11" s="1"/>
  <c r="H136" i="11"/>
  <c r="H142" i="11" s="1"/>
  <c r="D136" i="11"/>
  <c r="D140" i="11" s="1"/>
  <c r="F136" i="11"/>
  <c r="F141" i="11" s="1"/>
  <c r="F188" i="11" s="1"/>
  <c r="M136" i="11"/>
  <c r="M143" i="11" s="1"/>
  <c r="O136" i="11"/>
  <c r="O140" i="11" s="1"/>
  <c r="G136" i="11"/>
  <c r="G141" i="11" s="1"/>
  <c r="G188" i="11" s="1"/>
  <c r="C186" i="11"/>
  <c r="E136" i="11"/>
  <c r="Q136" i="11"/>
  <c r="I136" i="11"/>
  <c r="K136" i="11"/>
  <c r="J136" i="11"/>
  <c r="D127" i="11"/>
  <c r="D185" i="11" s="1"/>
  <c r="C81" i="11"/>
  <c r="C80" i="11"/>
  <c r="N144" i="11" l="1"/>
  <c r="D141" i="11"/>
  <c r="D188" i="11" s="1"/>
  <c r="N140" i="11"/>
  <c r="N143" i="11"/>
  <c r="P140" i="11"/>
  <c r="M140" i="11"/>
  <c r="M139" i="11"/>
  <c r="P144" i="11"/>
  <c r="F139" i="11"/>
  <c r="N139" i="11"/>
  <c r="F144" i="11"/>
  <c r="F143" i="11"/>
  <c r="F142" i="11"/>
  <c r="F140" i="11"/>
  <c r="P141" i="11"/>
  <c r="P188" i="11" s="1"/>
  <c r="H140" i="11"/>
  <c r="H144" i="11"/>
  <c r="N142" i="11"/>
  <c r="H139" i="11"/>
  <c r="M142" i="11"/>
  <c r="M144" i="11"/>
  <c r="L144" i="11"/>
  <c r="L141" i="11"/>
  <c r="L188" i="11" s="1"/>
  <c r="L139" i="11"/>
  <c r="L142" i="11"/>
  <c r="L143" i="11"/>
  <c r="P139" i="11"/>
  <c r="P143" i="11"/>
  <c r="M141" i="11"/>
  <c r="M188" i="11" s="1"/>
  <c r="O139" i="11"/>
  <c r="H141" i="11"/>
  <c r="H188" i="11" s="1"/>
  <c r="G144" i="11"/>
  <c r="O141" i="11"/>
  <c r="O188" i="11" s="1"/>
  <c r="D144" i="11"/>
  <c r="D142" i="11"/>
  <c r="D139" i="11"/>
  <c r="H143" i="11"/>
  <c r="O144" i="11"/>
  <c r="D143" i="11"/>
  <c r="G142" i="11"/>
  <c r="O142" i="11"/>
  <c r="D186" i="11"/>
  <c r="G143" i="11"/>
  <c r="G140" i="11"/>
  <c r="G139" i="11"/>
  <c r="O143" i="11"/>
  <c r="C142" i="11"/>
  <c r="C143" i="11"/>
  <c r="C144" i="11"/>
  <c r="C139" i="11"/>
  <c r="C140" i="11"/>
  <c r="C188" i="11"/>
  <c r="S188" i="11" s="1"/>
  <c r="J139" i="11"/>
  <c r="J143" i="11"/>
  <c r="J142" i="11"/>
  <c r="J141" i="11"/>
  <c r="J188" i="11" s="1"/>
  <c r="J140" i="11"/>
  <c r="J144" i="11"/>
  <c r="K142" i="11"/>
  <c r="K139" i="11"/>
  <c r="K143" i="11"/>
  <c r="K140" i="11"/>
  <c r="K144" i="11"/>
  <c r="K141" i="11"/>
  <c r="K188" i="11" s="1"/>
  <c r="Q141" i="11"/>
  <c r="Q188" i="11" s="1"/>
  <c r="Q142" i="11"/>
  <c r="Q139" i="11"/>
  <c r="Q143" i="11"/>
  <c r="Q140" i="11"/>
  <c r="Q144" i="11"/>
  <c r="I142" i="11"/>
  <c r="I141" i="11"/>
  <c r="I188" i="11" s="1"/>
  <c r="I139" i="11"/>
  <c r="I143" i="11"/>
  <c r="I140" i="11"/>
  <c r="I144" i="11"/>
  <c r="E140" i="11"/>
  <c r="E144" i="11"/>
  <c r="E139" i="11"/>
  <c r="E143" i="11"/>
  <c r="E142" i="11"/>
  <c r="E141" i="11"/>
  <c r="E188" i="11" s="1"/>
  <c r="E127" i="11"/>
  <c r="E185" i="11" l="1"/>
  <c r="E186" i="11" s="1"/>
  <c r="F127" i="11"/>
  <c r="F185" i="11" l="1"/>
  <c r="F186" i="11" s="1"/>
  <c r="G127" i="11"/>
  <c r="G185" i="11" l="1"/>
  <c r="H127" i="11"/>
  <c r="G186" i="11" l="1"/>
  <c r="H185" i="11"/>
  <c r="H186" i="11" s="1"/>
  <c r="I127" i="11"/>
  <c r="I185" i="11" s="1"/>
  <c r="I186" i="11" l="1"/>
  <c r="J127" i="11"/>
  <c r="J185" i="11" l="1"/>
  <c r="J186" i="11" s="1"/>
  <c r="K127" i="11"/>
  <c r="K185" i="11" s="1"/>
  <c r="K186" i="11" l="1"/>
  <c r="L127" i="11"/>
  <c r="L185" i="11" s="1"/>
  <c r="L186" i="11" l="1"/>
  <c r="M127" i="11"/>
  <c r="M185" i="11" l="1"/>
  <c r="M186" i="11" s="1"/>
  <c r="N127" i="11"/>
  <c r="N185" i="11" l="1"/>
  <c r="O127" i="11"/>
  <c r="O185" i="11" l="1"/>
  <c r="N186" i="11"/>
  <c r="P127" i="11"/>
  <c r="G322" i="10"/>
  <c r="G323" i="10"/>
  <c r="G324" i="10"/>
  <c r="G325" i="10"/>
  <c r="G326" i="10"/>
  <c r="G327" i="10"/>
  <c r="G328" i="10"/>
  <c r="G329" i="10"/>
  <c r="G330" i="10"/>
  <c r="G321" i="10"/>
  <c r="C285" i="10"/>
  <c r="C281" i="10" s="1"/>
  <c r="D297" i="10"/>
  <c r="C310" i="10" s="1"/>
  <c r="E297" i="10"/>
  <c r="D310" i="10" s="1"/>
  <c r="D298" i="10"/>
  <c r="C311" i="10" s="1"/>
  <c r="E298" i="10"/>
  <c r="D311" i="10" s="1"/>
  <c r="D299" i="10"/>
  <c r="C312" i="10" s="1"/>
  <c r="E299" i="10"/>
  <c r="D312" i="10" s="1"/>
  <c r="D300" i="10"/>
  <c r="C313" i="10" s="1"/>
  <c r="E300" i="10"/>
  <c r="D313" i="10" s="1"/>
  <c r="D301" i="10"/>
  <c r="C314" i="10" s="1"/>
  <c r="E301" i="10"/>
  <c r="D314" i="10" s="1"/>
  <c r="D302" i="10"/>
  <c r="C315" i="10" s="1"/>
  <c r="E302" i="10"/>
  <c r="D315" i="10" s="1"/>
  <c r="D303" i="10"/>
  <c r="C316" i="10" s="1"/>
  <c r="E303" i="10"/>
  <c r="D316" i="10" s="1"/>
  <c r="D304" i="10"/>
  <c r="C317" i="10" s="1"/>
  <c r="E304" i="10"/>
  <c r="D317" i="10" s="1"/>
  <c r="D305" i="10"/>
  <c r="C318" i="10" s="1"/>
  <c r="E305" i="10"/>
  <c r="D318" i="10" s="1"/>
  <c r="E296" i="10"/>
  <c r="D309" i="10" s="1"/>
  <c r="D296" i="10"/>
  <c r="C309" i="10" s="1"/>
  <c r="C297" i="10"/>
  <c r="E310" i="10" s="1"/>
  <c r="C298" i="10"/>
  <c r="E311" i="10" s="1"/>
  <c r="C299" i="10"/>
  <c r="E312" i="10" s="1"/>
  <c r="C300" i="10"/>
  <c r="E313" i="10" s="1"/>
  <c r="C301" i="10"/>
  <c r="E314" i="10" s="1"/>
  <c r="E315" i="10"/>
  <c r="C303" i="10"/>
  <c r="E316" i="10" s="1"/>
  <c r="C304" i="10"/>
  <c r="E317" i="10" s="1"/>
  <c r="C305" i="10"/>
  <c r="E318" i="10" s="1"/>
  <c r="C296" i="10"/>
  <c r="E309" i="10" s="1"/>
  <c r="C286" i="10"/>
  <c r="C342" i="10" s="1"/>
  <c r="C225" i="10"/>
  <c r="D225" i="10"/>
  <c r="E225" i="10"/>
  <c r="F225" i="10"/>
  <c r="G225" i="10"/>
  <c r="H225" i="10"/>
  <c r="I225" i="10"/>
  <c r="J225" i="10"/>
  <c r="K225" i="10"/>
  <c r="L225" i="10"/>
  <c r="M225" i="10"/>
  <c r="N225" i="10"/>
  <c r="O225" i="10"/>
  <c r="P225" i="10"/>
  <c r="Q225" i="10"/>
  <c r="C226" i="10"/>
  <c r="D226" i="10"/>
  <c r="E226" i="10"/>
  <c r="F226" i="10"/>
  <c r="G226" i="10"/>
  <c r="H226" i="10"/>
  <c r="I226" i="10"/>
  <c r="J226" i="10"/>
  <c r="K226" i="10"/>
  <c r="L226" i="10"/>
  <c r="M226" i="10"/>
  <c r="N226" i="10"/>
  <c r="O226" i="10"/>
  <c r="P226" i="10"/>
  <c r="Q226" i="10"/>
  <c r="C227" i="10"/>
  <c r="D227" i="10"/>
  <c r="E227" i="10"/>
  <c r="F227" i="10"/>
  <c r="G227" i="10"/>
  <c r="H227" i="10"/>
  <c r="I227" i="10"/>
  <c r="J227" i="10"/>
  <c r="K227" i="10"/>
  <c r="L227" i="10"/>
  <c r="M227" i="10"/>
  <c r="N227" i="10"/>
  <c r="O227" i="10"/>
  <c r="P227" i="10"/>
  <c r="Q227" i="10"/>
  <c r="P185" i="11" l="1"/>
  <c r="P186" i="11" s="1"/>
  <c r="O186" i="11"/>
  <c r="Q127" i="11"/>
  <c r="N229" i="10"/>
  <c r="I229" i="10"/>
  <c r="K229" i="10"/>
  <c r="P229" i="10"/>
  <c r="O229" i="10"/>
  <c r="G229" i="10"/>
  <c r="M229" i="10"/>
  <c r="E229" i="10"/>
  <c r="F229" i="10"/>
  <c r="L229" i="10"/>
  <c r="D229" i="10"/>
  <c r="C229" i="10"/>
  <c r="J229" i="10"/>
  <c r="Q229" i="10"/>
  <c r="H229" i="10"/>
  <c r="K236" i="10" l="1"/>
  <c r="K235" i="10"/>
  <c r="K233" i="10"/>
  <c r="K237" i="10"/>
  <c r="K234" i="10"/>
  <c r="K232" i="10"/>
  <c r="L233" i="10"/>
  <c r="L237" i="10"/>
  <c r="L236" i="10"/>
  <c r="L235" i="10"/>
  <c r="L234" i="10"/>
  <c r="L232" i="10"/>
  <c r="I234" i="10"/>
  <c r="I233" i="10"/>
  <c r="I232" i="10"/>
  <c r="I236" i="10"/>
  <c r="I235" i="10"/>
  <c r="I237" i="10"/>
  <c r="H233" i="10"/>
  <c r="H237" i="10"/>
  <c r="H235" i="10"/>
  <c r="H234" i="10"/>
  <c r="H232" i="10"/>
  <c r="H236" i="10"/>
  <c r="M234" i="10"/>
  <c r="M237" i="10"/>
  <c r="M236" i="10"/>
  <c r="M235" i="10"/>
  <c r="M233" i="10"/>
  <c r="M232" i="10"/>
  <c r="J235" i="10"/>
  <c r="J232" i="10"/>
  <c r="J234" i="10"/>
  <c r="J237" i="10"/>
  <c r="J236" i="10"/>
  <c r="J233" i="10"/>
  <c r="N235" i="10"/>
  <c r="N232" i="10"/>
  <c r="N233" i="10"/>
  <c r="N236" i="10"/>
  <c r="N234" i="10"/>
  <c r="N237" i="10"/>
  <c r="D233" i="10"/>
  <c r="D237" i="10"/>
  <c r="D234" i="10"/>
  <c r="D232" i="10"/>
  <c r="D236" i="10"/>
  <c r="D235" i="10"/>
  <c r="Q234" i="10"/>
  <c r="Q236" i="10"/>
  <c r="Q235" i="10"/>
  <c r="Q233" i="10"/>
  <c r="Q232" i="10"/>
  <c r="Q237" i="10"/>
  <c r="G236" i="10"/>
  <c r="G237" i="10"/>
  <c r="G234" i="10"/>
  <c r="G232" i="10"/>
  <c r="G233" i="10"/>
  <c r="G235" i="10"/>
  <c r="F235" i="10"/>
  <c r="F232" i="10"/>
  <c r="F236" i="10"/>
  <c r="F234" i="10"/>
  <c r="F233" i="10"/>
  <c r="F237" i="10"/>
  <c r="O236" i="10"/>
  <c r="O234" i="10"/>
  <c r="O232" i="10"/>
  <c r="O233" i="10"/>
  <c r="O237" i="10"/>
  <c r="O235" i="10"/>
  <c r="C236" i="10"/>
  <c r="C232" i="10"/>
  <c r="C233" i="10"/>
  <c r="C237" i="10"/>
  <c r="C235" i="10"/>
  <c r="C234" i="10"/>
  <c r="E234" i="10"/>
  <c r="E235" i="10"/>
  <c r="E233" i="10"/>
  <c r="E237" i="10"/>
  <c r="E236" i="10"/>
  <c r="E232" i="10"/>
  <c r="P233" i="10"/>
  <c r="P237" i="10"/>
  <c r="P235" i="10"/>
  <c r="P234" i="10"/>
  <c r="P236" i="10"/>
  <c r="P232" i="10"/>
  <c r="Q185" i="11"/>
  <c r="Q186" i="11" s="1"/>
  <c r="P220" i="10"/>
  <c r="P289" i="10" s="1"/>
  <c r="P345" i="10" s="1"/>
  <c r="Q220" i="10"/>
  <c r="Q289" i="10" s="1"/>
  <c r="Q345" i="10" s="1"/>
  <c r="O220" i="10"/>
  <c r="F220" i="10"/>
  <c r="F289" i="10" s="1"/>
  <c r="F345" i="10" s="1"/>
  <c r="J220" i="10"/>
  <c r="J289" i="10" s="1"/>
  <c r="J345" i="10" s="1"/>
  <c r="E220" i="10"/>
  <c r="E289" i="10" s="1"/>
  <c r="E345" i="10" s="1"/>
  <c r="D220" i="10"/>
  <c r="D289" i="10" s="1"/>
  <c r="D345" i="10" s="1"/>
  <c r="AJ218" i="10"/>
  <c r="AK218" i="10" s="1"/>
  <c r="AL218" i="10" s="1"/>
  <c r="AM218" i="10" s="1"/>
  <c r="AN218" i="10" s="1"/>
  <c r="AO218" i="10" s="1"/>
  <c r="AP218" i="10" s="1"/>
  <c r="AQ218" i="10" s="1"/>
  <c r="AR218" i="10" s="1"/>
  <c r="AS218" i="10" s="1"/>
  <c r="AT218" i="10" s="1"/>
  <c r="AU218" i="10" s="1"/>
  <c r="AV218" i="10" s="1"/>
  <c r="AW218" i="10" s="1"/>
  <c r="AX218" i="10" s="1"/>
  <c r="Q248" i="10" l="1"/>
  <c r="Q288" i="10"/>
  <c r="Q344" i="10" s="1"/>
  <c r="O288" i="10"/>
  <c r="O344" i="10" s="1"/>
  <c r="O248" i="10"/>
  <c r="K288" i="10"/>
  <c r="K344" i="10" s="1"/>
  <c r="K248" i="10"/>
  <c r="AF220" i="10"/>
  <c r="O289" i="10"/>
  <c r="O345" i="10" s="1"/>
  <c r="E288" i="10"/>
  <c r="E344" i="10" s="1"/>
  <c r="E248" i="10"/>
  <c r="L248" i="10"/>
  <c r="L288" i="10"/>
  <c r="L344" i="10" s="1"/>
  <c r="N248" i="10"/>
  <c r="N288" i="10"/>
  <c r="N344" i="10" s="1"/>
  <c r="J248" i="10"/>
  <c r="J288" i="10"/>
  <c r="J344" i="10" s="1"/>
  <c r="C345" i="10"/>
  <c r="P248" i="10"/>
  <c r="P288" i="10"/>
  <c r="P344" i="10" s="1"/>
  <c r="F288" i="10"/>
  <c r="F344" i="10" s="1"/>
  <c r="F248" i="10"/>
  <c r="C288" i="10"/>
  <c r="C344" i="10" s="1"/>
  <c r="C248" i="10"/>
  <c r="H248" i="10"/>
  <c r="H288" i="10"/>
  <c r="H344" i="10" s="1"/>
  <c r="G288" i="10"/>
  <c r="G344" i="10" s="1"/>
  <c r="G248" i="10"/>
  <c r="D248" i="10"/>
  <c r="D288" i="10"/>
  <c r="D344" i="10" s="1"/>
  <c r="M288" i="10"/>
  <c r="M344" i="10" s="1"/>
  <c r="M248" i="10"/>
  <c r="I248" i="10"/>
  <c r="I288" i="10"/>
  <c r="I344" i="10" s="1"/>
  <c r="U220" i="10"/>
  <c r="W220" i="10"/>
  <c r="T220" i="10"/>
  <c r="AA220" i="10"/>
  <c r="D218" i="10"/>
  <c r="AH220" i="10"/>
  <c r="T218" i="10"/>
  <c r="U218" i="10" s="1"/>
  <c r="V218" i="10" s="1"/>
  <c r="W218" i="10" s="1"/>
  <c r="X218" i="10" s="1"/>
  <c r="Y218" i="10" s="1"/>
  <c r="Z218" i="10" s="1"/>
  <c r="AA218" i="10" s="1"/>
  <c r="AB218" i="10" s="1"/>
  <c r="AC218" i="10" s="1"/>
  <c r="AD218" i="10" s="1"/>
  <c r="AE218" i="10" s="1"/>
  <c r="AF218" i="10" s="1"/>
  <c r="AG218" i="10" s="1"/>
  <c r="AH218" i="10" s="1"/>
  <c r="AG220" i="10"/>
  <c r="AV220" i="10"/>
  <c r="AV247" i="10" s="1"/>
  <c r="V220" i="10"/>
  <c r="Q158" i="10"/>
  <c r="AH177" i="10" s="1"/>
  <c r="H118" i="10"/>
  <c r="H119" i="10"/>
  <c r="H120" i="10"/>
  <c r="D158" i="10" s="1"/>
  <c r="H121" i="10"/>
  <c r="E158" i="10" s="1"/>
  <c r="H122" i="10"/>
  <c r="F158" i="10" s="1"/>
  <c r="W183" i="10" s="1"/>
  <c r="H123" i="10"/>
  <c r="G158" i="10" s="1"/>
  <c r="G170" i="10" s="1"/>
  <c r="H124" i="10"/>
  <c r="H158" i="10" s="1"/>
  <c r="H125" i="10"/>
  <c r="I158" i="10" s="1"/>
  <c r="H126" i="10"/>
  <c r="J158" i="10" s="1"/>
  <c r="H127" i="10"/>
  <c r="K158" i="10" s="1"/>
  <c r="AB166" i="10" s="1"/>
  <c r="H128" i="10"/>
  <c r="L158" i="10" s="1"/>
  <c r="H129" i="10"/>
  <c r="M158" i="10" s="1"/>
  <c r="H130" i="10"/>
  <c r="N158" i="10" s="1"/>
  <c r="AE186" i="10" s="1"/>
  <c r="O158" i="10"/>
  <c r="AF187" i="10" s="1"/>
  <c r="P158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D107" i="10"/>
  <c r="E107" i="10"/>
  <c r="F107" i="10"/>
  <c r="G107" i="10"/>
  <c r="H107" i="10"/>
  <c r="I107" i="10"/>
  <c r="J107" i="10"/>
  <c r="K107" i="10"/>
  <c r="L107" i="10"/>
  <c r="M107" i="10"/>
  <c r="N107" i="10"/>
  <c r="O107" i="10"/>
  <c r="P107" i="10"/>
  <c r="Q107" i="10"/>
  <c r="C107" i="10"/>
  <c r="C158" i="10" l="1"/>
  <c r="C164" i="10" s="1"/>
  <c r="K109" i="10"/>
  <c r="K3" i="15"/>
  <c r="AL248" i="10"/>
  <c r="V248" i="10"/>
  <c r="AR248" i="10"/>
  <c r="AB248" i="10"/>
  <c r="C3" i="15"/>
  <c r="C109" i="10"/>
  <c r="C5" i="15" s="1"/>
  <c r="F109" i="10"/>
  <c r="F3" i="15"/>
  <c r="Q109" i="10"/>
  <c r="Q5" i="15" s="1"/>
  <c r="Q3" i="15"/>
  <c r="M109" i="10"/>
  <c r="M3" i="15"/>
  <c r="I109" i="10"/>
  <c r="I3" i="15"/>
  <c r="E109" i="10"/>
  <c r="E3" i="15"/>
  <c r="F218" i="10"/>
  <c r="F247" i="10" s="1"/>
  <c r="D286" i="10"/>
  <c r="D342" i="10" s="1"/>
  <c r="D350" i="10" s="1"/>
  <c r="E218" i="10"/>
  <c r="D285" i="10"/>
  <c r="D281" i="10" s="1"/>
  <c r="AT248" i="10"/>
  <c r="AD248" i="10"/>
  <c r="X248" i="10"/>
  <c r="AN248" i="10"/>
  <c r="T248" i="10"/>
  <c r="AJ248" i="10"/>
  <c r="AF248" i="10"/>
  <c r="AV248" i="10"/>
  <c r="W248" i="10"/>
  <c r="AM248" i="10"/>
  <c r="J109" i="10"/>
  <c r="J3" i="15"/>
  <c r="U248" i="10"/>
  <c r="AK248" i="10"/>
  <c r="P109" i="10"/>
  <c r="P3" i="15"/>
  <c r="L109" i="10"/>
  <c r="L3" i="15"/>
  <c r="H109" i="10"/>
  <c r="H3" i="15"/>
  <c r="D109" i="10"/>
  <c r="D3" i="15"/>
  <c r="C350" i="10"/>
  <c r="AW248" i="10"/>
  <c r="AG248" i="10"/>
  <c r="AA248" i="10"/>
  <c r="AQ248" i="10"/>
  <c r="AC248" i="10"/>
  <c r="AS248" i="10"/>
  <c r="O109" i="10"/>
  <c r="O3" i="15"/>
  <c r="G109" i="10"/>
  <c r="G3" i="15"/>
  <c r="N109" i="10"/>
  <c r="N3" i="15"/>
  <c r="AP248" i="10"/>
  <c r="Z248" i="10"/>
  <c r="Y248" i="10"/>
  <c r="AO248" i="10"/>
  <c r="AE248" i="10"/>
  <c r="AU248" i="10"/>
  <c r="AX248" i="10"/>
  <c r="AH248" i="10"/>
  <c r="T165" i="10"/>
  <c r="C174" i="10"/>
  <c r="Z169" i="10"/>
  <c r="I164" i="10"/>
  <c r="AB188" i="10"/>
  <c r="AF247" i="10"/>
  <c r="K186" i="10"/>
  <c r="T164" i="10"/>
  <c r="D247" i="10"/>
  <c r="AD181" i="10"/>
  <c r="M177" i="10"/>
  <c r="M165" i="10"/>
  <c r="M185" i="10"/>
  <c r="M164" i="10"/>
  <c r="AT188" i="10"/>
  <c r="M173" i="10"/>
  <c r="AD185" i="10"/>
  <c r="M168" i="10"/>
  <c r="M181" i="10"/>
  <c r="AD165" i="10"/>
  <c r="AD186" i="10"/>
  <c r="M169" i="10"/>
  <c r="M176" i="10"/>
  <c r="M187" i="10"/>
  <c r="AD168" i="10"/>
  <c r="M184" i="10"/>
  <c r="M188" i="10"/>
  <c r="F177" i="10"/>
  <c r="N169" i="10"/>
  <c r="Z181" i="10"/>
  <c r="AG247" i="10"/>
  <c r="AW220" i="10"/>
  <c r="AW247" i="10" s="1"/>
  <c r="K182" i="10"/>
  <c r="AE180" i="10"/>
  <c r="X167" i="10"/>
  <c r="G187" i="10"/>
  <c r="C182" i="10"/>
  <c r="K174" i="10"/>
  <c r="F169" i="10"/>
  <c r="Z186" i="10"/>
  <c r="T180" i="10"/>
  <c r="AH247" i="10"/>
  <c r="AX220" i="10"/>
  <c r="AX247" i="10" s="1"/>
  <c r="X179" i="10"/>
  <c r="AV188" i="10"/>
  <c r="I180" i="10"/>
  <c r="T185" i="10"/>
  <c r="AQ220" i="10"/>
  <c r="AQ247" i="10" s="1"/>
  <c r="AA247" i="10"/>
  <c r="N164" i="10"/>
  <c r="N185" i="10"/>
  <c r="G178" i="10"/>
  <c r="I172" i="10"/>
  <c r="C166" i="10"/>
  <c r="X184" i="10"/>
  <c r="AF175" i="10"/>
  <c r="AJ186" i="10"/>
  <c r="T247" i="10"/>
  <c r="AJ220" i="10"/>
  <c r="AJ247" i="10" s="1"/>
  <c r="F186" i="10"/>
  <c r="K166" i="10"/>
  <c r="W177" i="10"/>
  <c r="N177" i="10"/>
  <c r="O170" i="10"/>
  <c r="AB183" i="10"/>
  <c r="AB171" i="10"/>
  <c r="AL220" i="10"/>
  <c r="AL247" i="10" s="1"/>
  <c r="V247" i="10"/>
  <c r="AM220" i="10"/>
  <c r="AM247" i="10" s="1"/>
  <c r="W247" i="10"/>
  <c r="F185" i="10"/>
  <c r="W170" i="10"/>
  <c r="AK220" i="10"/>
  <c r="AK247" i="10" s="1"/>
  <c r="U247" i="10"/>
  <c r="E247" i="10"/>
  <c r="Q164" i="10"/>
  <c r="O178" i="10"/>
  <c r="AH172" i="10"/>
  <c r="Q172" i="10"/>
  <c r="AH165" i="10"/>
  <c r="Q187" i="10"/>
  <c r="Q180" i="10"/>
  <c r="AW168" i="10"/>
  <c r="AW172" i="10"/>
  <c r="AW176" i="10"/>
  <c r="AW180" i="10"/>
  <c r="AW167" i="10"/>
  <c r="AW173" i="10"/>
  <c r="AW178" i="10"/>
  <c r="AW183" i="10"/>
  <c r="AW184" i="10"/>
  <c r="AW188" i="10"/>
  <c r="AW166" i="10"/>
  <c r="AW171" i="10"/>
  <c r="AW165" i="10"/>
  <c r="AW170" i="10"/>
  <c r="AW175" i="10"/>
  <c r="AW181" i="10"/>
  <c r="AW186" i="10"/>
  <c r="AW164" i="10"/>
  <c r="AW187" i="10"/>
  <c r="AG166" i="10"/>
  <c r="AG170" i="10"/>
  <c r="AG174" i="10"/>
  <c r="AW169" i="10"/>
  <c r="AW174" i="10"/>
  <c r="AW179" i="10"/>
  <c r="AW185" i="10"/>
  <c r="AG165" i="10"/>
  <c r="AG169" i="10"/>
  <c r="AG173" i="10"/>
  <c r="AG177" i="10"/>
  <c r="AG167" i="10"/>
  <c r="AG175" i="10"/>
  <c r="AG179" i="10"/>
  <c r="AG183" i="10"/>
  <c r="AG187" i="10"/>
  <c r="AG168" i="10"/>
  <c r="AG181" i="10"/>
  <c r="AG186" i="10"/>
  <c r="P166" i="10"/>
  <c r="P170" i="10"/>
  <c r="P174" i="10"/>
  <c r="P178" i="10"/>
  <c r="P182" i="10"/>
  <c r="AW177" i="10"/>
  <c r="AG171" i="10"/>
  <c r="AG176" i="10"/>
  <c r="AG180" i="10"/>
  <c r="AG185" i="10"/>
  <c r="AG164" i="10"/>
  <c r="P165" i="10"/>
  <c r="P169" i="10"/>
  <c r="P173" i="10"/>
  <c r="P177" i="10"/>
  <c r="P181" i="10"/>
  <c r="P185" i="10"/>
  <c r="P164" i="10"/>
  <c r="AG178" i="10"/>
  <c r="P168" i="10"/>
  <c r="P176" i="10"/>
  <c r="P184" i="10"/>
  <c r="AW182" i="10"/>
  <c r="P171" i="10"/>
  <c r="P179" i="10"/>
  <c r="AG188" i="10"/>
  <c r="P167" i="10"/>
  <c r="P175" i="10"/>
  <c r="P183" i="10"/>
  <c r="P188" i="10"/>
  <c r="AG172" i="10"/>
  <c r="AG184" i="10"/>
  <c r="P172" i="10"/>
  <c r="P180" i="10"/>
  <c r="P187" i="10"/>
  <c r="AG182" i="10"/>
  <c r="P186" i="10"/>
  <c r="AS168" i="10"/>
  <c r="AS172" i="10"/>
  <c r="AS176" i="10"/>
  <c r="AS180" i="10"/>
  <c r="AS184" i="10"/>
  <c r="AS169" i="10"/>
  <c r="AS174" i="10"/>
  <c r="AS179" i="10"/>
  <c r="AS188" i="10"/>
  <c r="AS167" i="10"/>
  <c r="AS166" i="10"/>
  <c r="AS171" i="10"/>
  <c r="AS177" i="10"/>
  <c r="AS182" i="10"/>
  <c r="AS186" i="10"/>
  <c r="AS164" i="10"/>
  <c r="AC166" i="10"/>
  <c r="AC170" i="10"/>
  <c r="AC174" i="10"/>
  <c r="AS165" i="10"/>
  <c r="AS175" i="10"/>
  <c r="AC165" i="10"/>
  <c r="AC169" i="10"/>
  <c r="AC173" i="10"/>
  <c r="AC177" i="10"/>
  <c r="AC171" i="10"/>
  <c r="AC179" i="10"/>
  <c r="AC183" i="10"/>
  <c r="AC187" i="10"/>
  <c r="AS170" i="10"/>
  <c r="AS173" i="10"/>
  <c r="AC182" i="10"/>
  <c r="AC188" i="10"/>
  <c r="L166" i="10"/>
  <c r="L170" i="10"/>
  <c r="L174" i="10"/>
  <c r="L178" i="10"/>
  <c r="L182" i="10"/>
  <c r="AS181" i="10"/>
  <c r="AS183" i="10"/>
  <c r="AC167" i="10"/>
  <c r="AC172" i="10"/>
  <c r="AC181" i="10"/>
  <c r="AC186" i="10"/>
  <c r="L165" i="10"/>
  <c r="L169" i="10"/>
  <c r="L173" i="10"/>
  <c r="L177" i="10"/>
  <c r="L181" i="10"/>
  <c r="L185" i="10"/>
  <c r="L164" i="10"/>
  <c r="AS178" i="10"/>
  <c r="AC164" i="10"/>
  <c r="L172" i="10"/>
  <c r="L180" i="10"/>
  <c r="L186" i="10"/>
  <c r="L187" i="10"/>
  <c r="AS187" i="10"/>
  <c r="AC176" i="10"/>
  <c r="AC184" i="10"/>
  <c r="L171" i="10"/>
  <c r="L179" i="10"/>
  <c r="AS185" i="10"/>
  <c r="AC168" i="10"/>
  <c r="AC175" i="10"/>
  <c r="AC180" i="10"/>
  <c r="AC185" i="10"/>
  <c r="L168" i="10"/>
  <c r="L176" i="10"/>
  <c r="L184" i="10"/>
  <c r="L188" i="10"/>
  <c r="AC178" i="10"/>
  <c r="L167" i="10"/>
  <c r="L175" i="10"/>
  <c r="L183" i="10"/>
  <c r="AO168" i="10"/>
  <c r="AO172" i="10"/>
  <c r="AO176" i="10"/>
  <c r="AO180" i="10"/>
  <c r="AO184" i="10"/>
  <c r="AO165" i="10"/>
  <c r="AO170" i="10"/>
  <c r="AO175" i="10"/>
  <c r="AO181" i="10"/>
  <c r="AO188" i="10"/>
  <c r="AO169" i="10"/>
  <c r="AO167" i="10"/>
  <c r="AO173" i="10"/>
  <c r="AO178" i="10"/>
  <c r="AO183" i="10"/>
  <c r="AO186" i="10"/>
  <c r="AO164" i="10"/>
  <c r="Y165" i="10"/>
  <c r="AO187" i="10"/>
  <c r="Y166" i="10"/>
  <c r="Y170" i="10"/>
  <c r="Y174" i="10"/>
  <c r="Y178" i="10"/>
  <c r="AO171" i="10"/>
  <c r="AO185" i="10"/>
  <c r="Y169" i="10"/>
  <c r="Y173" i="10"/>
  <c r="Y177" i="10"/>
  <c r="AO166" i="10"/>
  <c r="AO182" i="10"/>
  <c r="Y167" i="10"/>
  <c r="Y175" i="10"/>
  <c r="Y179" i="10"/>
  <c r="Y183" i="10"/>
  <c r="Y187" i="10"/>
  <c r="AO177" i="10"/>
  <c r="AO179" i="10"/>
  <c r="Y184" i="10"/>
  <c r="H166" i="10"/>
  <c r="H170" i="10"/>
  <c r="H174" i="10"/>
  <c r="H178" i="10"/>
  <c r="H182" i="10"/>
  <c r="AO174" i="10"/>
  <c r="Y168" i="10"/>
  <c r="Y182" i="10"/>
  <c r="Y188" i="10"/>
  <c r="H165" i="10"/>
  <c r="H169" i="10"/>
  <c r="H173" i="10"/>
  <c r="H177" i="10"/>
  <c r="H181" i="10"/>
  <c r="H185" i="10"/>
  <c r="H164" i="10"/>
  <c r="Y176" i="10"/>
  <c r="H168" i="10"/>
  <c r="H176" i="10"/>
  <c r="H184" i="10"/>
  <c r="H187" i="10"/>
  <c r="Y164" i="10"/>
  <c r="H188" i="10"/>
  <c r="Y172" i="10"/>
  <c r="Y180" i="10"/>
  <c r="Y185" i="10"/>
  <c r="H167" i="10"/>
  <c r="H175" i="10"/>
  <c r="H183" i="10"/>
  <c r="H186" i="10"/>
  <c r="Y171" i="10"/>
  <c r="Y181" i="10"/>
  <c r="Y186" i="10"/>
  <c r="H172" i="10"/>
  <c r="H180" i="10"/>
  <c r="H171" i="10"/>
  <c r="H179" i="10"/>
  <c r="AK168" i="10"/>
  <c r="AK172" i="10"/>
  <c r="AK176" i="10"/>
  <c r="AK180" i="10"/>
  <c r="AK184" i="10"/>
  <c r="AK166" i="10"/>
  <c r="AK171" i="10"/>
  <c r="AK177" i="10"/>
  <c r="AK182" i="10"/>
  <c r="AK188" i="10"/>
  <c r="AK165" i="10"/>
  <c r="AK170" i="10"/>
  <c r="AK169" i="10"/>
  <c r="AK174" i="10"/>
  <c r="AK179" i="10"/>
  <c r="AK186" i="10"/>
  <c r="AK164" i="10"/>
  <c r="U165" i="10"/>
  <c r="AK181" i="10"/>
  <c r="U166" i="10"/>
  <c r="U170" i="10"/>
  <c r="U174" i="10"/>
  <c r="U178" i="10"/>
  <c r="AK167" i="10"/>
  <c r="U169" i="10"/>
  <c r="U173" i="10"/>
  <c r="U177" i="10"/>
  <c r="AK178" i="10"/>
  <c r="AK185" i="10"/>
  <c r="U171" i="10"/>
  <c r="U179" i="10"/>
  <c r="U183" i="10"/>
  <c r="U187" i="10"/>
  <c r="AK183" i="10"/>
  <c r="U176" i="10"/>
  <c r="U180" i="10"/>
  <c r="U185" i="10"/>
  <c r="U164" i="10"/>
  <c r="D166" i="10"/>
  <c r="D170" i="10"/>
  <c r="D174" i="10"/>
  <c r="D178" i="10"/>
  <c r="D182" i="10"/>
  <c r="U184" i="10"/>
  <c r="D165" i="10"/>
  <c r="D169" i="10"/>
  <c r="D173" i="10"/>
  <c r="D177" i="10"/>
  <c r="D181" i="10"/>
  <c r="D185" i="10"/>
  <c r="D164" i="10"/>
  <c r="AK187" i="10"/>
  <c r="U172" i="10"/>
  <c r="U188" i="10"/>
  <c r="D172" i="10"/>
  <c r="D180" i="10"/>
  <c r="D188" i="10"/>
  <c r="D167" i="10"/>
  <c r="D175" i="10"/>
  <c r="D183" i="10"/>
  <c r="U168" i="10"/>
  <c r="U175" i="10"/>
  <c r="U181" i="10"/>
  <c r="U186" i="10"/>
  <c r="D171" i="10"/>
  <c r="D179" i="10"/>
  <c r="D187" i="10"/>
  <c r="AK173" i="10"/>
  <c r="U167" i="10"/>
  <c r="U182" i="10"/>
  <c r="D168" i="10"/>
  <c r="D176" i="10"/>
  <c r="D184" i="10"/>
  <c r="D186" i="10"/>
  <c r="AK175" i="10"/>
  <c r="AL165" i="10"/>
  <c r="AL169" i="10"/>
  <c r="AL173" i="10"/>
  <c r="AL177" i="10"/>
  <c r="AL181" i="10"/>
  <c r="AL167" i="10"/>
  <c r="AL172" i="10"/>
  <c r="AL178" i="10"/>
  <c r="AL183" i="10"/>
  <c r="AL185" i="10"/>
  <c r="AL166" i="10"/>
  <c r="AL171" i="10"/>
  <c r="AL170" i="10"/>
  <c r="AL175" i="10"/>
  <c r="AL180" i="10"/>
  <c r="AL187" i="10"/>
  <c r="AL168" i="10"/>
  <c r="AL176" i="10"/>
  <c r="V167" i="10"/>
  <c r="V171" i="10"/>
  <c r="V175" i="10"/>
  <c r="AL174" i="10"/>
  <c r="AL179" i="10"/>
  <c r="AL184" i="10"/>
  <c r="AL164" i="10"/>
  <c r="V166" i="10"/>
  <c r="V170" i="10"/>
  <c r="V174" i="10"/>
  <c r="V178" i="10"/>
  <c r="AL186" i="10"/>
  <c r="V165" i="10"/>
  <c r="V172" i="10"/>
  <c r="V180" i="10"/>
  <c r="V184" i="10"/>
  <c r="V188" i="10"/>
  <c r="V168" i="10"/>
  <c r="V173" i="10"/>
  <c r="V181" i="10"/>
  <c r="V186" i="10"/>
  <c r="E167" i="10"/>
  <c r="E171" i="10"/>
  <c r="E175" i="10"/>
  <c r="E179" i="10"/>
  <c r="E183" i="10"/>
  <c r="AL188" i="10"/>
  <c r="V169" i="10"/>
  <c r="V176" i="10"/>
  <c r="V179" i="10"/>
  <c r="V185" i="10"/>
  <c r="V164" i="10"/>
  <c r="E166" i="10"/>
  <c r="E170" i="10"/>
  <c r="E174" i="10"/>
  <c r="E178" i="10"/>
  <c r="E182" i="10"/>
  <c r="E186" i="10"/>
  <c r="AL182" i="10"/>
  <c r="AQ166" i="10"/>
  <c r="AQ170" i="10"/>
  <c r="AQ174" i="10"/>
  <c r="AQ178" i="10"/>
  <c r="AQ182" i="10"/>
  <c r="AQ167" i="10"/>
  <c r="AQ172" i="10"/>
  <c r="AQ177" i="10"/>
  <c r="AQ183" i="10"/>
  <c r="AQ186" i="10"/>
  <c r="AQ164" i="10"/>
  <c r="AQ165" i="10"/>
  <c r="AQ171" i="10"/>
  <c r="AQ169" i="10"/>
  <c r="AQ175" i="10"/>
  <c r="AQ180" i="10"/>
  <c r="AQ188" i="10"/>
  <c r="AA168" i="10"/>
  <c r="AA172" i="10"/>
  <c r="AA176" i="10"/>
  <c r="AQ168" i="10"/>
  <c r="AQ173" i="10"/>
  <c r="AQ187" i="10"/>
  <c r="AA167" i="10"/>
  <c r="AA171" i="10"/>
  <c r="AA175" i="10"/>
  <c r="AQ179" i="10"/>
  <c r="AA169" i="10"/>
  <c r="AA177" i="10"/>
  <c r="AA181" i="10"/>
  <c r="AA185" i="10"/>
  <c r="AQ181" i="10"/>
  <c r="AA180" i="10"/>
  <c r="AA186" i="10"/>
  <c r="J168" i="10"/>
  <c r="J172" i="10"/>
  <c r="J176" i="10"/>
  <c r="J180" i="10"/>
  <c r="J184" i="10"/>
  <c r="AQ185" i="10"/>
  <c r="AA165" i="10"/>
  <c r="AA170" i="10"/>
  <c r="AA179" i="10"/>
  <c r="AA184" i="10"/>
  <c r="AA164" i="10"/>
  <c r="J167" i="10"/>
  <c r="J171" i="10"/>
  <c r="J175" i="10"/>
  <c r="J179" i="10"/>
  <c r="J183" i="10"/>
  <c r="J187" i="10"/>
  <c r="AQ176" i="10"/>
  <c r="J181" i="10"/>
  <c r="E176" i="10"/>
  <c r="J173" i="10"/>
  <c r="V187" i="10"/>
  <c r="AA174" i="10"/>
  <c r="AV167" i="10"/>
  <c r="AV171" i="10"/>
  <c r="AV175" i="10"/>
  <c r="AV179" i="10"/>
  <c r="AV183" i="10"/>
  <c r="AV166" i="10"/>
  <c r="AV172" i="10"/>
  <c r="AV177" i="10"/>
  <c r="AV182" i="10"/>
  <c r="AV187" i="10"/>
  <c r="AV165" i="10"/>
  <c r="AV170" i="10"/>
  <c r="AV169" i="10"/>
  <c r="AV174" i="10"/>
  <c r="AV180" i="10"/>
  <c r="AV185" i="10"/>
  <c r="AV176" i="10"/>
  <c r="AV181" i="10"/>
  <c r="AV186" i="10"/>
  <c r="AF165" i="10"/>
  <c r="AF169" i="10"/>
  <c r="AF173" i="10"/>
  <c r="AF177" i="10"/>
  <c r="AV184" i="10"/>
  <c r="AF168" i="10"/>
  <c r="AF172" i="10"/>
  <c r="AF176" i="10"/>
  <c r="AV173" i="10"/>
  <c r="AF166" i="10"/>
  <c r="AF174" i="10"/>
  <c r="AF178" i="10"/>
  <c r="AF182" i="10"/>
  <c r="AF186" i="10"/>
  <c r="AF164" i="10"/>
  <c r="AF171" i="10"/>
  <c r="AF180" i="10"/>
  <c r="AF185" i="10"/>
  <c r="O165" i="10"/>
  <c r="O169" i="10"/>
  <c r="O173" i="10"/>
  <c r="O177" i="10"/>
  <c r="O181" i="10"/>
  <c r="O185" i="10"/>
  <c r="AF179" i="10"/>
  <c r="AF184" i="10"/>
  <c r="O168" i="10"/>
  <c r="O172" i="10"/>
  <c r="O176" i="10"/>
  <c r="O180" i="10"/>
  <c r="O184" i="10"/>
  <c r="O188" i="10"/>
  <c r="AV168" i="10"/>
  <c r="AN167" i="10"/>
  <c r="AN171" i="10"/>
  <c r="AN175" i="10"/>
  <c r="AN179" i="10"/>
  <c r="AN183" i="10"/>
  <c r="AN169" i="10"/>
  <c r="AN174" i="10"/>
  <c r="AN180" i="10"/>
  <c r="AN187" i="10"/>
  <c r="AN168" i="10"/>
  <c r="AN166" i="10"/>
  <c r="AN172" i="10"/>
  <c r="AN177" i="10"/>
  <c r="AN182" i="10"/>
  <c r="AN185" i="10"/>
  <c r="AN165" i="10"/>
  <c r="AN173" i="10"/>
  <c r="AN178" i="10"/>
  <c r="AN186" i="10"/>
  <c r="X169" i="10"/>
  <c r="X173" i="10"/>
  <c r="X177" i="10"/>
  <c r="AN176" i="10"/>
  <c r="AN181" i="10"/>
  <c r="X165" i="10"/>
  <c r="X168" i="10"/>
  <c r="X172" i="10"/>
  <c r="X176" i="10"/>
  <c r="AN188" i="10"/>
  <c r="X166" i="10"/>
  <c r="X174" i="10"/>
  <c r="X182" i="10"/>
  <c r="X186" i="10"/>
  <c r="X164" i="10"/>
  <c r="AN164" i="10"/>
  <c r="X170" i="10"/>
  <c r="X175" i="10"/>
  <c r="X183" i="10"/>
  <c r="X188" i="10"/>
  <c r="G165" i="10"/>
  <c r="G169" i="10"/>
  <c r="G173" i="10"/>
  <c r="G177" i="10"/>
  <c r="G181" i="10"/>
  <c r="G185" i="10"/>
  <c r="X171" i="10"/>
  <c r="X178" i="10"/>
  <c r="X181" i="10"/>
  <c r="X187" i="10"/>
  <c r="G168" i="10"/>
  <c r="G172" i="10"/>
  <c r="G176" i="10"/>
  <c r="G180" i="10"/>
  <c r="G184" i="10"/>
  <c r="G188" i="10"/>
  <c r="G164" i="10"/>
  <c r="Q188" i="10"/>
  <c r="F188" i="10"/>
  <c r="K187" i="10"/>
  <c r="E187" i="10"/>
  <c r="O186" i="10"/>
  <c r="J186" i="10"/>
  <c r="E185" i="10"/>
  <c r="K183" i="10"/>
  <c r="C183" i="10"/>
  <c r="J182" i="10"/>
  <c r="Q181" i="10"/>
  <c r="I181" i="10"/>
  <c r="O179" i="10"/>
  <c r="G179" i="10"/>
  <c r="N178" i="10"/>
  <c r="F178" i="10"/>
  <c r="E177" i="10"/>
  <c r="K175" i="10"/>
  <c r="C175" i="10"/>
  <c r="J174" i="10"/>
  <c r="Q173" i="10"/>
  <c r="I173" i="10"/>
  <c r="O171" i="10"/>
  <c r="G171" i="10"/>
  <c r="N170" i="10"/>
  <c r="F170" i="10"/>
  <c r="E169" i="10"/>
  <c r="K167" i="10"/>
  <c r="C167" i="10"/>
  <c r="J166" i="10"/>
  <c r="Q165" i="10"/>
  <c r="I165" i="10"/>
  <c r="AH164" i="10"/>
  <c r="W164" i="10"/>
  <c r="AA188" i="10"/>
  <c r="AE187" i="10"/>
  <c r="T187" i="10"/>
  <c r="W184" i="10"/>
  <c r="AA183" i="10"/>
  <c r="AE182" i="10"/>
  <c r="AH179" i="10"/>
  <c r="W179" i="10"/>
  <c r="AA178" i="10"/>
  <c r="V177" i="10"/>
  <c r="W174" i="10"/>
  <c r="AH169" i="10"/>
  <c r="AU180" i="10"/>
  <c r="AT165" i="10"/>
  <c r="AT169" i="10"/>
  <c r="AT173" i="10"/>
  <c r="AT177" i="10"/>
  <c r="AT181" i="10"/>
  <c r="AT170" i="10"/>
  <c r="AT175" i="10"/>
  <c r="AT180" i="10"/>
  <c r="AT185" i="10"/>
  <c r="AT168" i="10"/>
  <c r="AT167" i="10"/>
  <c r="AT172" i="10"/>
  <c r="AT178" i="10"/>
  <c r="AT183" i="10"/>
  <c r="AT187" i="10"/>
  <c r="AT166" i="10"/>
  <c r="AT174" i="10"/>
  <c r="AT179" i="10"/>
  <c r="AT184" i="10"/>
  <c r="AD167" i="10"/>
  <c r="AD171" i="10"/>
  <c r="AD175" i="10"/>
  <c r="AT182" i="10"/>
  <c r="AT164" i="10"/>
  <c r="AD166" i="10"/>
  <c r="AD170" i="10"/>
  <c r="AD174" i="10"/>
  <c r="AT176" i="10"/>
  <c r="AD172" i="10"/>
  <c r="AD180" i="10"/>
  <c r="AD184" i="10"/>
  <c r="AD188" i="10"/>
  <c r="AD169" i="10"/>
  <c r="AD176" i="10"/>
  <c r="AD178" i="10"/>
  <c r="AD183" i="10"/>
  <c r="M167" i="10"/>
  <c r="M171" i="10"/>
  <c r="M175" i="10"/>
  <c r="M179" i="10"/>
  <c r="M183" i="10"/>
  <c r="AT171" i="10"/>
  <c r="AT186" i="10"/>
  <c r="AD177" i="10"/>
  <c r="AD182" i="10"/>
  <c r="AD187" i="10"/>
  <c r="M166" i="10"/>
  <c r="M170" i="10"/>
  <c r="M174" i="10"/>
  <c r="M178" i="10"/>
  <c r="M182" i="10"/>
  <c r="M186" i="10"/>
  <c r="K164" i="10"/>
  <c r="F164" i="10"/>
  <c r="J188" i="10"/>
  <c r="E188" i="10"/>
  <c r="O187" i="10"/>
  <c r="I187" i="10"/>
  <c r="N186" i="10"/>
  <c r="C186" i="10"/>
  <c r="J185" i="10"/>
  <c r="Q184" i="10"/>
  <c r="I184" i="10"/>
  <c r="O182" i="10"/>
  <c r="G182" i="10"/>
  <c r="N181" i="10"/>
  <c r="F181" i="10"/>
  <c r="M180" i="10"/>
  <c r="E180" i="10"/>
  <c r="K178" i="10"/>
  <c r="C178" i="10"/>
  <c r="J177" i="10"/>
  <c r="Q176" i="10"/>
  <c r="I176" i="10"/>
  <c r="O174" i="10"/>
  <c r="G174" i="10"/>
  <c r="N173" i="10"/>
  <c r="F173" i="10"/>
  <c r="M172" i="10"/>
  <c r="E172" i="10"/>
  <c r="K170" i="10"/>
  <c r="C170" i="10"/>
  <c r="J169" i="10"/>
  <c r="Q168" i="10"/>
  <c r="I168" i="10"/>
  <c r="O166" i="10"/>
  <c r="G166" i="10"/>
  <c r="N165" i="10"/>
  <c r="F165" i="10"/>
  <c r="AD164" i="10"/>
  <c r="W188" i="10"/>
  <c r="AA187" i="10"/>
  <c r="AH183" i="10"/>
  <c r="AA182" i="10"/>
  <c r="AF181" i="10"/>
  <c r="AD179" i="10"/>
  <c r="AH178" i="10"/>
  <c r="AD173" i="10"/>
  <c r="AF170" i="10"/>
  <c r="AQ184" i="10"/>
  <c r="AV178" i="10"/>
  <c r="AN170" i="10"/>
  <c r="E184" i="10"/>
  <c r="E168" i="10"/>
  <c r="J165" i="10"/>
  <c r="V182" i="10"/>
  <c r="AR167" i="10"/>
  <c r="AR171" i="10"/>
  <c r="AR175" i="10"/>
  <c r="AR179" i="10"/>
  <c r="AR183" i="10"/>
  <c r="AR168" i="10"/>
  <c r="AR173" i="10"/>
  <c r="AR178" i="10"/>
  <c r="AR184" i="10"/>
  <c r="AR187" i="10"/>
  <c r="AR166" i="10"/>
  <c r="AR172" i="10"/>
  <c r="AR165" i="10"/>
  <c r="AR170" i="10"/>
  <c r="AR176" i="10"/>
  <c r="AR181" i="10"/>
  <c r="AR185" i="10"/>
  <c r="AR169" i="10"/>
  <c r="AR177" i="10"/>
  <c r="AR182" i="10"/>
  <c r="AR164" i="10"/>
  <c r="AB165" i="10"/>
  <c r="AB169" i="10"/>
  <c r="AB173" i="10"/>
  <c r="AB177" i="10"/>
  <c r="AR180" i="10"/>
  <c r="AR188" i="10"/>
  <c r="AB168" i="10"/>
  <c r="AB172" i="10"/>
  <c r="AB176" i="10"/>
  <c r="AB170" i="10"/>
  <c r="AB178" i="10"/>
  <c r="AB182" i="10"/>
  <c r="AB186" i="10"/>
  <c r="AB164" i="10"/>
  <c r="AR186" i="10"/>
  <c r="AB167" i="10"/>
  <c r="AB174" i="10"/>
  <c r="AB181" i="10"/>
  <c r="AB187" i="10"/>
  <c r="K165" i="10"/>
  <c r="K169" i="10"/>
  <c r="K173" i="10"/>
  <c r="K177" i="10"/>
  <c r="K181" i="10"/>
  <c r="K185" i="10"/>
  <c r="AB175" i="10"/>
  <c r="AB180" i="10"/>
  <c r="AB185" i="10"/>
  <c r="K168" i="10"/>
  <c r="K172" i="10"/>
  <c r="K176" i="10"/>
  <c r="K180" i="10"/>
  <c r="K184" i="10"/>
  <c r="K188" i="10"/>
  <c r="AR174" i="10"/>
  <c r="AJ167" i="10"/>
  <c r="AJ171" i="10"/>
  <c r="AJ175" i="10"/>
  <c r="AJ179" i="10"/>
  <c r="AJ183" i="10"/>
  <c r="AJ165" i="10"/>
  <c r="AJ170" i="10"/>
  <c r="AJ176" i="10"/>
  <c r="AJ181" i="10"/>
  <c r="AJ187" i="10"/>
  <c r="AJ169" i="10"/>
  <c r="AJ168" i="10"/>
  <c r="AJ173" i="10"/>
  <c r="AJ178" i="10"/>
  <c r="AJ184" i="10"/>
  <c r="AJ185" i="10"/>
  <c r="AJ174" i="10"/>
  <c r="T169" i="10"/>
  <c r="T173" i="10"/>
  <c r="T177" i="10"/>
  <c r="AJ177" i="10"/>
  <c r="AJ182" i="10"/>
  <c r="AJ188" i="10"/>
  <c r="AJ164" i="10"/>
  <c r="T168" i="10"/>
  <c r="T172" i="10"/>
  <c r="T176" i="10"/>
  <c r="AJ172" i="10"/>
  <c r="T170" i="10"/>
  <c r="T178" i="10"/>
  <c r="T182" i="10"/>
  <c r="T186" i="10"/>
  <c r="T166" i="10"/>
  <c r="T171" i="10"/>
  <c r="T179" i="10"/>
  <c r="T184" i="10"/>
  <c r="C169" i="10"/>
  <c r="C173" i="10"/>
  <c r="C177" i="10"/>
  <c r="C181" i="10"/>
  <c r="C185" i="10"/>
  <c r="AJ180" i="10"/>
  <c r="T167" i="10"/>
  <c r="T174" i="10"/>
  <c r="T183" i="10"/>
  <c r="T188" i="10"/>
  <c r="C168" i="10"/>
  <c r="C172" i="10"/>
  <c r="C176" i="10"/>
  <c r="C180" i="10"/>
  <c r="C184" i="10"/>
  <c r="C188" i="10"/>
  <c r="AM166" i="10"/>
  <c r="AM170" i="10"/>
  <c r="AM174" i="10"/>
  <c r="AM178" i="10"/>
  <c r="AM182" i="10"/>
  <c r="AM168" i="10"/>
  <c r="AM173" i="10"/>
  <c r="AM179" i="10"/>
  <c r="AM184" i="10"/>
  <c r="AM186" i="10"/>
  <c r="AM164" i="10"/>
  <c r="AM167" i="10"/>
  <c r="AM172" i="10"/>
  <c r="AM165" i="10"/>
  <c r="AM171" i="10"/>
  <c r="AM176" i="10"/>
  <c r="AM181" i="10"/>
  <c r="AM188" i="10"/>
  <c r="AM183" i="10"/>
  <c r="AM185" i="10"/>
  <c r="W165" i="10"/>
  <c r="W168" i="10"/>
  <c r="W172" i="10"/>
  <c r="W176" i="10"/>
  <c r="W167" i="10"/>
  <c r="W171" i="10"/>
  <c r="W175" i="10"/>
  <c r="AM169" i="10"/>
  <c r="AM175" i="10"/>
  <c r="AM187" i="10"/>
  <c r="W173" i="10"/>
  <c r="W181" i="10"/>
  <c r="W185" i="10"/>
  <c r="W178" i="10"/>
  <c r="W182" i="10"/>
  <c r="W187" i="10"/>
  <c r="F168" i="10"/>
  <c r="F172" i="10"/>
  <c r="F176" i="10"/>
  <c r="F180" i="10"/>
  <c r="F184" i="10"/>
  <c r="W166" i="10"/>
  <c r="W180" i="10"/>
  <c r="W186" i="10"/>
  <c r="F167" i="10"/>
  <c r="F171" i="10"/>
  <c r="F175" i="10"/>
  <c r="F179" i="10"/>
  <c r="F183" i="10"/>
  <c r="F187" i="10"/>
  <c r="AM180" i="10"/>
  <c r="AX165" i="10"/>
  <c r="AX169" i="10"/>
  <c r="AX173" i="10"/>
  <c r="AX177" i="10"/>
  <c r="AX181" i="10"/>
  <c r="AX168" i="10"/>
  <c r="AX174" i="10"/>
  <c r="AX179" i="10"/>
  <c r="AX185" i="10"/>
  <c r="AX167" i="10"/>
  <c r="AX166" i="10"/>
  <c r="AX171" i="10"/>
  <c r="AX176" i="10"/>
  <c r="AX182" i="10"/>
  <c r="AX187" i="10"/>
  <c r="AX170" i="10"/>
  <c r="AX178" i="10"/>
  <c r="AX183" i="10"/>
  <c r="AX188" i="10"/>
  <c r="AX164" i="10"/>
  <c r="AH167" i="10"/>
  <c r="AH171" i="10"/>
  <c r="AH175" i="10"/>
  <c r="AX186" i="10"/>
  <c r="AH166" i="10"/>
  <c r="AH170" i="10"/>
  <c r="AH174" i="10"/>
  <c r="AX180" i="10"/>
  <c r="AH168" i="10"/>
  <c r="AH176" i="10"/>
  <c r="AH180" i="10"/>
  <c r="AH184" i="10"/>
  <c r="AH188" i="10"/>
  <c r="AX184" i="10"/>
  <c r="AH173" i="10"/>
  <c r="AH182" i="10"/>
  <c r="AH187" i="10"/>
  <c r="Q167" i="10"/>
  <c r="Q171" i="10"/>
  <c r="Q175" i="10"/>
  <c r="Q179" i="10"/>
  <c r="Q183" i="10"/>
  <c r="AX175" i="10"/>
  <c r="AH181" i="10"/>
  <c r="AH186" i="10"/>
  <c r="Q166" i="10"/>
  <c r="Q170" i="10"/>
  <c r="Q174" i="10"/>
  <c r="Q178" i="10"/>
  <c r="Q182" i="10"/>
  <c r="Q186" i="10"/>
  <c r="AX172" i="10"/>
  <c r="AP165" i="10"/>
  <c r="AP169" i="10"/>
  <c r="AP173" i="10"/>
  <c r="AP177" i="10"/>
  <c r="AP181" i="10"/>
  <c r="AP166" i="10"/>
  <c r="AP171" i="10"/>
  <c r="AP176" i="10"/>
  <c r="AP182" i="10"/>
  <c r="AP185" i="10"/>
  <c r="AP170" i="10"/>
  <c r="AP168" i="10"/>
  <c r="AP174" i="10"/>
  <c r="AP179" i="10"/>
  <c r="AP184" i="10"/>
  <c r="AP187" i="10"/>
  <c r="AP172" i="10"/>
  <c r="AP175" i="10"/>
  <c r="AP180" i="10"/>
  <c r="AP188" i="10"/>
  <c r="Z167" i="10"/>
  <c r="Z171" i="10"/>
  <c r="Z175" i="10"/>
  <c r="AP178" i="10"/>
  <c r="AP183" i="10"/>
  <c r="AP186" i="10"/>
  <c r="Z166" i="10"/>
  <c r="Z170" i="10"/>
  <c r="Z174" i="10"/>
  <c r="Z178" i="10"/>
  <c r="AP164" i="10"/>
  <c r="Z168" i="10"/>
  <c r="Z176" i="10"/>
  <c r="Z180" i="10"/>
  <c r="Z184" i="10"/>
  <c r="Z188" i="10"/>
  <c r="AP167" i="10"/>
  <c r="Z165" i="10"/>
  <c r="Z172" i="10"/>
  <c r="Z177" i="10"/>
  <c r="Z179" i="10"/>
  <c r="Z185" i="10"/>
  <c r="Z164" i="10"/>
  <c r="I167" i="10"/>
  <c r="I171" i="10"/>
  <c r="I175" i="10"/>
  <c r="I179" i="10"/>
  <c r="I183" i="10"/>
  <c r="Z173" i="10"/>
  <c r="Z183" i="10"/>
  <c r="I166" i="10"/>
  <c r="I170" i="10"/>
  <c r="I174" i="10"/>
  <c r="I178" i="10"/>
  <c r="I182" i="10"/>
  <c r="I186" i="10"/>
  <c r="AU166" i="10"/>
  <c r="AU170" i="10"/>
  <c r="AU174" i="10"/>
  <c r="AU178" i="10"/>
  <c r="AU182" i="10"/>
  <c r="AU165" i="10"/>
  <c r="AU171" i="10"/>
  <c r="AU176" i="10"/>
  <c r="AU181" i="10"/>
  <c r="AU186" i="10"/>
  <c r="AU169" i="10"/>
  <c r="AU168" i="10"/>
  <c r="AU173" i="10"/>
  <c r="AU179" i="10"/>
  <c r="AU184" i="10"/>
  <c r="AU188" i="10"/>
  <c r="AU185" i="10"/>
  <c r="AE168" i="10"/>
  <c r="AE172" i="10"/>
  <c r="AE176" i="10"/>
  <c r="AU172" i="10"/>
  <c r="AU177" i="10"/>
  <c r="AE167" i="10"/>
  <c r="AE171" i="10"/>
  <c r="AE175" i="10"/>
  <c r="AU183" i="10"/>
  <c r="AE165" i="10"/>
  <c r="AE173" i="10"/>
  <c r="AE181" i="10"/>
  <c r="AE185" i="10"/>
  <c r="AU175" i="10"/>
  <c r="AU187" i="10"/>
  <c r="AE166" i="10"/>
  <c r="AE179" i="10"/>
  <c r="AE184" i="10"/>
  <c r="AE164" i="10"/>
  <c r="N168" i="10"/>
  <c r="N172" i="10"/>
  <c r="N176" i="10"/>
  <c r="N180" i="10"/>
  <c r="N184" i="10"/>
  <c r="AU167" i="10"/>
  <c r="AU164" i="10"/>
  <c r="AE169" i="10"/>
  <c r="AE174" i="10"/>
  <c r="AE178" i="10"/>
  <c r="AE183" i="10"/>
  <c r="AE188" i="10"/>
  <c r="N167" i="10"/>
  <c r="N171" i="10"/>
  <c r="N175" i="10"/>
  <c r="N179" i="10"/>
  <c r="N183" i="10"/>
  <c r="N187" i="10"/>
  <c r="O164" i="10"/>
  <c r="J164" i="10"/>
  <c r="E164" i="10"/>
  <c r="N188" i="10"/>
  <c r="I188" i="10"/>
  <c r="C187" i="10"/>
  <c r="G186" i="10"/>
  <c r="Q185" i="10"/>
  <c r="I185" i="10"/>
  <c r="O183" i="10"/>
  <c r="G183" i="10"/>
  <c r="N182" i="10"/>
  <c r="F182" i="10"/>
  <c r="E181" i="10"/>
  <c r="K179" i="10"/>
  <c r="C179" i="10"/>
  <c r="J178" i="10"/>
  <c r="Q177" i="10"/>
  <c r="I177" i="10"/>
  <c r="O175" i="10"/>
  <c r="G175" i="10"/>
  <c r="N174" i="10"/>
  <c r="F174" i="10"/>
  <c r="E173" i="10"/>
  <c r="K171" i="10"/>
  <c r="C171" i="10"/>
  <c r="J170" i="10"/>
  <c r="Q169" i="10"/>
  <c r="I169" i="10"/>
  <c r="O167" i="10"/>
  <c r="G167" i="10"/>
  <c r="N166" i="10"/>
  <c r="F166" i="10"/>
  <c r="E165" i="10"/>
  <c r="AF188" i="10"/>
  <c r="Z187" i="10"/>
  <c r="AH185" i="10"/>
  <c r="X185" i="10"/>
  <c r="AB184" i="10"/>
  <c r="AF183" i="10"/>
  <c r="V183" i="10"/>
  <c r="Z182" i="10"/>
  <c r="T181" i="10"/>
  <c r="X180" i="10"/>
  <c r="AB179" i="10"/>
  <c r="AE177" i="10"/>
  <c r="T175" i="10"/>
  <c r="AA173" i="10"/>
  <c r="AE170" i="10"/>
  <c r="W169" i="10"/>
  <c r="AF167" i="10"/>
  <c r="AA166" i="10"/>
  <c r="AV164" i="10"/>
  <c r="AN184" i="10"/>
  <c r="AM177" i="10"/>
  <c r="AJ166" i="10"/>
  <c r="AB40" i="5"/>
  <c r="H67" i="5"/>
  <c r="C165" i="10" l="1"/>
  <c r="C190" i="10"/>
  <c r="Q111" i="10"/>
  <c r="Q112" i="10" s="1"/>
  <c r="Q114" i="10" s="1"/>
  <c r="G111" i="10"/>
  <c r="G112" i="10" s="1"/>
  <c r="G114" i="10" s="1"/>
  <c r="G5" i="15"/>
  <c r="H29" i="15"/>
  <c r="H43" i="15" s="1"/>
  <c r="H87" i="11"/>
  <c r="H27" i="15"/>
  <c r="H41" i="15" s="1"/>
  <c r="H26" i="15"/>
  <c r="H40" i="15" s="1"/>
  <c r="P29" i="15"/>
  <c r="P43" i="15" s="1"/>
  <c r="P87" i="11"/>
  <c r="P27" i="15"/>
  <c r="P41" i="15" s="1"/>
  <c r="P26" i="15"/>
  <c r="P40" i="15" s="1"/>
  <c r="J26" i="15"/>
  <c r="J40" i="15" s="1"/>
  <c r="J29" i="15"/>
  <c r="J43" i="15" s="1"/>
  <c r="J87" i="11"/>
  <c r="J27" i="15"/>
  <c r="J41" i="15" s="1"/>
  <c r="E26" i="15"/>
  <c r="E40" i="15" s="1"/>
  <c r="E29" i="15"/>
  <c r="E43" i="15" s="1"/>
  <c r="E87" i="11"/>
  <c r="E27" i="15"/>
  <c r="E41" i="15" s="1"/>
  <c r="M29" i="15"/>
  <c r="M43" i="15" s="1"/>
  <c r="M87" i="11"/>
  <c r="M27" i="15"/>
  <c r="M41" i="15" s="1"/>
  <c r="M26" i="15"/>
  <c r="M40" i="15" s="1"/>
  <c r="Q245" i="10"/>
  <c r="Q287" i="10"/>
  <c r="Q343" i="10" s="1"/>
  <c r="C87" i="11"/>
  <c r="C26" i="15"/>
  <c r="C40" i="15" s="1"/>
  <c r="C27" i="15"/>
  <c r="C41" i="15" s="1"/>
  <c r="C29" i="15"/>
  <c r="C43" i="15" s="1"/>
  <c r="N26" i="15"/>
  <c r="N40" i="15" s="1"/>
  <c r="N27" i="15"/>
  <c r="N41" i="15" s="1"/>
  <c r="N29" i="15"/>
  <c r="N43" i="15" s="1"/>
  <c r="N87" i="11"/>
  <c r="O87" i="11"/>
  <c r="O27" i="15"/>
  <c r="O41" i="15" s="1"/>
  <c r="O26" i="15"/>
  <c r="O40" i="15" s="1"/>
  <c r="O29" i="15"/>
  <c r="O43" i="15" s="1"/>
  <c r="H111" i="10"/>
  <c r="H112" i="10" s="1"/>
  <c r="H114" i="10" s="1"/>
  <c r="H5" i="15"/>
  <c r="P111" i="10"/>
  <c r="P112" i="10" s="1"/>
  <c r="P114" i="10" s="1"/>
  <c r="P5" i="15"/>
  <c r="J111" i="10"/>
  <c r="J112" i="10" s="1"/>
  <c r="J114" i="10" s="1"/>
  <c r="J5" i="15"/>
  <c r="E286" i="10"/>
  <c r="E342" i="10" s="1"/>
  <c r="E350" i="10" s="1"/>
  <c r="E285" i="10"/>
  <c r="E281" i="10" s="1"/>
  <c r="E111" i="10"/>
  <c r="E112" i="10" s="1"/>
  <c r="E114" i="10" s="1"/>
  <c r="E5" i="15"/>
  <c r="M111" i="10"/>
  <c r="M112" i="10" s="1"/>
  <c r="M114" i="10" s="1"/>
  <c r="M5" i="15"/>
  <c r="F26" i="15"/>
  <c r="F40" i="15" s="1"/>
  <c r="F27" i="15"/>
  <c r="F41" i="15" s="1"/>
  <c r="F29" i="15"/>
  <c r="F43" i="15" s="1"/>
  <c r="F87" i="11"/>
  <c r="C111" i="10"/>
  <c r="C112" i="10" s="1"/>
  <c r="C114" i="10" s="1"/>
  <c r="N111" i="10"/>
  <c r="N112" i="10" s="1"/>
  <c r="N114" i="10" s="1"/>
  <c r="N5" i="15"/>
  <c r="O111" i="10"/>
  <c r="O112" i="10" s="1"/>
  <c r="O114" i="10" s="1"/>
  <c r="O5" i="15"/>
  <c r="D29" i="15"/>
  <c r="D43" i="15" s="1"/>
  <c r="D87" i="11"/>
  <c r="D27" i="15"/>
  <c r="D41" i="15" s="1"/>
  <c r="D26" i="15"/>
  <c r="D40" i="15" s="1"/>
  <c r="L29" i="15"/>
  <c r="L43" i="15" s="1"/>
  <c r="L87" i="11"/>
  <c r="L27" i="15"/>
  <c r="L41" i="15" s="1"/>
  <c r="L26" i="15"/>
  <c r="L40" i="15" s="1"/>
  <c r="I29" i="15"/>
  <c r="I43" i="15" s="1"/>
  <c r="I26" i="15"/>
  <c r="I40" i="15" s="1"/>
  <c r="I87" i="11"/>
  <c r="I27" i="15"/>
  <c r="I41" i="15" s="1"/>
  <c r="Q26" i="15"/>
  <c r="Q40" i="15" s="1"/>
  <c r="Q29" i="15"/>
  <c r="Q43" i="15" s="1"/>
  <c r="Q87" i="11"/>
  <c r="Q27" i="15"/>
  <c r="Q41" i="15" s="1"/>
  <c r="F111" i="10"/>
  <c r="F112" i="10" s="1"/>
  <c r="F114" i="10" s="1"/>
  <c r="F5" i="15"/>
  <c r="K87" i="11"/>
  <c r="K27" i="15"/>
  <c r="K41" i="15" s="1"/>
  <c r="K29" i="15"/>
  <c r="K43" i="15" s="1"/>
  <c r="K26" i="15"/>
  <c r="K40" i="15" s="1"/>
  <c r="G87" i="11"/>
  <c r="G27" i="15"/>
  <c r="G41" i="15" s="1"/>
  <c r="G26" i="15"/>
  <c r="G40" i="15" s="1"/>
  <c r="G29" i="15"/>
  <c r="G43" i="15" s="1"/>
  <c r="D111" i="10"/>
  <c r="D112" i="10" s="1"/>
  <c r="D114" i="10" s="1"/>
  <c r="D5" i="15"/>
  <c r="L111" i="10"/>
  <c r="L112" i="10" s="1"/>
  <c r="L114" i="10" s="1"/>
  <c r="L5" i="15"/>
  <c r="G218" i="10"/>
  <c r="F285" i="10"/>
  <c r="F281" i="10" s="1"/>
  <c r="F286" i="10"/>
  <c r="F342" i="10" s="1"/>
  <c r="F350" i="10" s="1"/>
  <c r="I111" i="10"/>
  <c r="I112" i="10" s="1"/>
  <c r="I114" i="10" s="1"/>
  <c r="I5" i="15"/>
  <c r="Q25" i="15"/>
  <c r="Q154" i="11" s="1"/>
  <c r="Q155" i="11" s="1"/>
  <c r="Q39" i="15"/>
  <c r="C25" i="15"/>
  <c r="C154" i="11" s="1"/>
  <c r="C155" i="11" s="1"/>
  <c r="C39" i="15"/>
  <c r="K111" i="10"/>
  <c r="K112" i="10" s="1"/>
  <c r="K114" i="10" s="1"/>
  <c r="K5" i="15"/>
  <c r="AP190" i="10"/>
  <c r="AP246" i="10" s="1"/>
  <c r="AU190" i="10"/>
  <c r="AU246" i="10" s="1"/>
  <c r="I190" i="10"/>
  <c r="I290" i="10" s="1"/>
  <c r="Z190" i="10"/>
  <c r="Z246" i="10" s="1"/>
  <c r="N190" i="10"/>
  <c r="M190" i="10"/>
  <c r="T190" i="10"/>
  <c r="T246" i="10" s="1"/>
  <c r="AV190" i="10"/>
  <c r="AV246" i="10" s="1"/>
  <c r="O190" i="10"/>
  <c r="Q190" i="10"/>
  <c r="AD190" i="10"/>
  <c r="AD246" i="10" s="1"/>
  <c r="F190" i="10"/>
  <c r="AN190" i="10"/>
  <c r="AN246" i="10" s="1"/>
  <c r="AQ190" i="10"/>
  <c r="AQ246" i="10" s="1"/>
  <c r="D190" i="10"/>
  <c r="H190" i="10"/>
  <c r="AC190" i="10"/>
  <c r="AC246" i="10" s="1"/>
  <c r="K190" i="10"/>
  <c r="AH190" i="10"/>
  <c r="AH246" i="10" s="1"/>
  <c r="X190" i="10"/>
  <c r="X246" i="10" s="1"/>
  <c r="AF190" i="10"/>
  <c r="AF246" i="10" s="1"/>
  <c r="U190" i="10"/>
  <c r="U246" i="10" s="1"/>
  <c r="AO190" i="10"/>
  <c r="AO246" i="10" s="1"/>
  <c r="AS190" i="10"/>
  <c r="AS246" i="10" s="1"/>
  <c r="E190" i="10"/>
  <c r="AR190" i="10"/>
  <c r="AR246" i="10" s="1"/>
  <c r="G190" i="10"/>
  <c r="AA190" i="10"/>
  <c r="AA246" i="10" s="1"/>
  <c r="V190" i="10"/>
  <c r="V246" i="10" s="1"/>
  <c r="AK190" i="10"/>
  <c r="AK246" i="10" s="1"/>
  <c r="Y190" i="10"/>
  <c r="Y246" i="10" s="1"/>
  <c r="L190" i="10"/>
  <c r="AW190" i="10"/>
  <c r="AW246" i="10" s="1"/>
  <c r="AB190" i="10"/>
  <c r="AB246" i="10" s="1"/>
  <c r="W190" i="10"/>
  <c r="W246" i="10" s="1"/>
  <c r="P190" i="10"/>
  <c r="J190" i="10"/>
  <c r="AE190" i="10"/>
  <c r="AE246" i="10" s="1"/>
  <c r="AX190" i="10"/>
  <c r="AX246" i="10" s="1"/>
  <c r="AM190" i="10"/>
  <c r="AM246" i="10" s="1"/>
  <c r="AJ190" i="10"/>
  <c r="AJ246" i="10" s="1"/>
  <c r="AT190" i="10"/>
  <c r="AT246" i="10" s="1"/>
  <c r="AL190" i="10"/>
  <c r="AL246" i="10" s="1"/>
  <c r="AG190" i="10"/>
  <c r="AG246" i="10" s="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C63" i="11"/>
  <c r="P87" i="10"/>
  <c r="Q87" i="10"/>
  <c r="O87" i="10"/>
  <c r="O76" i="10"/>
  <c r="O88" i="10" s="1"/>
  <c r="P76" i="10"/>
  <c r="P88" i="10" s="1"/>
  <c r="Q76" i="10"/>
  <c r="Q88" i="10" s="1"/>
  <c r="O77" i="10"/>
  <c r="P77" i="10"/>
  <c r="Q77" i="10"/>
  <c r="O78" i="10"/>
  <c r="P78" i="10"/>
  <c r="Q78" i="10"/>
  <c r="O79" i="10"/>
  <c r="P79" i="10"/>
  <c r="Q79" i="10"/>
  <c r="O80" i="10"/>
  <c r="P80" i="10"/>
  <c r="Q80" i="10"/>
  <c r="O81" i="10"/>
  <c r="P81" i="10"/>
  <c r="Q81" i="10"/>
  <c r="O82" i="10"/>
  <c r="O92" i="10" s="1"/>
  <c r="P82" i="10"/>
  <c r="P92" i="10" s="1"/>
  <c r="Q82" i="10"/>
  <c r="Q92" i="10" s="1"/>
  <c r="O83" i="10"/>
  <c r="P83" i="10"/>
  <c r="Q83" i="10"/>
  <c r="O84" i="10"/>
  <c r="P84" i="10"/>
  <c r="Q84" i="10"/>
  <c r="Q66" i="10"/>
  <c r="Q256" i="10" s="1"/>
  <c r="P66" i="10"/>
  <c r="P256" i="10" s="1"/>
  <c r="F46" i="10"/>
  <c r="O66" i="10"/>
  <c r="O256" i="10" s="1"/>
  <c r="O20" i="10"/>
  <c r="O42" i="10" s="1"/>
  <c r="P20" i="10"/>
  <c r="P42" i="10" s="1"/>
  <c r="Q20" i="10"/>
  <c r="Q42" i="10" s="1"/>
  <c r="C46" i="13"/>
  <c r="D46" i="13"/>
  <c r="E46" i="13"/>
  <c r="F46" i="13"/>
  <c r="G46" i="13"/>
  <c r="H46" i="13"/>
  <c r="I46" i="13"/>
  <c r="D44" i="13"/>
  <c r="E44" i="13"/>
  <c r="F44" i="13"/>
  <c r="G44" i="13"/>
  <c r="H44" i="13"/>
  <c r="I44" i="13"/>
  <c r="C42" i="13"/>
  <c r="D42" i="13"/>
  <c r="E42" i="13"/>
  <c r="F42" i="13"/>
  <c r="G42" i="13"/>
  <c r="H42" i="13"/>
  <c r="I42" i="13"/>
  <c r="C43" i="13"/>
  <c r="D43" i="13"/>
  <c r="E43" i="13"/>
  <c r="F43" i="13"/>
  <c r="G43" i="13"/>
  <c r="H43" i="13"/>
  <c r="I43" i="13"/>
  <c r="D45" i="13"/>
  <c r="E45" i="13"/>
  <c r="F45" i="13"/>
  <c r="G45" i="13"/>
  <c r="H45" i="13"/>
  <c r="I45" i="13"/>
  <c r="C45" i="13"/>
  <c r="I34" i="13"/>
  <c r="F34" i="13"/>
  <c r="G34" i="13"/>
  <c r="H34" i="13"/>
  <c r="F35" i="13"/>
  <c r="G35" i="13"/>
  <c r="H35" i="13"/>
  <c r="E34" i="13"/>
  <c r="D35" i="13"/>
  <c r="E35" i="13"/>
  <c r="D34" i="13"/>
  <c r="AW65" i="1"/>
  <c r="AW56" i="1"/>
  <c r="AJ65" i="1"/>
  <c r="AJ56" i="1"/>
  <c r="C34" i="13"/>
  <c r="U67" i="1"/>
  <c r="W65" i="1"/>
  <c r="BH65" i="1"/>
  <c r="BJ56" i="1"/>
  <c r="BI56" i="1"/>
  <c r="J25" i="13"/>
  <c r="K25" i="13"/>
  <c r="L25" i="13"/>
  <c r="M25" i="13"/>
  <c r="AN42" i="5"/>
  <c r="J116" i="4"/>
  <c r="J94" i="4"/>
  <c r="Q39" i="4"/>
  <c r="I50" i="4"/>
  <c r="J50" i="4" s="1"/>
  <c r="F37" i="4"/>
  <c r="F36" i="4"/>
  <c r="J15" i="4"/>
  <c r="J14" i="4"/>
  <c r="J13" i="4"/>
  <c r="J12" i="4"/>
  <c r="J11" i="4"/>
  <c r="J10" i="4"/>
  <c r="J9" i="4"/>
  <c r="J8" i="4"/>
  <c r="J7" i="4"/>
  <c r="J6" i="4"/>
  <c r="J26" i="4"/>
  <c r="J25" i="4"/>
  <c r="J24" i="4"/>
  <c r="J23" i="4"/>
  <c r="J22" i="4"/>
  <c r="J21" i="4"/>
  <c r="J20" i="4"/>
  <c r="J19" i="4"/>
  <c r="J18" i="4"/>
  <c r="J17" i="4"/>
  <c r="J28" i="4"/>
  <c r="D25" i="13"/>
  <c r="E25" i="13"/>
  <c r="F25" i="13"/>
  <c r="G25" i="13"/>
  <c r="H25" i="13"/>
  <c r="I25" i="13"/>
  <c r="C25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C24" i="13"/>
  <c r="B75" i="12"/>
  <c r="B74" i="12"/>
  <c r="O75" i="12"/>
  <c r="N75" i="12"/>
  <c r="M75" i="12"/>
  <c r="L75" i="12"/>
  <c r="K75" i="12"/>
  <c r="J75" i="12"/>
  <c r="I75" i="12"/>
  <c r="H75" i="12"/>
  <c r="G75" i="12"/>
  <c r="F75" i="12"/>
  <c r="E75" i="12"/>
  <c r="D75" i="12"/>
  <c r="C75" i="12"/>
  <c r="O74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C63" i="12"/>
  <c r="D63" i="12"/>
  <c r="E63" i="12"/>
  <c r="F63" i="12"/>
  <c r="G63" i="12"/>
  <c r="H63" i="12"/>
  <c r="I63" i="12"/>
  <c r="J63" i="12"/>
  <c r="K63" i="12"/>
  <c r="L63" i="12"/>
  <c r="M63" i="12"/>
  <c r="N63" i="12"/>
  <c r="O63" i="12"/>
  <c r="C64" i="12"/>
  <c r="D64" i="12"/>
  <c r="E64" i="12"/>
  <c r="F64" i="12"/>
  <c r="G64" i="12"/>
  <c r="G68" i="12" s="1"/>
  <c r="H64" i="12"/>
  <c r="I64" i="12"/>
  <c r="J64" i="12"/>
  <c r="K64" i="12"/>
  <c r="K68" i="12" s="1"/>
  <c r="L64" i="12"/>
  <c r="M64" i="12"/>
  <c r="N64" i="12"/>
  <c r="O64" i="12"/>
  <c r="O68" i="12" s="1"/>
  <c r="B64" i="12"/>
  <c r="B68" i="12" s="1"/>
  <c r="O43" i="12"/>
  <c r="N49" i="12"/>
  <c r="O49" i="12"/>
  <c r="N50" i="12"/>
  <c r="O50" i="12"/>
  <c r="N51" i="12"/>
  <c r="O51" i="12"/>
  <c r="N43" i="12"/>
  <c r="M49" i="12"/>
  <c r="M50" i="12"/>
  <c r="M51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X38" i="12"/>
  <c r="X37" i="12"/>
  <c r="M17" i="12"/>
  <c r="M18" i="12"/>
  <c r="M43" i="12"/>
  <c r="L51" i="12"/>
  <c r="L50" i="12"/>
  <c r="L49" i="12"/>
  <c r="L43" i="12"/>
  <c r="K49" i="12"/>
  <c r="K50" i="12"/>
  <c r="K51" i="12"/>
  <c r="K43" i="12"/>
  <c r="J51" i="12"/>
  <c r="J50" i="12"/>
  <c r="J49" i="12"/>
  <c r="J43" i="12"/>
  <c r="G49" i="12"/>
  <c r="H49" i="12"/>
  <c r="I49" i="12"/>
  <c r="G50" i="12"/>
  <c r="H50" i="12"/>
  <c r="I50" i="12"/>
  <c r="G51" i="12"/>
  <c r="H51" i="12"/>
  <c r="I51" i="12"/>
  <c r="I43" i="12"/>
  <c r="H43" i="12"/>
  <c r="G43" i="12"/>
  <c r="F51" i="12"/>
  <c r="F50" i="12"/>
  <c r="F49" i="12"/>
  <c r="F43" i="12"/>
  <c r="E50" i="12"/>
  <c r="E43" i="12"/>
  <c r="E49" i="12"/>
  <c r="E51" i="12"/>
  <c r="C49" i="12"/>
  <c r="D49" i="12"/>
  <c r="C50" i="12"/>
  <c r="D50" i="12"/>
  <c r="C51" i="12"/>
  <c r="D51" i="12"/>
  <c r="D43" i="12"/>
  <c r="C43" i="12"/>
  <c r="B51" i="12"/>
  <c r="B50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B18" i="12"/>
  <c r="C18" i="12"/>
  <c r="D18" i="12"/>
  <c r="E18" i="12"/>
  <c r="F18" i="12"/>
  <c r="G18" i="12"/>
  <c r="H18" i="12"/>
  <c r="I18" i="12"/>
  <c r="J18" i="12"/>
  <c r="K18" i="12"/>
  <c r="L18" i="12"/>
  <c r="N18" i="12"/>
  <c r="O18" i="12"/>
  <c r="C61" i="2"/>
  <c r="B61" i="2"/>
  <c r="C17" i="12"/>
  <c r="D17" i="12"/>
  <c r="E17" i="12"/>
  <c r="F17" i="12"/>
  <c r="G17" i="12"/>
  <c r="H17" i="12"/>
  <c r="I17" i="12"/>
  <c r="J17" i="12"/>
  <c r="K17" i="12"/>
  <c r="L17" i="12"/>
  <c r="N17" i="12"/>
  <c r="O17" i="12"/>
  <c r="B25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B12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B24" i="12"/>
  <c r="C38" i="10"/>
  <c r="Q64" i="11"/>
  <c r="Q65" i="11"/>
  <c r="Q66" i="11"/>
  <c r="Q67" i="11"/>
  <c r="Q57" i="11"/>
  <c r="P64" i="11"/>
  <c r="P65" i="11"/>
  <c r="P66" i="11"/>
  <c r="P67" i="11"/>
  <c r="P57" i="11"/>
  <c r="O64" i="11"/>
  <c r="O65" i="11"/>
  <c r="O66" i="11"/>
  <c r="O67" i="11"/>
  <c r="O57" i="11"/>
  <c r="N64" i="11"/>
  <c r="N65" i="11"/>
  <c r="N66" i="11"/>
  <c r="N67" i="11"/>
  <c r="N57" i="11"/>
  <c r="J64" i="11"/>
  <c r="K64" i="11"/>
  <c r="L64" i="11"/>
  <c r="M64" i="11"/>
  <c r="J65" i="11"/>
  <c r="K65" i="11"/>
  <c r="L65" i="11"/>
  <c r="M65" i="11"/>
  <c r="J66" i="11"/>
  <c r="K66" i="11"/>
  <c r="L66" i="11"/>
  <c r="M66" i="11"/>
  <c r="J67" i="11"/>
  <c r="K67" i="11"/>
  <c r="L67" i="11"/>
  <c r="M67" i="11"/>
  <c r="D64" i="11"/>
  <c r="E64" i="11"/>
  <c r="F64" i="11"/>
  <c r="G64" i="11"/>
  <c r="H64" i="11"/>
  <c r="I64" i="11"/>
  <c r="D65" i="11"/>
  <c r="E65" i="11"/>
  <c r="F65" i="11"/>
  <c r="G65" i="11"/>
  <c r="H65" i="11"/>
  <c r="I65" i="11"/>
  <c r="D66" i="11"/>
  <c r="E66" i="11"/>
  <c r="F66" i="11"/>
  <c r="G66" i="11"/>
  <c r="H66" i="11"/>
  <c r="I66" i="11"/>
  <c r="D67" i="11"/>
  <c r="E67" i="11"/>
  <c r="F67" i="11"/>
  <c r="G67" i="11"/>
  <c r="H67" i="11"/>
  <c r="I67" i="11"/>
  <c r="C67" i="11"/>
  <c r="C66" i="11"/>
  <c r="C65" i="11"/>
  <c r="C64" i="11"/>
  <c r="M57" i="11"/>
  <c r="L57" i="11"/>
  <c r="K57" i="11"/>
  <c r="J57" i="11"/>
  <c r="I57" i="11"/>
  <c r="H57" i="11"/>
  <c r="G57" i="11"/>
  <c r="F57" i="11"/>
  <c r="E57" i="11"/>
  <c r="D57" i="11"/>
  <c r="C57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C24" i="11"/>
  <c r="G48" i="2"/>
  <c r="G51" i="2"/>
  <c r="C32" i="2"/>
  <c r="E26" i="11" s="1"/>
  <c r="D26" i="11"/>
  <c r="F26" i="11"/>
  <c r="G26" i="11"/>
  <c r="H26" i="11"/>
  <c r="J26" i="11"/>
  <c r="K26" i="11"/>
  <c r="L26" i="11"/>
  <c r="N26" i="11"/>
  <c r="O26" i="11"/>
  <c r="P26" i="11"/>
  <c r="C26" i="11"/>
  <c r="C45" i="2"/>
  <c r="C35" i="11"/>
  <c r="B18" i="2"/>
  <c r="C37" i="11"/>
  <c r="C36" i="11"/>
  <c r="C37" i="10"/>
  <c r="C34" i="11"/>
  <c r="C33" i="11"/>
  <c r="C35" i="10"/>
  <c r="D76" i="10"/>
  <c r="D88" i="10" s="1"/>
  <c r="E76" i="10"/>
  <c r="E88" i="10" s="1"/>
  <c r="F76" i="10"/>
  <c r="F88" i="10" s="1"/>
  <c r="G76" i="10"/>
  <c r="G88" i="10" s="1"/>
  <c r="H76" i="10"/>
  <c r="H88" i="10" s="1"/>
  <c r="I76" i="10"/>
  <c r="I88" i="10" s="1"/>
  <c r="J76" i="10"/>
  <c r="K76" i="10"/>
  <c r="K88" i="10" s="1"/>
  <c r="L76" i="10"/>
  <c r="L88" i="10" s="1"/>
  <c r="M76" i="10"/>
  <c r="M88" i="10" s="1"/>
  <c r="N76" i="10"/>
  <c r="N88" i="10" s="1"/>
  <c r="D77" i="10"/>
  <c r="E77" i="10"/>
  <c r="F77" i="10"/>
  <c r="G77" i="10"/>
  <c r="H77" i="10"/>
  <c r="I77" i="10"/>
  <c r="J77" i="10"/>
  <c r="K77" i="10"/>
  <c r="L77" i="10"/>
  <c r="M77" i="10"/>
  <c r="N77" i="10"/>
  <c r="D78" i="10"/>
  <c r="E78" i="10"/>
  <c r="F78" i="10"/>
  <c r="G78" i="10"/>
  <c r="H78" i="10"/>
  <c r="I78" i="10"/>
  <c r="J78" i="10"/>
  <c r="K78" i="10"/>
  <c r="L78" i="10"/>
  <c r="M78" i="10"/>
  <c r="N78" i="10"/>
  <c r="D79" i="10"/>
  <c r="E79" i="10"/>
  <c r="F79" i="10"/>
  <c r="G79" i="10"/>
  <c r="H79" i="10"/>
  <c r="I79" i="10"/>
  <c r="J79" i="10"/>
  <c r="K79" i="10"/>
  <c r="L79" i="10"/>
  <c r="M79" i="10"/>
  <c r="N79" i="10"/>
  <c r="D80" i="10"/>
  <c r="E80" i="10"/>
  <c r="F80" i="10"/>
  <c r="G80" i="10"/>
  <c r="H80" i="10"/>
  <c r="I80" i="10"/>
  <c r="J80" i="10"/>
  <c r="K80" i="10"/>
  <c r="L80" i="10"/>
  <c r="M80" i="10"/>
  <c r="N80" i="10"/>
  <c r="D81" i="10"/>
  <c r="E81" i="10"/>
  <c r="F81" i="10"/>
  <c r="G81" i="10"/>
  <c r="H81" i="10"/>
  <c r="I81" i="10"/>
  <c r="J81" i="10"/>
  <c r="K81" i="10"/>
  <c r="L81" i="10"/>
  <c r="M81" i="10"/>
  <c r="N81" i="10"/>
  <c r="D82" i="10"/>
  <c r="D92" i="10" s="1"/>
  <c r="E82" i="10"/>
  <c r="E92" i="10" s="1"/>
  <c r="F82" i="10"/>
  <c r="F92" i="10" s="1"/>
  <c r="J82" i="10"/>
  <c r="J92" i="10" s="1"/>
  <c r="D84" i="10"/>
  <c r="E84" i="10"/>
  <c r="F84" i="10"/>
  <c r="G84" i="10"/>
  <c r="H84" i="10"/>
  <c r="I84" i="10"/>
  <c r="J84" i="10"/>
  <c r="K84" i="10"/>
  <c r="L84" i="10"/>
  <c r="M84" i="10"/>
  <c r="N84" i="10"/>
  <c r="C78" i="10"/>
  <c r="C79" i="10"/>
  <c r="C80" i="10"/>
  <c r="C81" i="10"/>
  <c r="C82" i="10"/>
  <c r="C92" i="10" s="1"/>
  <c r="C84" i="10"/>
  <c r="K61" i="10"/>
  <c r="G61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C30" i="10"/>
  <c r="C77" i="10"/>
  <c r="C76" i="10"/>
  <c r="C88" i="10" s="1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J88" i="10"/>
  <c r="AX10" i="4"/>
  <c r="AX9" i="4"/>
  <c r="AX8" i="4"/>
  <c r="AX7" i="4"/>
  <c r="AX6" i="4"/>
  <c r="D46" i="10"/>
  <c r="E46" i="10"/>
  <c r="G46" i="10"/>
  <c r="H46" i="10"/>
  <c r="I46" i="10"/>
  <c r="J46" i="10"/>
  <c r="K46" i="10"/>
  <c r="L46" i="10"/>
  <c r="M46" i="10"/>
  <c r="N46" i="10"/>
  <c r="O46" i="10"/>
  <c r="P46" i="10"/>
  <c r="Q46" i="10"/>
  <c r="C46" i="10"/>
  <c r="C42" i="2"/>
  <c r="D40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C40" i="10"/>
  <c r="D44" i="10"/>
  <c r="D49" i="10" s="1"/>
  <c r="D63" i="10" s="1"/>
  <c r="D83" i="10" s="1"/>
  <c r="E44" i="10"/>
  <c r="E49" i="10" s="1"/>
  <c r="F44" i="10"/>
  <c r="F49" i="10" s="1"/>
  <c r="F63" i="10" s="1"/>
  <c r="F66" i="10" s="1"/>
  <c r="F256" i="10" s="1"/>
  <c r="G44" i="10"/>
  <c r="G49" i="10" s="1"/>
  <c r="G63" i="10" s="1"/>
  <c r="G83" i="10" s="1"/>
  <c r="H44" i="10"/>
  <c r="H49" i="10" s="1"/>
  <c r="H63" i="10" s="1"/>
  <c r="H83" i="10" s="1"/>
  <c r="I44" i="10"/>
  <c r="I49" i="10" s="1"/>
  <c r="I63" i="10" s="1"/>
  <c r="I83" i="10" s="1"/>
  <c r="J44" i="10"/>
  <c r="J49" i="10" s="1"/>
  <c r="J63" i="10" s="1"/>
  <c r="J66" i="10" s="1"/>
  <c r="J256" i="10" s="1"/>
  <c r="K44" i="10"/>
  <c r="K49" i="10" s="1"/>
  <c r="K63" i="10" s="1"/>
  <c r="K83" i="10" s="1"/>
  <c r="L44" i="10"/>
  <c r="L49" i="10" s="1"/>
  <c r="L63" i="10" s="1"/>
  <c r="L83" i="10" s="1"/>
  <c r="M44" i="10"/>
  <c r="M49" i="10" s="1"/>
  <c r="M63" i="10" s="1"/>
  <c r="M83" i="10" s="1"/>
  <c r="N44" i="10"/>
  <c r="N49" i="10" s="1"/>
  <c r="O44" i="10"/>
  <c r="O49" i="10" s="1"/>
  <c r="P44" i="10"/>
  <c r="P49" i="10" s="1"/>
  <c r="Q44" i="10"/>
  <c r="Q49" i="10" s="1"/>
  <c r="C44" i="10"/>
  <c r="C49" i="10" s="1"/>
  <c r="C63" i="10" s="1"/>
  <c r="C66" i="10" s="1"/>
  <c r="C256" i="10" s="1"/>
  <c r="M32" i="2"/>
  <c r="G35" i="2"/>
  <c r="G32" i="2" s="1"/>
  <c r="C29" i="2"/>
  <c r="C27" i="2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C36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C34" i="10"/>
  <c r="D20" i="10"/>
  <c r="D42" i="10" s="1"/>
  <c r="E20" i="10"/>
  <c r="E42" i="10" s="1"/>
  <c r="F20" i="10"/>
  <c r="F42" i="10" s="1"/>
  <c r="G20" i="10"/>
  <c r="G42" i="10" s="1"/>
  <c r="H20" i="10"/>
  <c r="H42" i="10" s="1"/>
  <c r="I20" i="10"/>
  <c r="I42" i="10" s="1"/>
  <c r="J20" i="10"/>
  <c r="J42" i="10" s="1"/>
  <c r="K20" i="10"/>
  <c r="K42" i="10" s="1"/>
  <c r="L20" i="10"/>
  <c r="L42" i="10" s="1"/>
  <c r="M20" i="10"/>
  <c r="M42" i="10" s="1"/>
  <c r="N20" i="10"/>
  <c r="N42" i="10" s="1"/>
  <c r="Q25" i="6"/>
  <c r="C20" i="10"/>
  <c r="C42" i="10" s="1"/>
  <c r="D34" i="6"/>
  <c r="D32" i="6"/>
  <c r="D31" i="6"/>
  <c r="F31" i="6" s="1"/>
  <c r="F33" i="6"/>
  <c r="AH23" i="5"/>
  <c r="AM58" i="5"/>
  <c r="AA18" i="5"/>
  <c r="J76" i="12" l="1"/>
  <c r="F76" i="12"/>
  <c r="L68" i="12"/>
  <c r="H68" i="12"/>
  <c r="D68" i="12"/>
  <c r="M76" i="12"/>
  <c r="I76" i="12"/>
  <c r="E76" i="12"/>
  <c r="L76" i="12"/>
  <c r="H76" i="12"/>
  <c r="D76" i="12"/>
  <c r="O76" i="12"/>
  <c r="K76" i="12"/>
  <c r="G76" i="12"/>
  <c r="N68" i="12"/>
  <c r="J68" i="12"/>
  <c r="F68" i="12"/>
  <c r="N76" i="12"/>
  <c r="I25" i="15"/>
  <c r="I154" i="11" s="1"/>
  <c r="I155" i="11" s="1"/>
  <c r="I39" i="15"/>
  <c r="H218" i="10"/>
  <c r="G285" i="10"/>
  <c r="G281" i="10" s="1"/>
  <c r="G286" i="10"/>
  <c r="G342" i="10" s="1"/>
  <c r="D245" i="10"/>
  <c r="D287" i="10"/>
  <c r="D343" i="10" s="1"/>
  <c r="G157" i="11"/>
  <c r="G89" i="11"/>
  <c r="G97" i="11"/>
  <c r="G99" i="11" s="1"/>
  <c r="G100" i="11" s="1"/>
  <c r="G102" i="11" s="1"/>
  <c r="K89" i="11"/>
  <c r="K157" i="11"/>
  <c r="K97" i="11"/>
  <c r="K99" i="11" s="1"/>
  <c r="K100" i="11" s="1"/>
  <c r="K102" i="11" s="1"/>
  <c r="Q97" i="11"/>
  <c r="Q99" i="11" s="1"/>
  <c r="Q100" i="11" s="1"/>
  <c r="Q102" i="11" s="1"/>
  <c r="Q89" i="11"/>
  <c r="Q157" i="11"/>
  <c r="I97" i="11"/>
  <c r="I99" i="11" s="1"/>
  <c r="I100" i="11" s="1"/>
  <c r="I102" i="11" s="1"/>
  <c r="I89" i="11"/>
  <c r="I157" i="11"/>
  <c r="O245" i="10"/>
  <c r="O287" i="10"/>
  <c r="O343" i="10" s="1"/>
  <c r="F157" i="11"/>
  <c r="F97" i="11"/>
  <c r="F99" i="11" s="1"/>
  <c r="F100" i="11" s="1"/>
  <c r="F102" i="11" s="1"/>
  <c r="F89" i="11"/>
  <c r="M25" i="15"/>
  <c r="M154" i="11" s="1"/>
  <c r="M155" i="11" s="1"/>
  <c r="M39" i="15"/>
  <c r="P25" i="15"/>
  <c r="P154" i="11" s="1"/>
  <c r="P155" i="11" s="1"/>
  <c r="P39" i="15"/>
  <c r="N97" i="11"/>
  <c r="N99" i="11" s="1"/>
  <c r="N100" i="11" s="1"/>
  <c r="N102" i="11" s="1"/>
  <c r="N157" i="11"/>
  <c r="N89" i="11"/>
  <c r="M157" i="11"/>
  <c r="M97" i="11"/>
  <c r="M99" i="11" s="1"/>
  <c r="M100" i="11" s="1"/>
  <c r="M102" i="11" s="1"/>
  <c r="M89" i="11"/>
  <c r="P157" i="11"/>
  <c r="P89" i="11"/>
  <c r="P97" i="11"/>
  <c r="P99" i="11" s="1"/>
  <c r="P100" i="11" s="1"/>
  <c r="P102" i="11" s="1"/>
  <c r="H97" i="11"/>
  <c r="H99" i="11" s="1"/>
  <c r="H100" i="11" s="1"/>
  <c r="H102" i="11" s="1"/>
  <c r="H157" i="11"/>
  <c r="H89" i="11"/>
  <c r="Q246" i="10"/>
  <c r="Q290" i="10"/>
  <c r="Q346" i="10" s="1"/>
  <c r="C161" i="11"/>
  <c r="C175" i="11"/>
  <c r="C168" i="11"/>
  <c r="I245" i="10"/>
  <c r="I287" i="10"/>
  <c r="I343" i="10" s="1"/>
  <c r="L25" i="15"/>
  <c r="L154" i="11" s="1"/>
  <c r="L155" i="11" s="1"/>
  <c r="L39" i="15"/>
  <c r="F39" i="15"/>
  <c r="F25" i="15"/>
  <c r="F154" i="11" s="1"/>
  <c r="F155" i="11" s="1"/>
  <c r="L97" i="11"/>
  <c r="L99" i="11" s="1"/>
  <c r="L100" i="11" s="1"/>
  <c r="L102" i="11" s="1"/>
  <c r="L89" i="11"/>
  <c r="L157" i="11"/>
  <c r="D157" i="11"/>
  <c r="D89" i="11"/>
  <c r="D97" i="11"/>
  <c r="D99" i="11" s="1"/>
  <c r="D100" i="11" s="1"/>
  <c r="D102" i="11" s="1"/>
  <c r="N25" i="15"/>
  <c r="N154" i="11" s="1"/>
  <c r="N155" i="11" s="1"/>
  <c r="N39" i="15"/>
  <c r="M245" i="10"/>
  <c r="M287" i="10"/>
  <c r="M343" i="10" s="1"/>
  <c r="P245" i="10"/>
  <c r="P287" i="10"/>
  <c r="P343" i="10" s="1"/>
  <c r="AX245" i="10"/>
  <c r="AX250" i="10" s="1"/>
  <c r="AX257" i="10" s="1"/>
  <c r="AX260" i="10" s="1"/>
  <c r="AH245" i="10"/>
  <c r="AH250" i="10" s="1"/>
  <c r="AH257" i="10" s="1"/>
  <c r="AH260" i="10" s="1"/>
  <c r="O246" i="10"/>
  <c r="O290" i="10"/>
  <c r="O346" i="10" s="1"/>
  <c r="K39" i="15"/>
  <c r="K25" i="15"/>
  <c r="K154" i="11" s="1"/>
  <c r="K155" i="11" s="1"/>
  <c r="L245" i="10"/>
  <c r="L287" i="10"/>
  <c r="L343" i="10" s="1"/>
  <c r="F245" i="10"/>
  <c r="F287" i="10"/>
  <c r="F343" i="10" s="1"/>
  <c r="N245" i="10"/>
  <c r="N287" i="10"/>
  <c r="N343" i="10" s="1"/>
  <c r="E25" i="15"/>
  <c r="E154" i="11" s="1"/>
  <c r="E155" i="11" s="1"/>
  <c r="E39" i="15"/>
  <c r="J25" i="15"/>
  <c r="J154" i="11" s="1"/>
  <c r="J155" i="11" s="1"/>
  <c r="J39" i="15"/>
  <c r="H25" i="15"/>
  <c r="H154" i="11" s="1"/>
  <c r="H155" i="11" s="1"/>
  <c r="H39" i="15"/>
  <c r="G39" i="15"/>
  <c r="G25" i="15"/>
  <c r="G154" i="11" s="1"/>
  <c r="G155" i="11" s="1"/>
  <c r="P246" i="10"/>
  <c r="P290" i="10"/>
  <c r="P346" i="10" s="1"/>
  <c r="K245" i="10"/>
  <c r="K287" i="10"/>
  <c r="K343" i="10" s="1"/>
  <c r="Q161" i="11"/>
  <c r="Q175" i="11"/>
  <c r="Q168" i="11"/>
  <c r="D25" i="15"/>
  <c r="D154" i="11" s="1"/>
  <c r="D155" i="11" s="1"/>
  <c r="D39" i="15"/>
  <c r="O39" i="15"/>
  <c r="O25" i="15"/>
  <c r="O154" i="11" s="1"/>
  <c r="O155" i="11" s="1"/>
  <c r="C287" i="10"/>
  <c r="C343" i="10" s="1"/>
  <c r="E245" i="10"/>
  <c r="E287" i="10"/>
  <c r="E343" i="10" s="1"/>
  <c r="J245" i="10"/>
  <c r="J287" i="10"/>
  <c r="J343" i="10" s="1"/>
  <c r="H245" i="10"/>
  <c r="H287" i="10"/>
  <c r="H343" i="10" s="1"/>
  <c r="O157" i="11"/>
  <c r="O97" i="11"/>
  <c r="O99" i="11" s="1"/>
  <c r="O100" i="11" s="1"/>
  <c r="O102" i="11" s="1"/>
  <c r="O89" i="11"/>
  <c r="C89" i="11"/>
  <c r="C157" i="11"/>
  <c r="C97" i="11"/>
  <c r="C100" i="11" s="1"/>
  <c r="C102" i="11" s="1"/>
  <c r="E97" i="11"/>
  <c r="E99" i="11" s="1"/>
  <c r="E100" i="11" s="1"/>
  <c r="E102" i="11" s="1"/>
  <c r="E89" i="11"/>
  <c r="E157" i="11"/>
  <c r="J157" i="11"/>
  <c r="J97" i="11"/>
  <c r="J99" i="11" s="1"/>
  <c r="J100" i="11" s="1"/>
  <c r="J102" i="11" s="1"/>
  <c r="J89" i="11"/>
  <c r="G245" i="10"/>
  <c r="G287" i="10"/>
  <c r="G343" i="10" s="1"/>
  <c r="O39" i="11"/>
  <c r="B76" i="12"/>
  <c r="M68" i="12"/>
  <c r="I68" i="12"/>
  <c r="E68" i="12"/>
  <c r="J246" i="10"/>
  <c r="J290" i="10"/>
  <c r="K246" i="10"/>
  <c r="K290" i="10"/>
  <c r="M246" i="10"/>
  <c r="M290" i="10"/>
  <c r="H246" i="10"/>
  <c r="H290" i="10"/>
  <c r="L246" i="10"/>
  <c r="L290" i="10"/>
  <c r="E246" i="10"/>
  <c r="E290" i="10"/>
  <c r="N246" i="10"/>
  <c r="N290" i="10"/>
  <c r="I246" i="10"/>
  <c r="G246" i="10"/>
  <c r="G290" i="10"/>
  <c r="F246" i="10"/>
  <c r="F290" i="10"/>
  <c r="C246" i="10"/>
  <c r="C290" i="10"/>
  <c r="D246" i="10"/>
  <c r="D290" i="10"/>
  <c r="K39" i="11"/>
  <c r="C39" i="11"/>
  <c r="G39" i="11"/>
  <c r="P39" i="11"/>
  <c r="H39" i="11"/>
  <c r="J39" i="11"/>
  <c r="N39" i="11"/>
  <c r="F39" i="11"/>
  <c r="E39" i="11"/>
  <c r="L39" i="11"/>
  <c r="D39" i="11"/>
  <c r="I90" i="10"/>
  <c r="L91" i="10"/>
  <c r="D91" i="10"/>
  <c r="O90" i="10"/>
  <c r="G91" i="10"/>
  <c r="P90" i="10"/>
  <c r="Q90" i="10"/>
  <c r="G82" i="10"/>
  <c r="G92" i="10" s="1"/>
  <c r="G220" i="10"/>
  <c r="G289" i="10" s="1"/>
  <c r="G345" i="10" s="1"/>
  <c r="L61" i="10"/>
  <c r="M61" i="10" s="1"/>
  <c r="K220" i="10"/>
  <c r="K289" i="10" s="1"/>
  <c r="K345" i="10" s="1"/>
  <c r="E90" i="10"/>
  <c r="H91" i="10"/>
  <c r="N90" i="10"/>
  <c r="D89" i="10"/>
  <c r="Q91" i="10"/>
  <c r="O89" i="10"/>
  <c r="H89" i="10"/>
  <c r="P89" i="10"/>
  <c r="P91" i="10"/>
  <c r="K90" i="10"/>
  <c r="G90" i="10"/>
  <c r="E89" i="10"/>
  <c r="O91" i="10"/>
  <c r="Q89" i="10"/>
  <c r="I89" i="10"/>
  <c r="N63" i="10"/>
  <c r="N83" i="10" s="1"/>
  <c r="N91" i="10" s="1"/>
  <c r="M91" i="10"/>
  <c r="L90" i="10"/>
  <c r="H90" i="10"/>
  <c r="D90" i="10"/>
  <c r="G89" i="10"/>
  <c r="D66" i="10"/>
  <c r="D256" i="10" s="1"/>
  <c r="K66" i="10"/>
  <c r="K256" i="10" s="1"/>
  <c r="G66" i="10"/>
  <c r="G256" i="10" s="1"/>
  <c r="M48" i="2"/>
  <c r="C48" i="2" s="1"/>
  <c r="C83" i="10"/>
  <c r="C91" i="10" s="1"/>
  <c r="J83" i="10"/>
  <c r="J91" i="10" s="1"/>
  <c r="F83" i="10"/>
  <c r="F91" i="10" s="1"/>
  <c r="Q26" i="11"/>
  <c r="Q39" i="11" s="1"/>
  <c r="M26" i="11"/>
  <c r="M39" i="11" s="1"/>
  <c r="I26" i="11"/>
  <c r="I39" i="11" s="1"/>
  <c r="E63" i="10"/>
  <c r="J89" i="10"/>
  <c r="I91" i="10"/>
  <c r="M89" i="10"/>
  <c r="H61" i="10"/>
  <c r="I61" i="10" s="1"/>
  <c r="C90" i="10"/>
  <c r="K91" i="10"/>
  <c r="K82" i="10"/>
  <c r="K92" i="10" s="1"/>
  <c r="J90" i="10"/>
  <c r="F90" i="10"/>
  <c r="L89" i="10"/>
  <c r="N89" i="10"/>
  <c r="F89" i="10"/>
  <c r="M90" i="10"/>
  <c r="K89" i="10"/>
  <c r="C89" i="10"/>
  <c r="Q94" i="10" l="1"/>
  <c r="AG92" i="10"/>
  <c r="AG88" i="10"/>
  <c r="J91" i="11"/>
  <c r="J92" i="11" s="1"/>
  <c r="J94" i="11" s="1"/>
  <c r="J105" i="11" s="1"/>
  <c r="J187" i="11" s="1"/>
  <c r="J153" i="11"/>
  <c r="E153" i="11"/>
  <c r="E91" i="11"/>
  <c r="E92" i="11" s="1"/>
  <c r="E94" i="11" s="1"/>
  <c r="E105" i="11" s="1"/>
  <c r="E187" i="11" s="1"/>
  <c r="AR245" i="10"/>
  <c r="AB245" i="10"/>
  <c r="J175" i="11"/>
  <c r="J168" i="11"/>
  <c r="J161" i="11"/>
  <c r="AG245" i="10"/>
  <c r="AG250" i="10" s="1"/>
  <c r="AG257" i="10" s="1"/>
  <c r="AG260" i="10" s="1"/>
  <c r="AW245" i="10"/>
  <c r="AW250" i="10" s="1"/>
  <c r="AW257" i="10" s="1"/>
  <c r="AW260" i="10" s="1"/>
  <c r="Z245" i="10"/>
  <c r="AP245" i="10"/>
  <c r="AG91" i="10"/>
  <c r="AG90" i="10"/>
  <c r="J160" i="11"/>
  <c r="J174" i="11"/>
  <c r="J167" i="11"/>
  <c r="H175" i="11"/>
  <c r="H168" i="11"/>
  <c r="H161" i="11"/>
  <c r="E175" i="11"/>
  <c r="E161" i="11"/>
  <c r="E168" i="11"/>
  <c r="AM245" i="10"/>
  <c r="AM250" i="10" s="1"/>
  <c r="AM257" i="10" s="1"/>
  <c r="AM260" i="10" s="1"/>
  <c r="W245" i="10"/>
  <c r="W250" i="10" s="1"/>
  <c r="W257" i="10" s="1"/>
  <c r="W260" i="10" s="1"/>
  <c r="J94" i="10"/>
  <c r="Z89" i="10" s="1"/>
  <c r="AT245" i="10"/>
  <c r="AD245" i="10"/>
  <c r="D153" i="11"/>
  <c r="D91" i="11"/>
  <c r="D92" i="11" s="1"/>
  <c r="D94" i="11" s="1"/>
  <c r="D105" i="11" s="1"/>
  <c r="D187" i="11" s="1"/>
  <c r="L161" i="11"/>
  <c r="L175" i="11"/>
  <c r="L168" i="11"/>
  <c r="M161" i="11"/>
  <c r="M168" i="11"/>
  <c r="G91" i="11"/>
  <c r="G92" i="11" s="1"/>
  <c r="G94" i="11" s="1"/>
  <c r="G105" i="11" s="1"/>
  <c r="G187" i="11" s="1"/>
  <c r="G153" i="11"/>
  <c r="G350" i="10"/>
  <c r="I168" i="11"/>
  <c r="I175" i="11"/>
  <c r="I161" i="11"/>
  <c r="Z91" i="10"/>
  <c r="AN245" i="10"/>
  <c r="X245" i="10"/>
  <c r="E174" i="11"/>
  <c r="E160" i="11"/>
  <c r="E163" i="11" s="1"/>
  <c r="E179" i="11" s="1"/>
  <c r="E189" i="11" s="1"/>
  <c r="E167" i="11"/>
  <c r="E170" i="11" s="1"/>
  <c r="E180" i="11" s="1"/>
  <c r="C174" i="11"/>
  <c r="C177" i="11" s="1"/>
  <c r="C181" i="11" s="1"/>
  <c r="C160" i="11"/>
  <c r="C179" i="11" s="1"/>
  <c r="C189" i="11" s="1"/>
  <c r="C167" i="11"/>
  <c r="C170" i="11" s="1"/>
  <c r="C180" i="11" s="1"/>
  <c r="O174" i="11"/>
  <c r="O167" i="11"/>
  <c r="O160" i="11"/>
  <c r="AQ245" i="10"/>
  <c r="AQ250" i="10" s="1"/>
  <c r="AQ257" i="10" s="1"/>
  <c r="AQ260" i="10" s="1"/>
  <c r="AA245" i="10"/>
  <c r="AA250" i="10" s="1"/>
  <c r="AA257" i="10" s="1"/>
  <c r="AA260" i="10" s="1"/>
  <c r="AJ245" i="10"/>
  <c r="AJ250" i="10" s="1"/>
  <c r="AJ257" i="10" s="1"/>
  <c r="AJ260" i="10" s="1"/>
  <c r="T245" i="10"/>
  <c r="T250" i="10" s="1"/>
  <c r="T257" i="10" s="1"/>
  <c r="T260" i="10" s="1"/>
  <c r="D161" i="11"/>
  <c r="D175" i="11"/>
  <c r="D168" i="11"/>
  <c r="P94" i="10"/>
  <c r="G175" i="11"/>
  <c r="G161" i="11"/>
  <c r="G168" i="11"/>
  <c r="D174" i="11"/>
  <c r="D160" i="11"/>
  <c r="D167" i="11"/>
  <c r="F175" i="11"/>
  <c r="F161" i="11"/>
  <c r="F168" i="11"/>
  <c r="G94" i="10"/>
  <c r="W88" i="10" s="1"/>
  <c r="H153" i="11"/>
  <c r="H91" i="11"/>
  <c r="H92" i="11" s="1"/>
  <c r="H94" i="11" s="1"/>
  <c r="H105" i="11" s="1"/>
  <c r="H187" i="11" s="1"/>
  <c r="P91" i="11"/>
  <c r="P92" i="11" s="1"/>
  <c r="P94" i="11" s="1"/>
  <c r="P105" i="11" s="1"/>
  <c r="P187" i="11" s="1"/>
  <c r="P153" i="11"/>
  <c r="M167" i="11"/>
  <c r="M174" i="11"/>
  <c r="M160" i="11"/>
  <c r="F91" i="11"/>
  <c r="F92" i="11" s="1"/>
  <c r="F94" i="11" s="1"/>
  <c r="F105" i="11" s="1"/>
  <c r="F187" i="11" s="1"/>
  <c r="F153" i="11"/>
  <c r="AF245" i="10"/>
  <c r="AF250" i="10" s="1"/>
  <c r="AF257" i="10" s="1"/>
  <c r="AF260" i="10" s="1"/>
  <c r="AV245" i="10"/>
  <c r="AV250" i="10" s="1"/>
  <c r="AV257" i="10" s="1"/>
  <c r="AV260" i="10" s="1"/>
  <c r="Q160" i="11"/>
  <c r="Q163" i="11" s="1"/>
  <c r="Q179" i="11" s="1"/>
  <c r="Q189" i="11" s="1"/>
  <c r="Q167" i="11"/>
  <c r="Q170" i="11" s="1"/>
  <c r="Q180" i="11" s="1"/>
  <c r="Q174" i="11"/>
  <c r="Q177" i="11" s="1"/>
  <c r="Q181" i="11" s="1"/>
  <c r="K167" i="11"/>
  <c r="K174" i="11"/>
  <c r="K160" i="11"/>
  <c r="G160" i="11"/>
  <c r="G167" i="11"/>
  <c r="G174" i="11"/>
  <c r="D94" i="10"/>
  <c r="O168" i="11"/>
  <c r="O161" i="11"/>
  <c r="O163" i="11" s="1"/>
  <c r="O179" i="11" s="1"/>
  <c r="O189" i="11" s="1"/>
  <c r="O175" i="11"/>
  <c r="O177" i="11" s="1"/>
  <c r="O181" i="11" s="1"/>
  <c r="AE245" i="10"/>
  <c r="AU245" i="10"/>
  <c r="N175" i="11"/>
  <c r="N168" i="11"/>
  <c r="N161" i="11"/>
  <c r="L167" i="11"/>
  <c r="L174" i="11"/>
  <c r="L160" i="11"/>
  <c r="H167" i="11"/>
  <c r="H160" i="11"/>
  <c r="H174" i="11"/>
  <c r="H177" i="11" s="1"/>
  <c r="H181" i="11" s="1"/>
  <c r="P160" i="11"/>
  <c r="P174" i="11"/>
  <c r="P167" i="11"/>
  <c r="N153" i="11"/>
  <c r="N91" i="11"/>
  <c r="N92" i="11" s="1"/>
  <c r="N94" i="11" s="1"/>
  <c r="N105" i="11" s="1"/>
  <c r="N187" i="11" s="1"/>
  <c r="P175" i="11"/>
  <c r="P177" i="11" s="1"/>
  <c r="P181" i="11" s="1"/>
  <c r="P161" i="11"/>
  <c r="P168" i="11"/>
  <c r="P170" i="11" s="1"/>
  <c r="P180" i="11" s="1"/>
  <c r="I167" i="11"/>
  <c r="I174" i="11"/>
  <c r="I160" i="11"/>
  <c r="Q91" i="11"/>
  <c r="Q92" i="11" s="1"/>
  <c r="Q94" i="11" s="1"/>
  <c r="Q105" i="11" s="1"/>
  <c r="Q187" i="11" s="1"/>
  <c r="Q153" i="11"/>
  <c r="K91" i="11"/>
  <c r="K92" i="11" s="1"/>
  <c r="K94" i="11" s="1"/>
  <c r="K105" i="11" s="1"/>
  <c r="K187" i="11" s="1"/>
  <c r="K153" i="11"/>
  <c r="I218" i="10"/>
  <c r="H286" i="10"/>
  <c r="H342" i="10" s="1"/>
  <c r="H285" i="10"/>
  <c r="H281" i="10" s="1"/>
  <c r="C91" i="11"/>
  <c r="C92" i="11" s="1"/>
  <c r="C94" i="11" s="1"/>
  <c r="C187" i="11" s="1"/>
  <c r="C153" i="11"/>
  <c r="AC245" i="10"/>
  <c r="AS245" i="10"/>
  <c r="AG89" i="10"/>
  <c r="O153" i="11"/>
  <c r="O91" i="11"/>
  <c r="O92" i="11" s="1"/>
  <c r="O94" i="11" s="1"/>
  <c r="O105" i="11" s="1"/>
  <c r="O187" i="11" s="1"/>
  <c r="AO245" i="10"/>
  <c r="Y245" i="10"/>
  <c r="V245" i="10"/>
  <c r="V250" i="10" s="1"/>
  <c r="V257" i="10" s="1"/>
  <c r="AL245" i="10"/>
  <c r="AL250" i="10" s="1"/>
  <c r="AL257" i="10" s="1"/>
  <c r="C94" i="10"/>
  <c r="S91" i="10" s="1"/>
  <c r="K175" i="11"/>
  <c r="K168" i="11"/>
  <c r="K161" i="11"/>
  <c r="F94" i="10"/>
  <c r="V90" i="10" s="1"/>
  <c r="L91" i="11"/>
  <c r="L92" i="11" s="1"/>
  <c r="L94" i="11" s="1"/>
  <c r="L105" i="11" s="1"/>
  <c r="L187" i="11" s="1"/>
  <c r="L153" i="11"/>
  <c r="K94" i="10"/>
  <c r="AA88" i="10" s="1"/>
  <c r="M153" i="11"/>
  <c r="M175" i="11" s="1"/>
  <c r="M91" i="11"/>
  <c r="M92" i="11" s="1"/>
  <c r="M94" i="11" s="1"/>
  <c r="M105" i="11" s="1"/>
  <c r="M187" i="11" s="1"/>
  <c r="N167" i="11"/>
  <c r="N174" i="11"/>
  <c r="N160" i="11"/>
  <c r="F174" i="11"/>
  <c r="F160" i="11"/>
  <c r="F167" i="11"/>
  <c r="I153" i="11"/>
  <c r="I91" i="11"/>
  <c r="I92" i="11" s="1"/>
  <c r="I94" i="11" s="1"/>
  <c r="I105" i="11" s="1"/>
  <c r="I187" i="11" s="1"/>
  <c r="U245" i="10"/>
  <c r="U250" i="10" s="1"/>
  <c r="U257" i="10" s="1"/>
  <c r="U260" i="10" s="1"/>
  <c r="AK245" i="10"/>
  <c r="AK250" i="10" s="1"/>
  <c r="AK257" i="10" s="1"/>
  <c r="O94" i="10"/>
  <c r="AE90" i="10" s="1"/>
  <c r="E250" i="10"/>
  <c r="E257" i="10" s="1"/>
  <c r="D250" i="10"/>
  <c r="D257" i="10" s="1"/>
  <c r="D260" i="10" s="1"/>
  <c r="F250" i="10"/>
  <c r="F257" i="10" s="1"/>
  <c r="F260" i="10" s="1"/>
  <c r="C250" i="10"/>
  <c r="C257" i="10" s="1"/>
  <c r="C260" i="10" s="1"/>
  <c r="G346" i="10"/>
  <c r="G292" i="10"/>
  <c r="J346" i="10"/>
  <c r="N346" i="10"/>
  <c r="M346" i="10"/>
  <c r="D292" i="10"/>
  <c r="D346" i="10"/>
  <c r="F346" i="10"/>
  <c r="F292" i="10"/>
  <c r="I346" i="10"/>
  <c r="E292" i="10"/>
  <c r="E346" i="10"/>
  <c r="H346" i="10"/>
  <c r="K346" i="10"/>
  <c r="C346" i="10"/>
  <c r="C292" i="10"/>
  <c r="L346" i="10"/>
  <c r="L66" i="10"/>
  <c r="L256" i="10" s="1"/>
  <c r="AK260" i="10"/>
  <c r="G247" i="10"/>
  <c r="G250" i="10" s="1"/>
  <c r="X220" i="10"/>
  <c r="H82" i="10"/>
  <c r="H92" i="10" s="1"/>
  <c r="H94" i="10" s="1"/>
  <c r="H220" i="10"/>
  <c r="H289" i="10" s="1"/>
  <c r="H345" i="10" s="1"/>
  <c r="AB220" i="10"/>
  <c r="I66" i="10"/>
  <c r="I256" i="10" s="1"/>
  <c r="I220" i="10"/>
  <c r="M66" i="10"/>
  <c r="M256" i="10" s="1"/>
  <c r="M220" i="10"/>
  <c r="M289" i="10" s="1"/>
  <c r="M345" i="10" s="1"/>
  <c r="L82" i="10"/>
  <c r="L92" i="10" s="1"/>
  <c r="L220" i="10"/>
  <c r="L289" i="10" s="1"/>
  <c r="L345" i="10" s="1"/>
  <c r="H66" i="10"/>
  <c r="H256" i="10" s="1"/>
  <c r="E83" i="10"/>
  <c r="E91" i="10" s="1"/>
  <c r="E94" i="10" s="1"/>
  <c r="E66" i="10"/>
  <c r="E256" i="10" s="1"/>
  <c r="N61" i="10"/>
  <c r="M82" i="10"/>
  <c r="M92" i="10" s="1"/>
  <c r="I82" i="10"/>
  <c r="I92" i="10" s="1"/>
  <c r="E50" i="5"/>
  <c r="F50" i="5"/>
  <c r="C191" i="11" l="1"/>
  <c r="C202" i="11" s="1"/>
  <c r="C204" i="11" s="1"/>
  <c r="C245" i="11"/>
  <c r="C248" i="11" s="1"/>
  <c r="E191" i="11"/>
  <c r="E202" i="11" s="1"/>
  <c r="E204" i="11" s="1"/>
  <c r="N170" i="11"/>
  <c r="N180" i="11" s="1"/>
  <c r="D177" i="11"/>
  <c r="D181" i="11" s="1"/>
  <c r="W90" i="10"/>
  <c r="O191" i="11"/>
  <c r="O202" i="11" s="1"/>
  <c r="O204" i="11" s="1"/>
  <c r="I163" i="11"/>
  <c r="I179" i="11" s="1"/>
  <c r="I189" i="11" s="1"/>
  <c r="I191" i="11" s="1"/>
  <c r="I202" i="11" s="1"/>
  <c r="I204" i="11" s="1"/>
  <c r="K163" i="11"/>
  <c r="K179" i="11" s="1"/>
  <c r="K189" i="11" s="1"/>
  <c r="K191" i="11" s="1"/>
  <c r="K202" i="11" s="1"/>
  <c r="K204" i="11" s="1"/>
  <c r="M170" i="11"/>
  <c r="M180" i="11" s="1"/>
  <c r="L177" i="11"/>
  <c r="L181" i="11" s="1"/>
  <c r="W89" i="10"/>
  <c r="AA89" i="10"/>
  <c r="Q191" i="11"/>
  <c r="Q202" i="11" s="1"/>
  <c r="Q204" i="11" s="1"/>
  <c r="M163" i="11"/>
  <c r="M179" i="11" s="1"/>
  <c r="M189" i="11" s="1"/>
  <c r="M191" i="11" s="1"/>
  <c r="M202" i="11" s="1"/>
  <c r="M204" i="11" s="1"/>
  <c r="F170" i="11"/>
  <c r="F180" i="11" s="1"/>
  <c r="I177" i="11"/>
  <c r="I181" i="11" s="1"/>
  <c r="J163" i="11"/>
  <c r="J179" i="11" s="1"/>
  <c r="J189" i="11" s="1"/>
  <c r="J191" i="11" s="1"/>
  <c r="J202" i="11" s="1"/>
  <c r="J204" i="11" s="1"/>
  <c r="F177" i="11"/>
  <c r="F181" i="11" s="1"/>
  <c r="W92" i="10"/>
  <c r="O170" i="11"/>
  <c r="O180" i="11" s="1"/>
  <c r="E177" i="11"/>
  <c r="E181" i="11" s="1"/>
  <c r="V89" i="10"/>
  <c r="W91" i="10"/>
  <c r="X88" i="10"/>
  <c r="X90" i="10"/>
  <c r="X91" i="10"/>
  <c r="X89" i="10"/>
  <c r="I247" i="10"/>
  <c r="I250" i="10" s="1"/>
  <c r="I257" i="10" s="1"/>
  <c r="I289" i="10"/>
  <c r="I345" i="10" s="1"/>
  <c r="U92" i="10"/>
  <c r="U88" i="10"/>
  <c r="U91" i="10"/>
  <c r="H292" i="10"/>
  <c r="S92" i="10"/>
  <c r="S88" i="10"/>
  <c r="H163" i="11"/>
  <c r="H179" i="11" s="1"/>
  <c r="H189" i="11" s="1"/>
  <c r="H191" i="11" s="1"/>
  <c r="H202" i="11" s="1"/>
  <c r="H204" i="11" s="1"/>
  <c r="AF92" i="10"/>
  <c r="AF88" i="10"/>
  <c r="V91" i="10"/>
  <c r="G257" i="10"/>
  <c r="I322" i="10" s="1"/>
  <c r="M94" i="10"/>
  <c r="AC92" i="10" s="1"/>
  <c r="I94" i="10"/>
  <c r="H170" i="11"/>
  <c r="H180" i="11" s="1"/>
  <c r="N163" i="11"/>
  <c r="N179" i="11" s="1"/>
  <c r="N189" i="11" s="1"/>
  <c r="N191" i="11" s="1"/>
  <c r="N202" i="11" s="1"/>
  <c r="N204" i="11" s="1"/>
  <c r="K170" i="11"/>
  <c r="K180" i="11" s="1"/>
  <c r="G170" i="11"/>
  <c r="G180" i="11" s="1"/>
  <c r="D170" i="11"/>
  <c r="D180" i="11" s="1"/>
  <c r="AF90" i="10"/>
  <c r="U89" i="10"/>
  <c r="Z90" i="10"/>
  <c r="L170" i="11"/>
  <c r="L180" i="11" s="1"/>
  <c r="J170" i="11"/>
  <c r="J180" i="11" s="1"/>
  <c r="S89" i="10"/>
  <c r="J177" i="11"/>
  <c r="J181" i="11" s="1"/>
  <c r="U90" i="10"/>
  <c r="V92" i="10"/>
  <c r="V88" i="10"/>
  <c r="AA90" i="10"/>
  <c r="J218" i="10"/>
  <c r="I286" i="10"/>
  <c r="I285" i="10"/>
  <c r="I281" i="10" s="1"/>
  <c r="N177" i="11"/>
  <c r="N181" i="11" s="1"/>
  <c r="T92" i="10"/>
  <c r="T88" i="10"/>
  <c r="M177" i="11"/>
  <c r="M181" i="11" s="1"/>
  <c r="F163" i="11"/>
  <c r="F179" i="11" s="1"/>
  <c r="F189" i="11" s="1"/>
  <c r="F191" i="11" s="1"/>
  <c r="F202" i="11" s="1"/>
  <c r="F204" i="11" s="1"/>
  <c r="G177" i="11"/>
  <c r="G181" i="11" s="1"/>
  <c r="D163" i="11"/>
  <c r="D179" i="11" s="1"/>
  <c r="D189" i="11" s="1"/>
  <c r="D191" i="11" s="1"/>
  <c r="D204" i="11" s="1"/>
  <c r="T89" i="10"/>
  <c r="T90" i="10"/>
  <c r="L163" i="11"/>
  <c r="L179" i="11" s="1"/>
  <c r="L189" i="11" s="1"/>
  <c r="L191" i="11" s="1"/>
  <c r="L202" i="11" s="1"/>
  <c r="L204" i="11" s="1"/>
  <c r="T91" i="10"/>
  <c r="AF91" i="10"/>
  <c r="AE92" i="10"/>
  <c r="AE88" i="10"/>
  <c r="AE89" i="10"/>
  <c r="H350" i="10"/>
  <c r="G163" i="11"/>
  <c r="G179" i="11" s="1"/>
  <c r="G189" i="11" s="1"/>
  <c r="G191" i="11" s="1"/>
  <c r="G202" i="11" s="1"/>
  <c r="G204" i="11" s="1"/>
  <c r="X92" i="10"/>
  <c r="AA91" i="10"/>
  <c r="AA92" i="10"/>
  <c r="P163" i="11"/>
  <c r="P179" i="11" s="1"/>
  <c r="P189" i="11" s="1"/>
  <c r="P191" i="11" s="1"/>
  <c r="P202" i="11" s="1"/>
  <c r="P204" i="11" s="1"/>
  <c r="K177" i="11"/>
  <c r="K181" i="11" s="1"/>
  <c r="AF89" i="10"/>
  <c r="I170" i="11"/>
  <c r="I180" i="11" s="1"/>
  <c r="Z88" i="10"/>
  <c r="Z92" i="10"/>
  <c r="AE91" i="10"/>
  <c r="S90" i="10"/>
  <c r="L94" i="10"/>
  <c r="AB92" i="10" s="1"/>
  <c r="AC220" i="10"/>
  <c r="H247" i="10"/>
  <c r="Y220" i="10"/>
  <c r="N66" i="10"/>
  <c r="N256" i="10" s="1"/>
  <c r="N220" i="10"/>
  <c r="N289" i="10" s="1"/>
  <c r="N345" i="10" s="1"/>
  <c r="AD220" i="10"/>
  <c r="AN220" i="10"/>
  <c r="AN247" i="10" s="1"/>
  <c r="AN250" i="10" s="1"/>
  <c r="AN257" i="10" s="1"/>
  <c r="AN260" i="10" s="1"/>
  <c r="X247" i="10"/>
  <c r="X250" i="10" s="1"/>
  <c r="X257" i="10" s="1"/>
  <c r="X260" i="10" s="1"/>
  <c r="AB247" i="10"/>
  <c r="AB250" i="10" s="1"/>
  <c r="AB257" i="10" s="1"/>
  <c r="AB260" i="10" s="1"/>
  <c r="AR220" i="10"/>
  <c r="AR247" i="10" s="1"/>
  <c r="AR250" i="10" s="1"/>
  <c r="AR257" i="10" s="1"/>
  <c r="AR260" i="10" s="1"/>
  <c r="AL260" i="10"/>
  <c r="V260" i="10"/>
  <c r="E260" i="10"/>
  <c r="Z220" i="10"/>
  <c r="N82" i="10"/>
  <c r="N92" i="10" s="1"/>
  <c r="H16" i="5"/>
  <c r="O26" i="5"/>
  <c r="G260" i="10" l="1"/>
  <c r="I323" i="10"/>
  <c r="I330" i="10"/>
  <c r="I328" i="10"/>
  <c r="I324" i="10"/>
  <c r="I329" i="10"/>
  <c r="I321" i="10"/>
  <c r="I326" i="10"/>
  <c r="I325" i="10"/>
  <c r="I327" i="10"/>
  <c r="K218" i="10"/>
  <c r="J285" i="10"/>
  <c r="J281" i="10" s="1"/>
  <c r="J286" i="10"/>
  <c r="J247" i="10"/>
  <c r="J250" i="10" s="1"/>
  <c r="J257" i="10" s="1"/>
  <c r="J260" i="10" s="1"/>
  <c r="Y88" i="10"/>
  <c r="Y89" i="10"/>
  <c r="Y91" i="10"/>
  <c r="Y90" i="10"/>
  <c r="AC88" i="10"/>
  <c r="AC89" i="10"/>
  <c r="AC91" i="10"/>
  <c r="AC90" i="10"/>
  <c r="Y92" i="10"/>
  <c r="H250" i="10"/>
  <c r="H257" i="10" s="1"/>
  <c r="H260" i="10" s="1"/>
  <c r="N94" i="10"/>
  <c r="AB88" i="10"/>
  <c r="AB89" i="10"/>
  <c r="AB90" i="10"/>
  <c r="AB91" i="10"/>
  <c r="I342" i="10"/>
  <c r="I350" i="10" s="1"/>
  <c r="I292" i="10"/>
  <c r="I260" i="10"/>
  <c r="J324" i="10"/>
  <c r="J328" i="10"/>
  <c r="J327" i="10"/>
  <c r="J325" i="10"/>
  <c r="J329" i="10"/>
  <c r="J322" i="10"/>
  <c r="J326" i="10"/>
  <c r="J330" i="10"/>
  <c r="J323" i="10"/>
  <c r="J321" i="10"/>
  <c r="AD247" i="10"/>
  <c r="AD250" i="10" s="1"/>
  <c r="AD257" i="10" s="1"/>
  <c r="AD260" i="10" s="1"/>
  <c r="AT220" i="10"/>
  <c r="AT247" i="10" s="1"/>
  <c r="AT250" i="10" s="1"/>
  <c r="AT257" i="10" s="1"/>
  <c r="AT260" i="10" s="1"/>
  <c r="AE220" i="10"/>
  <c r="AO220" i="10"/>
  <c r="AO247" i="10" s="1"/>
  <c r="AO250" i="10" s="1"/>
  <c r="AO257" i="10" s="1"/>
  <c r="AO260" i="10" s="1"/>
  <c r="Y247" i="10"/>
  <c r="Y250" i="10" s="1"/>
  <c r="Y257" i="10" s="1"/>
  <c r="Y260" i="10" s="1"/>
  <c r="Z247" i="10"/>
  <c r="Z250" i="10" s="1"/>
  <c r="Z257" i="10" s="1"/>
  <c r="Z260" i="10" s="1"/>
  <c r="AP220" i="10"/>
  <c r="AP247" i="10" s="1"/>
  <c r="AP250" i="10" s="1"/>
  <c r="AP257" i="10" s="1"/>
  <c r="AP260" i="10" s="1"/>
  <c r="AS220" i="10"/>
  <c r="AS247" i="10" s="1"/>
  <c r="AS250" i="10" s="1"/>
  <c r="AS257" i="10" s="1"/>
  <c r="AS260" i="10" s="1"/>
  <c r="AC247" i="10"/>
  <c r="AC250" i="10" s="1"/>
  <c r="AC257" i="10" s="1"/>
  <c r="AC260" i="10" s="1"/>
  <c r="E61" i="5"/>
  <c r="E63" i="5" s="1"/>
  <c r="F61" i="5"/>
  <c r="F122" i="5"/>
  <c r="G122" i="5" s="1"/>
  <c r="M122" i="5" s="1"/>
  <c r="E45" i="5"/>
  <c r="F45" i="5" s="1"/>
  <c r="F79" i="5" s="1"/>
  <c r="E46" i="5"/>
  <c r="F46" i="5" s="1"/>
  <c r="E47" i="5"/>
  <c r="F47" i="5" s="1"/>
  <c r="F98" i="5" s="1"/>
  <c r="E48" i="5"/>
  <c r="F48" i="5" s="1"/>
  <c r="F106" i="5" s="1"/>
  <c r="G106" i="5" s="1"/>
  <c r="E49" i="5"/>
  <c r="F49" i="5" s="1"/>
  <c r="E44" i="5"/>
  <c r="F44" i="5" s="1"/>
  <c r="F75" i="5" s="1"/>
  <c r="AD88" i="10" l="1"/>
  <c r="AD91" i="10"/>
  <c r="AD89" i="10"/>
  <c r="AD90" i="10"/>
  <c r="L218" i="10"/>
  <c r="K285" i="10"/>
  <c r="K286" i="10"/>
  <c r="K247" i="10"/>
  <c r="AD92" i="10"/>
  <c r="J342" i="10"/>
  <c r="J350" i="10" s="1"/>
  <c r="J292" i="10"/>
  <c r="AE247" i="10"/>
  <c r="AE250" i="10" s="1"/>
  <c r="AE257" i="10" s="1"/>
  <c r="AE260" i="10" s="1"/>
  <c r="AU220" i="10"/>
  <c r="AU247" i="10" s="1"/>
  <c r="AU250" i="10" s="1"/>
  <c r="AU257" i="10" s="1"/>
  <c r="AU260" i="10" s="1"/>
  <c r="H106" i="5"/>
  <c r="J106" i="5"/>
  <c r="N106" i="5"/>
  <c r="K106" i="5"/>
  <c r="O106" i="5"/>
  <c r="L106" i="5"/>
  <c r="M106" i="5"/>
  <c r="I106" i="5"/>
  <c r="F90" i="5"/>
  <c r="F87" i="5"/>
  <c r="F91" i="5"/>
  <c r="F88" i="5"/>
  <c r="F92" i="5"/>
  <c r="F85" i="5"/>
  <c r="F89" i="5"/>
  <c r="F93" i="5"/>
  <c r="F86" i="5"/>
  <c r="F102" i="5"/>
  <c r="F94" i="5"/>
  <c r="F82" i="5"/>
  <c r="F78" i="5"/>
  <c r="F101" i="5"/>
  <c r="F97" i="5"/>
  <c r="F81" i="5"/>
  <c r="F77" i="5"/>
  <c r="F73" i="5"/>
  <c r="I122" i="5"/>
  <c r="N122" i="5"/>
  <c r="F100" i="5"/>
  <c r="G100" i="5" s="1"/>
  <c r="F96" i="5"/>
  <c r="F84" i="5"/>
  <c r="F80" i="5"/>
  <c r="F76" i="5"/>
  <c r="J122" i="5"/>
  <c r="H122" i="5"/>
  <c r="F99" i="5"/>
  <c r="F95" i="5"/>
  <c r="F83" i="5"/>
  <c r="L122" i="5"/>
  <c r="F72" i="5"/>
  <c r="F74" i="5"/>
  <c r="O122" i="5"/>
  <c r="K122" i="5"/>
  <c r="G86" i="5"/>
  <c r="G96" i="5"/>
  <c r="G97" i="5"/>
  <c r="G101" i="5"/>
  <c r="G98" i="5"/>
  <c r="G102" i="5"/>
  <c r="G95" i="5"/>
  <c r="G99" i="5"/>
  <c r="G94" i="5"/>
  <c r="G73" i="5"/>
  <c r="F116" i="5"/>
  <c r="G116" i="5" s="1"/>
  <c r="F120" i="5"/>
  <c r="G120" i="5" s="1"/>
  <c r="F112" i="5"/>
  <c r="G112" i="5" s="1"/>
  <c r="F113" i="5"/>
  <c r="G113" i="5" s="1"/>
  <c r="F117" i="5"/>
  <c r="G117" i="5" s="1"/>
  <c r="F114" i="5"/>
  <c r="G114" i="5" s="1"/>
  <c r="F118" i="5"/>
  <c r="G118" i="5" s="1"/>
  <c r="F115" i="5"/>
  <c r="G115" i="5" s="1"/>
  <c r="F119" i="5"/>
  <c r="G119" i="5" s="1"/>
  <c r="G78" i="5"/>
  <c r="G82" i="5"/>
  <c r="G79" i="5"/>
  <c r="G83" i="5"/>
  <c r="G80" i="5"/>
  <c r="G84" i="5"/>
  <c r="G77" i="5"/>
  <c r="G81" i="5"/>
  <c r="G76" i="5"/>
  <c r="G91" i="5"/>
  <c r="G88" i="5"/>
  <c r="F109" i="5"/>
  <c r="G109" i="5" s="1"/>
  <c r="F105" i="5"/>
  <c r="G105" i="5" s="1"/>
  <c r="F129" i="5"/>
  <c r="G129" i="5" s="1"/>
  <c r="F125" i="5"/>
  <c r="G125" i="5" s="1"/>
  <c r="G85" i="5"/>
  <c r="G93" i="5"/>
  <c r="G90" i="5"/>
  <c r="F103" i="5"/>
  <c r="G103" i="5" s="1"/>
  <c r="F108" i="5"/>
  <c r="G108" i="5" s="1"/>
  <c r="F104" i="5"/>
  <c r="G104" i="5" s="1"/>
  <c r="F128" i="5"/>
  <c r="G128" i="5" s="1"/>
  <c r="F124" i="5"/>
  <c r="G124" i="5" s="1"/>
  <c r="F127" i="5"/>
  <c r="G127" i="5" s="1"/>
  <c r="F123" i="5"/>
  <c r="G123" i="5" s="1"/>
  <c r="G92" i="5"/>
  <c r="G87" i="5"/>
  <c r="F111" i="5"/>
  <c r="G111" i="5" s="1"/>
  <c r="F107" i="5"/>
  <c r="G107" i="5" s="1"/>
  <c r="G89" i="5"/>
  <c r="F110" i="5"/>
  <c r="G110" i="5" s="1"/>
  <c r="F121" i="5"/>
  <c r="G121" i="5" s="1"/>
  <c r="F126" i="5"/>
  <c r="G126" i="5" s="1"/>
  <c r="K250" i="10" l="1"/>
  <c r="K257" i="10" s="1"/>
  <c r="K342" i="10"/>
  <c r="K350" i="10" s="1"/>
  <c r="K292" i="10"/>
  <c r="M218" i="10"/>
  <c r="L286" i="10"/>
  <c r="L285" i="10"/>
  <c r="L247" i="10"/>
  <c r="O69" i="5"/>
  <c r="K67" i="5"/>
  <c r="L67" i="5"/>
  <c r="M67" i="5"/>
  <c r="N67" i="5"/>
  <c r="M70" i="5"/>
  <c r="J70" i="5"/>
  <c r="N70" i="5"/>
  <c r="K70" i="5"/>
  <c r="O70" i="5"/>
  <c r="H100" i="5"/>
  <c r="J100" i="5"/>
  <c r="N100" i="5"/>
  <c r="K100" i="5"/>
  <c r="O100" i="5"/>
  <c r="L100" i="5"/>
  <c r="M100" i="5"/>
  <c r="I100" i="5"/>
  <c r="H123" i="5"/>
  <c r="M123" i="5"/>
  <c r="I123" i="5"/>
  <c r="J123" i="5"/>
  <c r="N123" i="5"/>
  <c r="K123" i="5"/>
  <c r="O123" i="5"/>
  <c r="L123" i="5"/>
  <c r="H76" i="5"/>
  <c r="J76" i="5"/>
  <c r="N76" i="5"/>
  <c r="K76" i="5"/>
  <c r="L76" i="5"/>
  <c r="M76" i="5"/>
  <c r="I76" i="5"/>
  <c r="H114" i="5"/>
  <c r="J114" i="5"/>
  <c r="N114" i="5"/>
  <c r="K114" i="5"/>
  <c r="O114" i="5"/>
  <c r="L114" i="5"/>
  <c r="M114" i="5"/>
  <c r="I114" i="5"/>
  <c r="H99" i="5"/>
  <c r="L99" i="5"/>
  <c r="M99" i="5"/>
  <c r="J99" i="5"/>
  <c r="N99" i="5"/>
  <c r="K99" i="5"/>
  <c r="O99" i="5"/>
  <c r="I99" i="5"/>
  <c r="H121" i="5"/>
  <c r="L121" i="5"/>
  <c r="M121" i="5"/>
  <c r="J121" i="5"/>
  <c r="N121" i="5"/>
  <c r="I121" i="5"/>
  <c r="K121" i="5"/>
  <c r="O121" i="5"/>
  <c r="H111" i="5"/>
  <c r="L111" i="5"/>
  <c r="M111" i="5"/>
  <c r="J111" i="5"/>
  <c r="N111" i="5"/>
  <c r="K111" i="5"/>
  <c r="I111" i="5"/>
  <c r="O111" i="5"/>
  <c r="H127" i="5"/>
  <c r="M127" i="5"/>
  <c r="J127" i="5"/>
  <c r="N127" i="5"/>
  <c r="K127" i="5"/>
  <c r="O127" i="5"/>
  <c r="L127" i="5"/>
  <c r="I127" i="5"/>
  <c r="H108" i="5"/>
  <c r="J108" i="5"/>
  <c r="N108" i="5"/>
  <c r="K108" i="5"/>
  <c r="O108" i="5"/>
  <c r="L108" i="5"/>
  <c r="M108" i="5"/>
  <c r="I108" i="5"/>
  <c r="H85" i="5"/>
  <c r="L85" i="5"/>
  <c r="M85" i="5"/>
  <c r="J85" i="5"/>
  <c r="N85" i="5"/>
  <c r="K85" i="5"/>
  <c r="O85" i="5"/>
  <c r="I85" i="5"/>
  <c r="H109" i="5"/>
  <c r="L109" i="5"/>
  <c r="M109" i="5"/>
  <c r="J109" i="5"/>
  <c r="N109" i="5"/>
  <c r="K109" i="5"/>
  <c r="O109" i="5"/>
  <c r="I109" i="5"/>
  <c r="H81" i="5"/>
  <c r="L81" i="5"/>
  <c r="M81" i="5"/>
  <c r="J81" i="5"/>
  <c r="N81" i="5"/>
  <c r="K81" i="5"/>
  <c r="O81" i="5"/>
  <c r="I81" i="5"/>
  <c r="H83" i="5"/>
  <c r="L83" i="5"/>
  <c r="M83" i="5"/>
  <c r="J83" i="5"/>
  <c r="N83" i="5"/>
  <c r="K83" i="5"/>
  <c r="O83" i="5"/>
  <c r="I83" i="5"/>
  <c r="H119" i="5"/>
  <c r="L119" i="5"/>
  <c r="I119" i="5"/>
  <c r="M119" i="5"/>
  <c r="J119" i="5"/>
  <c r="N119" i="5"/>
  <c r="K119" i="5"/>
  <c r="O119" i="5"/>
  <c r="H117" i="5"/>
  <c r="L117" i="5"/>
  <c r="M117" i="5"/>
  <c r="J117" i="5"/>
  <c r="N117" i="5"/>
  <c r="I117" i="5"/>
  <c r="K117" i="5"/>
  <c r="O117" i="5"/>
  <c r="H116" i="5"/>
  <c r="J116" i="5"/>
  <c r="N116" i="5"/>
  <c r="K116" i="5"/>
  <c r="O116" i="5"/>
  <c r="I116" i="5"/>
  <c r="L116" i="5"/>
  <c r="M116" i="5"/>
  <c r="J68" i="5"/>
  <c r="N68" i="5"/>
  <c r="K68" i="5"/>
  <c r="L68" i="5"/>
  <c r="M68" i="5"/>
  <c r="H71" i="5"/>
  <c r="M71" i="5"/>
  <c r="N71" i="5"/>
  <c r="K71" i="5"/>
  <c r="O71" i="5"/>
  <c r="L71" i="5"/>
  <c r="H95" i="5"/>
  <c r="L95" i="5"/>
  <c r="M95" i="5"/>
  <c r="J95" i="5"/>
  <c r="N95" i="5"/>
  <c r="K95" i="5"/>
  <c r="O95" i="5"/>
  <c r="I95" i="5"/>
  <c r="H97" i="5"/>
  <c r="L97" i="5"/>
  <c r="M97" i="5"/>
  <c r="J97" i="5"/>
  <c r="N97" i="5"/>
  <c r="K97" i="5"/>
  <c r="O97" i="5"/>
  <c r="I97" i="5"/>
  <c r="H88" i="5"/>
  <c r="J88" i="5"/>
  <c r="N88" i="5"/>
  <c r="K88" i="5"/>
  <c r="O88" i="5"/>
  <c r="L88" i="5"/>
  <c r="M88" i="5"/>
  <c r="I88" i="5"/>
  <c r="H77" i="5"/>
  <c r="L77" i="5"/>
  <c r="M77" i="5"/>
  <c r="J77" i="5"/>
  <c r="N77" i="5"/>
  <c r="K77" i="5"/>
  <c r="O77" i="5"/>
  <c r="I77" i="5"/>
  <c r="H79" i="5"/>
  <c r="L79" i="5"/>
  <c r="M79" i="5"/>
  <c r="J79" i="5"/>
  <c r="N79" i="5"/>
  <c r="K79" i="5"/>
  <c r="O79" i="5"/>
  <c r="I79" i="5"/>
  <c r="H115" i="5"/>
  <c r="L115" i="5"/>
  <c r="I115" i="5"/>
  <c r="M115" i="5"/>
  <c r="J115" i="5"/>
  <c r="N115" i="5"/>
  <c r="K115" i="5"/>
  <c r="O115" i="5"/>
  <c r="H113" i="5"/>
  <c r="L113" i="5"/>
  <c r="M113" i="5"/>
  <c r="J113" i="5"/>
  <c r="N113" i="5"/>
  <c r="I113" i="5"/>
  <c r="K113" i="5"/>
  <c r="O113" i="5"/>
  <c r="H69" i="5"/>
  <c r="K69" i="5"/>
  <c r="L69" i="5"/>
  <c r="M69" i="5"/>
  <c r="J69" i="5"/>
  <c r="N69" i="5"/>
  <c r="H73" i="5"/>
  <c r="O73" i="5"/>
  <c r="L73" i="5"/>
  <c r="M73" i="5"/>
  <c r="J73" i="5"/>
  <c r="N73" i="5"/>
  <c r="K73" i="5"/>
  <c r="H75" i="5"/>
  <c r="L75" i="5"/>
  <c r="M75" i="5"/>
  <c r="J75" i="5"/>
  <c r="N75" i="5"/>
  <c r="K75" i="5"/>
  <c r="H102" i="5"/>
  <c r="J102" i="5"/>
  <c r="N102" i="5"/>
  <c r="K102" i="5"/>
  <c r="O102" i="5"/>
  <c r="L102" i="5"/>
  <c r="M102" i="5"/>
  <c r="I102" i="5"/>
  <c r="H126" i="5"/>
  <c r="K126" i="5"/>
  <c r="O126" i="5"/>
  <c r="L126" i="5"/>
  <c r="M126" i="5"/>
  <c r="J126" i="5"/>
  <c r="N126" i="5"/>
  <c r="I126" i="5"/>
  <c r="H104" i="5"/>
  <c r="J104" i="5"/>
  <c r="N104" i="5"/>
  <c r="K104" i="5"/>
  <c r="O104" i="5"/>
  <c r="L104" i="5"/>
  <c r="M104" i="5"/>
  <c r="I104" i="5"/>
  <c r="H93" i="5"/>
  <c r="L93" i="5"/>
  <c r="M93" i="5"/>
  <c r="J93" i="5"/>
  <c r="N93" i="5"/>
  <c r="K93" i="5"/>
  <c r="O93" i="5"/>
  <c r="I93" i="5"/>
  <c r="H78" i="5"/>
  <c r="J78" i="5"/>
  <c r="N78" i="5"/>
  <c r="K78" i="5"/>
  <c r="O78" i="5"/>
  <c r="L78" i="5"/>
  <c r="M78" i="5"/>
  <c r="I78" i="5"/>
  <c r="H110" i="5"/>
  <c r="J110" i="5"/>
  <c r="N110" i="5"/>
  <c r="K110" i="5"/>
  <c r="O110" i="5"/>
  <c r="L110" i="5"/>
  <c r="M110" i="5"/>
  <c r="I110" i="5"/>
  <c r="H87" i="5"/>
  <c r="L87" i="5"/>
  <c r="M87" i="5"/>
  <c r="J87" i="5"/>
  <c r="N87" i="5"/>
  <c r="K87" i="5"/>
  <c r="O87" i="5"/>
  <c r="I87" i="5"/>
  <c r="H124" i="5"/>
  <c r="K124" i="5"/>
  <c r="O124" i="5"/>
  <c r="L124" i="5"/>
  <c r="I124" i="5"/>
  <c r="M124" i="5"/>
  <c r="J124" i="5"/>
  <c r="N124" i="5"/>
  <c r="H103" i="5"/>
  <c r="L103" i="5"/>
  <c r="M103" i="5"/>
  <c r="J103" i="5"/>
  <c r="N103" i="5"/>
  <c r="K103" i="5"/>
  <c r="O103" i="5"/>
  <c r="I103" i="5"/>
  <c r="H125" i="5"/>
  <c r="M125" i="5"/>
  <c r="J125" i="5"/>
  <c r="N125" i="5"/>
  <c r="K125" i="5"/>
  <c r="O125" i="5"/>
  <c r="I125" i="5"/>
  <c r="L125" i="5"/>
  <c r="H89" i="5"/>
  <c r="L89" i="5"/>
  <c r="M89" i="5"/>
  <c r="J89" i="5"/>
  <c r="N89" i="5"/>
  <c r="K89" i="5"/>
  <c r="O89" i="5"/>
  <c r="I89" i="5"/>
  <c r="H92" i="5"/>
  <c r="J92" i="5"/>
  <c r="N92" i="5"/>
  <c r="K92" i="5"/>
  <c r="O92" i="5"/>
  <c r="L92" i="5"/>
  <c r="M92" i="5"/>
  <c r="I92" i="5"/>
  <c r="H128" i="5"/>
  <c r="K128" i="5"/>
  <c r="O128" i="5"/>
  <c r="L128" i="5"/>
  <c r="I128" i="5"/>
  <c r="M128" i="5"/>
  <c r="J128" i="5"/>
  <c r="N128" i="5"/>
  <c r="H90" i="5"/>
  <c r="J90" i="5"/>
  <c r="N90" i="5"/>
  <c r="K90" i="5"/>
  <c r="O90" i="5"/>
  <c r="L90" i="5"/>
  <c r="M90" i="5"/>
  <c r="I90" i="5"/>
  <c r="H129" i="5"/>
  <c r="M129" i="5"/>
  <c r="J129" i="5"/>
  <c r="N129" i="5"/>
  <c r="O129" i="5"/>
  <c r="I129" i="5"/>
  <c r="L129" i="5"/>
  <c r="H91" i="5"/>
  <c r="L91" i="5"/>
  <c r="M91" i="5"/>
  <c r="J91" i="5"/>
  <c r="N91" i="5"/>
  <c r="K91" i="5"/>
  <c r="O91" i="5"/>
  <c r="I91" i="5"/>
  <c r="H84" i="5"/>
  <c r="J84" i="5"/>
  <c r="N84" i="5"/>
  <c r="K84" i="5"/>
  <c r="O84" i="5"/>
  <c r="L84" i="5"/>
  <c r="M84" i="5"/>
  <c r="I84" i="5"/>
  <c r="H82" i="5"/>
  <c r="J82" i="5"/>
  <c r="N82" i="5"/>
  <c r="K82" i="5"/>
  <c r="O82" i="5"/>
  <c r="L82" i="5"/>
  <c r="M82" i="5"/>
  <c r="I82" i="5"/>
  <c r="H118" i="5"/>
  <c r="J118" i="5"/>
  <c r="N118" i="5"/>
  <c r="K118" i="5"/>
  <c r="O118" i="5"/>
  <c r="L118" i="5"/>
  <c r="M118" i="5"/>
  <c r="I118" i="5"/>
  <c r="H112" i="5"/>
  <c r="J112" i="5"/>
  <c r="N112" i="5"/>
  <c r="K112" i="5"/>
  <c r="O112" i="5"/>
  <c r="I112" i="5"/>
  <c r="L112" i="5"/>
  <c r="M112" i="5"/>
  <c r="H94" i="5"/>
  <c r="J94" i="5"/>
  <c r="N94" i="5"/>
  <c r="K94" i="5"/>
  <c r="O94" i="5"/>
  <c r="L94" i="5"/>
  <c r="M94" i="5"/>
  <c r="I94" i="5"/>
  <c r="H98" i="5"/>
  <c r="J98" i="5"/>
  <c r="N98" i="5"/>
  <c r="K98" i="5"/>
  <c r="O98" i="5"/>
  <c r="L98" i="5"/>
  <c r="M98" i="5"/>
  <c r="I98" i="5"/>
  <c r="H96" i="5"/>
  <c r="J96" i="5"/>
  <c r="N96" i="5"/>
  <c r="K96" i="5"/>
  <c r="O96" i="5"/>
  <c r="L96" i="5"/>
  <c r="M96" i="5"/>
  <c r="I96" i="5"/>
  <c r="H107" i="5"/>
  <c r="L107" i="5"/>
  <c r="M107" i="5"/>
  <c r="J107" i="5"/>
  <c r="N107" i="5"/>
  <c r="K107" i="5"/>
  <c r="O107" i="5"/>
  <c r="I107" i="5"/>
  <c r="H105" i="5"/>
  <c r="L105" i="5"/>
  <c r="M105" i="5"/>
  <c r="J105" i="5"/>
  <c r="N105" i="5"/>
  <c r="K105" i="5"/>
  <c r="O105" i="5"/>
  <c r="I105" i="5"/>
  <c r="H80" i="5"/>
  <c r="J80" i="5"/>
  <c r="N80" i="5"/>
  <c r="K80" i="5"/>
  <c r="O80" i="5"/>
  <c r="L80" i="5"/>
  <c r="M80" i="5"/>
  <c r="I80" i="5"/>
  <c r="H120" i="5"/>
  <c r="J120" i="5"/>
  <c r="N120" i="5"/>
  <c r="K120" i="5"/>
  <c r="O120" i="5"/>
  <c r="I120" i="5"/>
  <c r="L120" i="5"/>
  <c r="M120" i="5"/>
  <c r="H72" i="5"/>
  <c r="N72" i="5"/>
  <c r="K72" i="5"/>
  <c r="O72" i="5"/>
  <c r="L72" i="5"/>
  <c r="I72" i="5"/>
  <c r="M72" i="5"/>
  <c r="J72" i="5"/>
  <c r="H74" i="5"/>
  <c r="M74" i="5"/>
  <c r="J74" i="5"/>
  <c r="N74" i="5"/>
  <c r="K74" i="5"/>
  <c r="O74" i="5"/>
  <c r="L74" i="5"/>
  <c r="H101" i="5"/>
  <c r="L101" i="5"/>
  <c r="M101" i="5"/>
  <c r="N101" i="5"/>
  <c r="K101" i="5"/>
  <c r="O101" i="5"/>
  <c r="I101" i="5"/>
  <c r="H86" i="5"/>
  <c r="J86" i="5"/>
  <c r="N86" i="5"/>
  <c r="K86" i="5"/>
  <c r="O86" i="5"/>
  <c r="L86" i="5"/>
  <c r="M86" i="5"/>
  <c r="I86" i="5"/>
  <c r="AN41" i="5"/>
  <c r="AN44" i="5"/>
  <c r="AN45" i="5"/>
  <c r="AN46" i="5"/>
  <c r="AP33" i="5"/>
  <c r="AS33" i="5" s="1"/>
  <c r="AP34" i="5"/>
  <c r="AP35" i="5"/>
  <c r="AP36" i="5"/>
  <c r="AS36" i="5" s="1"/>
  <c r="AP37" i="5"/>
  <c r="AS37" i="5" s="1"/>
  <c r="AP38" i="5"/>
  <c r="AS38" i="5" s="1"/>
  <c r="AP32" i="5"/>
  <c r="AS32" i="5" s="1"/>
  <c r="AO33" i="5"/>
  <c r="AO34" i="5"/>
  <c r="AO35" i="5"/>
  <c r="AO36" i="5"/>
  <c r="AO37" i="5"/>
  <c r="AO38" i="5"/>
  <c r="AO32" i="5"/>
  <c r="AM33" i="5"/>
  <c r="AR33" i="5" s="1"/>
  <c r="AM34" i="5"/>
  <c r="AR34" i="5" s="1"/>
  <c r="AM35" i="5"/>
  <c r="AS35" i="5" s="1"/>
  <c r="AM36" i="5"/>
  <c r="AR36" i="5" s="1"/>
  <c r="AM37" i="5"/>
  <c r="AR37" i="5" s="1"/>
  <c r="AM38" i="5"/>
  <c r="AR38" i="5" s="1"/>
  <c r="AM32" i="5"/>
  <c r="AR32" i="5" s="1"/>
  <c r="AS25" i="5"/>
  <c r="AS26" i="5"/>
  <c r="AS27" i="5"/>
  <c r="AS28" i="5"/>
  <c r="AS29" i="5"/>
  <c r="AS30" i="5"/>
  <c r="AS24" i="5"/>
  <c r="AR26" i="5"/>
  <c r="AR27" i="5"/>
  <c r="AR28" i="5"/>
  <c r="AR29" i="5"/>
  <c r="AR30" i="5"/>
  <c r="AR24" i="5"/>
  <c r="AN59" i="5"/>
  <c r="AO59" i="5"/>
  <c r="AP59" i="5"/>
  <c r="AQ59" i="5"/>
  <c r="AR59" i="5"/>
  <c r="AS59" i="5"/>
  <c r="AN60" i="5"/>
  <c r="AO60" i="5"/>
  <c r="AP60" i="5"/>
  <c r="AQ60" i="5"/>
  <c r="AR60" i="5"/>
  <c r="AS60" i="5"/>
  <c r="AN61" i="5"/>
  <c r="AO61" i="5"/>
  <c r="AP61" i="5"/>
  <c r="AQ61" i="5"/>
  <c r="AR61" i="5"/>
  <c r="AS61" i="5"/>
  <c r="AN62" i="5"/>
  <c r="AO62" i="5"/>
  <c r="AP62" i="5"/>
  <c r="AQ62" i="5"/>
  <c r="AR62" i="5"/>
  <c r="AS62" i="5"/>
  <c r="AN63" i="5"/>
  <c r="AO63" i="5"/>
  <c r="AP63" i="5"/>
  <c r="AQ63" i="5"/>
  <c r="AR63" i="5"/>
  <c r="AS63" i="5"/>
  <c r="AN64" i="5"/>
  <c r="AO64" i="5"/>
  <c r="AP64" i="5"/>
  <c r="AQ64" i="5"/>
  <c r="AR64" i="5"/>
  <c r="AS64" i="5"/>
  <c r="AN65" i="5"/>
  <c r="AO65" i="5"/>
  <c r="AP65" i="5"/>
  <c r="AQ65" i="5"/>
  <c r="AR65" i="5"/>
  <c r="AS65" i="5"/>
  <c r="AN66" i="5"/>
  <c r="AO66" i="5"/>
  <c r="AP66" i="5"/>
  <c r="AQ66" i="5"/>
  <c r="AR66" i="5"/>
  <c r="AS66" i="5"/>
  <c r="AN67" i="5"/>
  <c r="AO67" i="5"/>
  <c r="AP67" i="5"/>
  <c r="AQ67" i="5"/>
  <c r="AR67" i="5"/>
  <c r="AS67" i="5"/>
  <c r="AN68" i="5"/>
  <c r="AO68" i="5"/>
  <c r="AP68" i="5"/>
  <c r="AQ68" i="5"/>
  <c r="AR68" i="5"/>
  <c r="AS68" i="5"/>
  <c r="AN69" i="5"/>
  <c r="AO69" i="5"/>
  <c r="AP69" i="5"/>
  <c r="AQ69" i="5"/>
  <c r="AR69" i="5"/>
  <c r="AS69" i="5"/>
  <c r="AN70" i="5"/>
  <c r="AO70" i="5"/>
  <c r="AP70" i="5"/>
  <c r="AQ70" i="5"/>
  <c r="AR70" i="5"/>
  <c r="AS70" i="5"/>
  <c r="AN71" i="5"/>
  <c r="AO71" i="5"/>
  <c r="AP71" i="5"/>
  <c r="AQ71" i="5"/>
  <c r="AR71" i="5"/>
  <c r="AS71" i="5"/>
  <c r="AN72" i="5"/>
  <c r="AO72" i="5"/>
  <c r="AP72" i="5"/>
  <c r="AQ72" i="5"/>
  <c r="AR72" i="5"/>
  <c r="AS72" i="5"/>
  <c r="AN73" i="5"/>
  <c r="AO73" i="5"/>
  <c r="AP73" i="5"/>
  <c r="AQ73" i="5"/>
  <c r="AR73" i="5"/>
  <c r="AS73" i="5"/>
  <c r="AN74" i="5"/>
  <c r="AO74" i="5"/>
  <c r="AP74" i="5"/>
  <c r="AQ74" i="5"/>
  <c r="AR74" i="5"/>
  <c r="AS74" i="5"/>
  <c r="AN75" i="5"/>
  <c r="AO75" i="5"/>
  <c r="AP75" i="5"/>
  <c r="AQ75" i="5"/>
  <c r="AR75" i="5"/>
  <c r="AS75" i="5"/>
  <c r="AN76" i="5"/>
  <c r="AO76" i="5"/>
  <c r="AP76" i="5"/>
  <c r="AQ76" i="5"/>
  <c r="AR76" i="5"/>
  <c r="AS76" i="5"/>
  <c r="AN77" i="5"/>
  <c r="AO77" i="5"/>
  <c r="AP77" i="5"/>
  <c r="AQ77" i="5"/>
  <c r="AR77" i="5"/>
  <c r="AS77" i="5"/>
  <c r="AN78" i="5"/>
  <c r="AO78" i="5"/>
  <c r="AP78" i="5"/>
  <c r="AQ78" i="5"/>
  <c r="AR78" i="5"/>
  <c r="AS78" i="5"/>
  <c r="AN79" i="5"/>
  <c r="AO79" i="5"/>
  <c r="AP79" i="5"/>
  <c r="AQ79" i="5"/>
  <c r="AR79" i="5"/>
  <c r="AS79" i="5"/>
  <c r="AN80" i="5"/>
  <c r="AO80" i="5"/>
  <c r="AP80" i="5"/>
  <c r="AQ80" i="5"/>
  <c r="AR80" i="5"/>
  <c r="AS80" i="5"/>
  <c r="AN81" i="5"/>
  <c r="AO81" i="5"/>
  <c r="AP81" i="5"/>
  <c r="AQ81" i="5"/>
  <c r="AR81" i="5"/>
  <c r="AS81" i="5"/>
  <c r="AN82" i="5"/>
  <c r="AO82" i="5"/>
  <c r="AP82" i="5"/>
  <c r="AQ82" i="5"/>
  <c r="AR82" i="5"/>
  <c r="AS82" i="5"/>
  <c r="AN83" i="5"/>
  <c r="AO83" i="5"/>
  <c r="AP83" i="5"/>
  <c r="AQ83" i="5"/>
  <c r="AR83" i="5"/>
  <c r="AS83" i="5"/>
  <c r="AN58" i="5"/>
  <c r="AO58" i="5"/>
  <c r="AP58" i="5"/>
  <c r="AQ58" i="5"/>
  <c r="AQ85" i="5" s="1"/>
  <c r="AR58" i="5"/>
  <c r="AR85" i="5" s="1"/>
  <c r="AS58" i="5"/>
  <c r="AE59" i="5"/>
  <c r="AF59" i="5"/>
  <c r="AG59" i="5"/>
  <c r="AH59" i="5"/>
  <c r="AI59" i="5"/>
  <c r="AJ59" i="5"/>
  <c r="AE60" i="5"/>
  <c r="AF60" i="5"/>
  <c r="AG60" i="5"/>
  <c r="AH60" i="5"/>
  <c r="AI60" i="5"/>
  <c r="AJ60" i="5"/>
  <c r="AE61" i="5"/>
  <c r="AF61" i="5"/>
  <c r="AG61" i="5"/>
  <c r="AH61" i="5"/>
  <c r="AI61" i="5"/>
  <c r="AJ61" i="5"/>
  <c r="AE62" i="5"/>
  <c r="AF62" i="5"/>
  <c r="AG62" i="5"/>
  <c r="AH62" i="5"/>
  <c r="AI62" i="5"/>
  <c r="AJ62" i="5"/>
  <c r="AE63" i="5"/>
  <c r="AF63" i="5"/>
  <c r="AG63" i="5"/>
  <c r="AH63" i="5"/>
  <c r="AI63" i="5"/>
  <c r="AJ63" i="5"/>
  <c r="AE64" i="5"/>
  <c r="AF64" i="5"/>
  <c r="AG64" i="5"/>
  <c r="AH64" i="5"/>
  <c r="AI64" i="5"/>
  <c r="AJ64" i="5"/>
  <c r="AE65" i="5"/>
  <c r="AF65" i="5"/>
  <c r="AG65" i="5"/>
  <c r="AH65" i="5"/>
  <c r="AI65" i="5"/>
  <c r="AJ65" i="5"/>
  <c r="AE66" i="5"/>
  <c r="AF66" i="5"/>
  <c r="AG66" i="5"/>
  <c r="AH66" i="5"/>
  <c r="AI66" i="5"/>
  <c r="AJ66" i="5"/>
  <c r="AE67" i="5"/>
  <c r="AF67" i="5"/>
  <c r="AG67" i="5"/>
  <c r="AH67" i="5"/>
  <c r="AI67" i="5"/>
  <c r="AJ67" i="5"/>
  <c r="AE68" i="5"/>
  <c r="AF68" i="5"/>
  <c r="AG68" i="5"/>
  <c r="AH68" i="5"/>
  <c r="AI68" i="5"/>
  <c r="AJ68" i="5"/>
  <c r="AE69" i="5"/>
  <c r="AF69" i="5"/>
  <c r="AG69" i="5"/>
  <c r="AH69" i="5"/>
  <c r="AI69" i="5"/>
  <c r="AJ69" i="5"/>
  <c r="AE70" i="5"/>
  <c r="AF70" i="5"/>
  <c r="AG70" i="5"/>
  <c r="AH70" i="5"/>
  <c r="AI70" i="5"/>
  <c r="AJ70" i="5"/>
  <c r="AE71" i="5"/>
  <c r="AF71" i="5"/>
  <c r="AG71" i="5"/>
  <c r="AH71" i="5"/>
  <c r="AI71" i="5"/>
  <c r="AJ71" i="5"/>
  <c r="AE72" i="5"/>
  <c r="AF72" i="5"/>
  <c r="AG72" i="5"/>
  <c r="AH72" i="5"/>
  <c r="AI72" i="5"/>
  <c r="AJ72" i="5"/>
  <c r="AD73" i="5"/>
  <c r="AE73" i="5"/>
  <c r="AF73" i="5"/>
  <c r="AG73" i="5"/>
  <c r="AH73" i="5"/>
  <c r="AI73" i="5"/>
  <c r="AJ73" i="5"/>
  <c r="AE74" i="5"/>
  <c r="AF74" i="5"/>
  <c r="AG74" i="5"/>
  <c r="AH74" i="5"/>
  <c r="AI74" i="5"/>
  <c r="AJ74" i="5"/>
  <c r="AE75" i="5"/>
  <c r="AF75" i="5"/>
  <c r="AG75" i="5"/>
  <c r="AH75" i="5"/>
  <c r="AI75" i="5"/>
  <c r="AJ75" i="5"/>
  <c r="AE76" i="5"/>
  <c r="AF76" i="5"/>
  <c r="AG76" i="5"/>
  <c r="AH76" i="5"/>
  <c r="AI76" i="5"/>
  <c r="AJ76" i="5"/>
  <c r="AD77" i="5"/>
  <c r="AE77" i="5"/>
  <c r="AF77" i="5"/>
  <c r="AG77" i="5"/>
  <c r="AH77" i="5"/>
  <c r="AI77" i="5"/>
  <c r="AJ77" i="5"/>
  <c r="AE78" i="5"/>
  <c r="AF78" i="5"/>
  <c r="AG78" i="5"/>
  <c r="AH78" i="5"/>
  <c r="AI78" i="5"/>
  <c r="AJ78" i="5"/>
  <c r="AE79" i="5"/>
  <c r="AF79" i="5"/>
  <c r="AG79" i="5"/>
  <c r="AH79" i="5"/>
  <c r="AI79" i="5"/>
  <c r="AJ79" i="5"/>
  <c r="AE80" i="5"/>
  <c r="AF80" i="5"/>
  <c r="AG80" i="5"/>
  <c r="AH80" i="5"/>
  <c r="AI80" i="5"/>
  <c r="AJ80" i="5"/>
  <c r="AD81" i="5"/>
  <c r="AE81" i="5"/>
  <c r="AF81" i="5"/>
  <c r="AG81" i="5"/>
  <c r="AH81" i="5"/>
  <c r="AI81" i="5"/>
  <c r="AJ81" i="5"/>
  <c r="AE82" i="5"/>
  <c r="AF82" i="5"/>
  <c r="AG82" i="5"/>
  <c r="AH82" i="5"/>
  <c r="AI82" i="5"/>
  <c r="AJ82" i="5"/>
  <c r="AE83" i="5"/>
  <c r="AF83" i="5"/>
  <c r="AG83" i="5"/>
  <c r="AH83" i="5"/>
  <c r="AI83" i="5"/>
  <c r="AJ83" i="5"/>
  <c r="AE58" i="5"/>
  <c r="AF58" i="5"/>
  <c r="AF85" i="5" s="1"/>
  <c r="AG58" i="5"/>
  <c r="AH58" i="5"/>
  <c r="AI58" i="5"/>
  <c r="AJ58" i="5"/>
  <c r="AJ85" i="5" s="1"/>
  <c r="AC24" i="5"/>
  <c r="AD24" i="5"/>
  <c r="AE24" i="5"/>
  <c r="AF24" i="5"/>
  <c r="AG24" i="5"/>
  <c r="AH24" i="5"/>
  <c r="AC25" i="5"/>
  <c r="AD25" i="5"/>
  <c r="AE25" i="5"/>
  <c r="AF25" i="5"/>
  <c r="AG25" i="5"/>
  <c r="AH25" i="5"/>
  <c r="AC26" i="5"/>
  <c r="AD26" i="5"/>
  <c r="AE26" i="5"/>
  <c r="AF26" i="5"/>
  <c r="AG26" i="5"/>
  <c r="AH26" i="5"/>
  <c r="AB27" i="5"/>
  <c r="AC27" i="5"/>
  <c r="AD27" i="5"/>
  <c r="AE27" i="5"/>
  <c r="AF27" i="5"/>
  <c r="AG27" i="5"/>
  <c r="AH27" i="5"/>
  <c r="AC28" i="5"/>
  <c r="AD28" i="5"/>
  <c r="AE28" i="5"/>
  <c r="AF28" i="5"/>
  <c r="AG28" i="5"/>
  <c r="AH28" i="5"/>
  <c r="AC29" i="5"/>
  <c r="AD29" i="5"/>
  <c r="AE29" i="5"/>
  <c r="AF29" i="5"/>
  <c r="AG29" i="5"/>
  <c r="AH29" i="5"/>
  <c r="AC30" i="5"/>
  <c r="AD30" i="5"/>
  <c r="AE30" i="5"/>
  <c r="AF30" i="5"/>
  <c r="AG30" i="5"/>
  <c r="AH30" i="5"/>
  <c r="AB31" i="5"/>
  <c r="AC31" i="5"/>
  <c r="AD31" i="5"/>
  <c r="AE31" i="5"/>
  <c r="AF31" i="5"/>
  <c r="AG31" i="5"/>
  <c r="AH31" i="5"/>
  <c r="AC32" i="5"/>
  <c r="AD32" i="5"/>
  <c r="AE32" i="5"/>
  <c r="AF32" i="5"/>
  <c r="AG32" i="5"/>
  <c r="AH32" i="5"/>
  <c r="AC33" i="5"/>
  <c r="AD33" i="5"/>
  <c r="AE33" i="5"/>
  <c r="AF33" i="5"/>
  <c r="AG33" i="5"/>
  <c r="AH33" i="5"/>
  <c r="AC34" i="5"/>
  <c r="AD34" i="5"/>
  <c r="AE34" i="5"/>
  <c r="AF34" i="5"/>
  <c r="AG34" i="5"/>
  <c r="AH34" i="5"/>
  <c r="AB35" i="5"/>
  <c r="AC35" i="5"/>
  <c r="AD35" i="5"/>
  <c r="AE35" i="5"/>
  <c r="AF35" i="5"/>
  <c r="AG35" i="5"/>
  <c r="AH35" i="5"/>
  <c r="AC36" i="5"/>
  <c r="AD36" i="5"/>
  <c r="AE36" i="5"/>
  <c r="AF36" i="5"/>
  <c r="AG36" i="5"/>
  <c r="AH36" i="5"/>
  <c r="AC37" i="5"/>
  <c r="AD37" i="5"/>
  <c r="AE37" i="5"/>
  <c r="AF37" i="5"/>
  <c r="AG37" i="5"/>
  <c r="AH37" i="5"/>
  <c r="AC38" i="5"/>
  <c r="AD38" i="5"/>
  <c r="AE38" i="5"/>
  <c r="AF38" i="5"/>
  <c r="AG38" i="5"/>
  <c r="AH38" i="5"/>
  <c r="AB39" i="5"/>
  <c r="AC39" i="5"/>
  <c r="AD39" i="5"/>
  <c r="AE39" i="5"/>
  <c r="AF39" i="5"/>
  <c r="AG39" i="5"/>
  <c r="AH39" i="5"/>
  <c r="AC40" i="5"/>
  <c r="AD40" i="5"/>
  <c r="AE40" i="5"/>
  <c r="AF40" i="5"/>
  <c r="AG40" i="5"/>
  <c r="AH40" i="5"/>
  <c r="AC41" i="5"/>
  <c r="AD41" i="5"/>
  <c r="AE41" i="5"/>
  <c r="AF41" i="5"/>
  <c r="AG41" i="5"/>
  <c r="AH41" i="5"/>
  <c r="AC42" i="5"/>
  <c r="AD42" i="5"/>
  <c r="AE42" i="5"/>
  <c r="AF42" i="5"/>
  <c r="AG42" i="5"/>
  <c r="AH42" i="5"/>
  <c r="AB43" i="5"/>
  <c r="AC43" i="5"/>
  <c r="AD43" i="5"/>
  <c r="AE43" i="5"/>
  <c r="AF43" i="5"/>
  <c r="AG43" i="5"/>
  <c r="AH43" i="5"/>
  <c r="AC44" i="5"/>
  <c r="AD44" i="5"/>
  <c r="AE44" i="5"/>
  <c r="AF44" i="5"/>
  <c r="AG44" i="5"/>
  <c r="AH44" i="5"/>
  <c r="AC45" i="5"/>
  <c r="AD45" i="5"/>
  <c r="AE45" i="5"/>
  <c r="AF45" i="5"/>
  <c r="AG45" i="5"/>
  <c r="AH45" i="5"/>
  <c r="AC46" i="5"/>
  <c r="AD46" i="5"/>
  <c r="AE46" i="5"/>
  <c r="AF46" i="5"/>
  <c r="AG46" i="5"/>
  <c r="AH46" i="5"/>
  <c r="AB47" i="5"/>
  <c r="AC47" i="5"/>
  <c r="AD47" i="5"/>
  <c r="AE47" i="5"/>
  <c r="AF47" i="5"/>
  <c r="AG47" i="5"/>
  <c r="AH47" i="5"/>
  <c r="AC48" i="5"/>
  <c r="AD48" i="5"/>
  <c r="AE48" i="5"/>
  <c r="AF48" i="5"/>
  <c r="AG48" i="5"/>
  <c r="AH48" i="5"/>
  <c r="AC23" i="5"/>
  <c r="AD23" i="5"/>
  <c r="AE23" i="5"/>
  <c r="AF23" i="5"/>
  <c r="AG23" i="5"/>
  <c r="AA14" i="5"/>
  <c r="AA16" i="5"/>
  <c r="AM61" i="5"/>
  <c r="Z18" i="5"/>
  <c r="Z17" i="5"/>
  <c r="AA17" i="5" s="1"/>
  <c r="AH50" i="5" l="1"/>
  <c r="AF213" i="5" s="1"/>
  <c r="K321" i="10"/>
  <c r="K322" i="10"/>
  <c r="K323" i="10"/>
  <c r="K260" i="10"/>
  <c r="K325" i="10"/>
  <c r="K326" i="10"/>
  <c r="K328" i="10"/>
  <c r="K324" i="10"/>
  <c r="K329" i="10"/>
  <c r="K330" i="10"/>
  <c r="K327" i="10"/>
  <c r="L342" i="10"/>
  <c r="L350" i="10" s="1"/>
  <c r="L292" i="10"/>
  <c r="L250" i="10"/>
  <c r="L257" i="10" s="1"/>
  <c r="L260" i="10" s="1"/>
  <c r="N218" i="10"/>
  <c r="M286" i="10"/>
  <c r="M285" i="10"/>
  <c r="M247" i="10"/>
  <c r="AP85" i="5"/>
  <c r="AN85" i="5"/>
  <c r="AS85" i="5"/>
  <c r="AO85" i="5"/>
  <c r="AI85" i="5"/>
  <c r="AE85" i="5"/>
  <c r="AH85" i="5"/>
  <c r="AG85" i="5"/>
  <c r="AD50" i="5"/>
  <c r="AB213" i="5" s="1"/>
  <c r="AF50" i="5"/>
  <c r="AD213" i="5" s="1"/>
  <c r="AE50" i="5"/>
  <c r="AC213" i="5" s="1"/>
  <c r="AG50" i="5"/>
  <c r="AE213" i="5" s="1"/>
  <c r="AC50" i="5"/>
  <c r="AA213" i="5" s="1"/>
  <c r="AB46" i="5"/>
  <c r="AB42" i="5"/>
  <c r="AB38" i="5"/>
  <c r="AB34" i="5"/>
  <c r="AB30" i="5"/>
  <c r="AB26" i="5"/>
  <c r="AD80" i="5"/>
  <c r="AD76" i="5"/>
  <c r="AD72" i="5"/>
  <c r="AD68" i="5"/>
  <c r="AD64" i="5"/>
  <c r="AD60" i="5"/>
  <c r="AM82" i="5"/>
  <c r="AM78" i="5"/>
  <c r="AM74" i="5"/>
  <c r="AM70" i="5"/>
  <c r="AM66" i="5"/>
  <c r="AM62" i="5"/>
  <c r="AS34" i="5"/>
  <c r="AD69" i="5"/>
  <c r="AD65" i="5"/>
  <c r="AD61" i="5"/>
  <c r="AM83" i="5"/>
  <c r="AM79" i="5"/>
  <c r="AM75" i="5"/>
  <c r="AM71" i="5"/>
  <c r="AM67" i="5"/>
  <c r="AM63" i="5"/>
  <c r="AM59" i="5"/>
  <c r="AR35" i="5"/>
  <c r="AB48" i="5"/>
  <c r="AB36" i="5"/>
  <c r="AB32" i="5"/>
  <c r="AB28" i="5"/>
  <c r="AB24" i="5"/>
  <c r="AD58" i="5"/>
  <c r="AD82" i="5"/>
  <c r="AD78" i="5"/>
  <c r="AD74" i="5"/>
  <c r="AD70" i="5"/>
  <c r="AD66" i="5"/>
  <c r="AD62" i="5"/>
  <c r="AM80" i="5"/>
  <c r="AM76" i="5"/>
  <c r="AM72" i="5"/>
  <c r="AM68" i="5"/>
  <c r="AM64" i="5"/>
  <c r="AM60" i="5"/>
  <c r="AB45" i="5"/>
  <c r="AB41" i="5"/>
  <c r="AB37" i="5"/>
  <c r="AB29" i="5"/>
  <c r="AB25" i="5"/>
  <c r="AD83" i="5"/>
  <c r="AD79" i="5"/>
  <c r="AD75" i="5"/>
  <c r="AD71" i="5"/>
  <c r="AD67" i="5"/>
  <c r="AD63" i="5"/>
  <c r="AD59" i="5"/>
  <c r="AM81" i="5"/>
  <c r="AM77" i="5"/>
  <c r="AM73" i="5"/>
  <c r="AM69" i="5"/>
  <c r="AM65" i="5"/>
  <c r="AG17" i="4"/>
  <c r="AE17" i="4"/>
  <c r="Y17" i="4"/>
  <c r="AG15" i="4"/>
  <c r="AE15" i="4"/>
  <c r="Y15" i="4"/>
  <c r="AS8" i="6"/>
  <c r="AL8" i="6"/>
  <c r="K60" i="6"/>
  <c r="K59" i="6"/>
  <c r="AE21" i="4"/>
  <c r="AG21" i="4"/>
  <c r="Y21" i="4"/>
  <c r="AG19" i="4"/>
  <c r="AE19" i="4"/>
  <c r="Y19" i="4"/>
  <c r="H74" i="6"/>
  <c r="F75" i="6"/>
  <c r="H75" i="6" s="1"/>
  <c r="F74" i="6"/>
  <c r="AB50" i="5" l="1"/>
  <c r="Z213" i="5" s="1"/>
  <c r="AF216" i="5"/>
  <c r="AF223" i="5"/>
  <c r="AD223" i="5"/>
  <c r="AD216" i="5"/>
  <c r="AA223" i="5"/>
  <c r="AA216" i="5"/>
  <c r="AB223" i="5"/>
  <c r="AB216" i="5"/>
  <c r="AE223" i="5"/>
  <c r="AE216" i="5"/>
  <c r="AC223" i="5"/>
  <c r="AC216" i="5"/>
  <c r="M250" i="10"/>
  <c r="M257" i="10" s="1"/>
  <c r="M260" i="10" s="1"/>
  <c r="M342" i="10"/>
  <c r="M350" i="10" s="1"/>
  <c r="M292" i="10"/>
  <c r="O218" i="10"/>
  <c r="N285" i="10"/>
  <c r="N286" i="10"/>
  <c r="N247" i="10"/>
  <c r="AD85" i="5"/>
  <c r="AM85" i="5"/>
  <c r="F72" i="6"/>
  <c r="F71" i="6"/>
  <c r="F68" i="6"/>
  <c r="F69" i="6"/>
  <c r="F70" i="6"/>
  <c r="F67" i="6"/>
  <c r="BF10" i="6"/>
  <c r="AZ8" i="6"/>
  <c r="BF8" i="6"/>
  <c r="AZ10" i="6"/>
  <c r="G55" i="6"/>
  <c r="G54" i="6"/>
  <c r="BF12" i="6"/>
  <c r="BF9" i="6"/>
  <c r="AZ12" i="6"/>
  <c r="AZ9" i="6"/>
  <c r="AS11" i="6"/>
  <c r="AS9" i="6"/>
  <c r="AL9" i="6"/>
  <c r="AL11" i="6"/>
  <c r="Y13" i="4"/>
  <c r="AG13" i="4"/>
  <c r="AE13" i="4"/>
  <c r="Y12" i="4"/>
  <c r="AE12" i="4"/>
  <c r="AD8" i="6"/>
  <c r="AE8" i="6" s="1"/>
  <c r="AE25" i="6"/>
  <c r="AE24" i="6"/>
  <c r="AE23" i="6"/>
  <c r="AE13" i="6"/>
  <c r="AE12" i="6"/>
  <c r="AE11" i="6"/>
  <c r="AE9" i="6"/>
  <c r="Y10" i="4"/>
  <c r="AE10" i="4"/>
  <c r="AE9" i="4"/>
  <c r="Y9" i="4"/>
  <c r="AG7" i="4"/>
  <c r="Y7" i="4"/>
  <c r="Y6" i="4"/>
  <c r="Z216" i="5" l="1"/>
  <c r="Z223" i="5"/>
  <c r="N342" i="10"/>
  <c r="N350" i="10" s="1"/>
  <c r="N292" i="10"/>
  <c r="O285" i="10"/>
  <c r="O286" i="10"/>
  <c r="P218" i="10"/>
  <c r="O247" i="10"/>
  <c r="O250" i="10" s="1"/>
  <c r="O257" i="10" s="1"/>
  <c r="O260" i="10" s="1"/>
  <c r="N250" i="10"/>
  <c r="N257" i="10" s="1"/>
  <c r="N260" i="10" s="1"/>
  <c r="X32" i="6"/>
  <c r="X31" i="6"/>
  <c r="X30" i="6"/>
  <c r="Q32" i="6"/>
  <c r="Q31" i="6"/>
  <c r="Q30" i="6"/>
  <c r="BZ22" i="1"/>
  <c r="X25" i="6"/>
  <c r="X24" i="6"/>
  <c r="X23" i="6"/>
  <c r="X21" i="6"/>
  <c r="X20" i="6"/>
  <c r="X13" i="6"/>
  <c r="X12" i="6"/>
  <c r="X11" i="6"/>
  <c r="X9" i="6"/>
  <c r="X8" i="6"/>
  <c r="Q23" i="6"/>
  <c r="Q21" i="6"/>
  <c r="Q13" i="6"/>
  <c r="Q12" i="6"/>
  <c r="Q8" i="6"/>
  <c r="Q11" i="6"/>
  <c r="O292" i="10" l="1"/>
  <c r="O342" i="10"/>
  <c r="O350" i="10" s="1"/>
  <c r="P286" i="10"/>
  <c r="P285" i="10"/>
  <c r="P247" i="10"/>
  <c r="P250" i="10" s="1"/>
  <c r="P257" i="10" s="1"/>
  <c r="P260" i="10" s="1"/>
  <c r="Q218" i="10"/>
  <c r="F32" i="6"/>
  <c r="E25" i="6"/>
  <c r="I94" i="4"/>
  <c r="Q96" i="4"/>
  <c r="Q97" i="4"/>
  <c r="Q98" i="4"/>
  <c r="Q99" i="4"/>
  <c r="Q100" i="4"/>
  <c r="Q101" i="4"/>
  <c r="Q102" i="4"/>
  <c r="Q103" i="4"/>
  <c r="Q95" i="4"/>
  <c r="Q85" i="4"/>
  <c r="Q86" i="4"/>
  <c r="Q87" i="4"/>
  <c r="Q88" i="4"/>
  <c r="Q89" i="4"/>
  <c r="Q90" i="4"/>
  <c r="Q91" i="4"/>
  <c r="Q92" i="4"/>
  <c r="Q84" i="4"/>
  <c r="N85" i="4"/>
  <c r="N86" i="4"/>
  <c r="N87" i="4"/>
  <c r="N88" i="4"/>
  <c r="N89" i="4"/>
  <c r="N90" i="4"/>
  <c r="N91" i="4"/>
  <c r="N92" i="4"/>
  <c r="N84" i="4"/>
  <c r="M96" i="4"/>
  <c r="M97" i="4"/>
  <c r="M98" i="4"/>
  <c r="M99" i="4"/>
  <c r="M100" i="4"/>
  <c r="M101" i="4"/>
  <c r="M102" i="4"/>
  <c r="M103" i="4"/>
  <c r="M95" i="4"/>
  <c r="L85" i="4"/>
  <c r="L86" i="4"/>
  <c r="L87" i="4"/>
  <c r="L88" i="4"/>
  <c r="L89" i="4"/>
  <c r="L90" i="4"/>
  <c r="L91" i="4"/>
  <c r="L92" i="4"/>
  <c r="L84" i="4"/>
  <c r="I116" i="4"/>
  <c r="Q118" i="4"/>
  <c r="Q119" i="4"/>
  <c r="Q120" i="4"/>
  <c r="Q121" i="4"/>
  <c r="Q122" i="4"/>
  <c r="Q123" i="4"/>
  <c r="Q124" i="4"/>
  <c r="Q125" i="4"/>
  <c r="Q117" i="4"/>
  <c r="G117" i="4" s="1"/>
  <c r="Q138" i="4"/>
  <c r="I138" i="4" s="1"/>
  <c r="F138" i="4" s="1"/>
  <c r="J138" i="4" s="1"/>
  <c r="Q107" i="4"/>
  <c r="Q108" i="4"/>
  <c r="Q109" i="4"/>
  <c r="Q110" i="4"/>
  <c r="Q111" i="4"/>
  <c r="Q112" i="4"/>
  <c r="Q113" i="4"/>
  <c r="Q114" i="4"/>
  <c r="Q106" i="4"/>
  <c r="Q128" i="4"/>
  <c r="N106" i="4"/>
  <c r="N107" i="4"/>
  <c r="N108" i="4"/>
  <c r="N109" i="4"/>
  <c r="N110" i="4"/>
  <c r="N111" i="4"/>
  <c r="N112" i="4"/>
  <c r="N113" i="4"/>
  <c r="N114" i="4"/>
  <c r="Q147" i="4"/>
  <c r="Q139" i="4"/>
  <c r="Q140" i="4"/>
  <c r="Q141" i="4"/>
  <c r="Q142" i="4"/>
  <c r="Q143" i="4"/>
  <c r="Q144" i="4"/>
  <c r="Q145" i="4"/>
  <c r="Q146" i="4"/>
  <c r="Q129" i="4"/>
  <c r="Q130" i="4"/>
  <c r="Q131" i="4"/>
  <c r="Q132" i="4"/>
  <c r="Q133" i="4"/>
  <c r="Q134" i="4"/>
  <c r="Q135" i="4"/>
  <c r="Q136" i="4"/>
  <c r="L19" i="5"/>
  <c r="M19" i="5" s="1"/>
  <c r="O12" i="5"/>
  <c r="L20" i="5" s="1"/>
  <c r="M20" i="5" s="1"/>
  <c r="R28" i="5"/>
  <c r="R34" i="5"/>
  <c r="E27" i="5"/>
  <c r="O27" i="5" s="1"/>
  <c r="F27" i="5"/>
  <c r="P27" i="5" s="1"/>
  <c r="G27" i="5"/>
  <c r="Q27" i="5" s="1"/>
  <c r="H27" i="5"/>
  <c r="R27" i="5" s="1"/>
  <c r="I27" i="5"/>
  <c r="S27" i="5" s="1"/>
  <c r="J27" i="5"/>
  <c r="T27" i="5" s="1"/>
  <c r="K27" i="5"/>
  <c r="U27" i="5" s="1"/>
  <c r="E28" i="5"/>
  <c r="O28" i="5" s="1"/>
  <c r="F28" i="5"/>
  <c r="P28" i="5" s="1"/>
  <c r="G28" i="5"/>
  <c r="Q28" i="5" s="1"/>
  <c r="H28" i="5"/>
  <c r="I28" i="5"/>
  <c r="S28" i="5" s="1"/>
  <c r="J28" i="5"/>
  <c r="T28" i="5" s="1"/>
  <c r="K28" i="5"/>
  <c r="U28" i="5" s="1"/>
  <c r="E29" i="5"/>
  <c r="O29" i="5" s="1"/>
  <c r="F29" i="5"/>
  <c r="P29" i="5" s="1"/>
  <c r="G29" i="5"/>
  <c r="Q29" i="5" s="1"/>
  <c r="H29" i="5"/>
  <c r="R29" i="5" s="1"/>
  <c r="I29" i="5"/>
  <c r="S29" i="5" s="1"/>
  <c r="J29" i="5"/>
  <c r="T29" i="5" s="1"/>
  <c r="K29" i="5"/>
  <c r="U29" i="5" s="1"/>
  <c r="E30" i="5"/>
  <c r="O30" i="5" s="1"/>
  <c r="F30" i="5"/>
  <c r="P30" i="5" s="1"/>
  <c r="G30" i="5"/>
  <c r="Q30" i="5" s="1"/>
  <c r="H30" i="5"/>
  <c r="R30" i="5" s="1"/>
  <c r="I30" i="5"/>
  <c r="S30" i="5" s="1"/>
  <c r="J30" i="5"/>
  <c r="T30" i="5" s="1"/>
  <c r="K30" i="5"/>
  <c r="U30" i="5" s="1"/>
  <c r="E31" i="5"/>
  <c r="O31" i="5" s="1"/>
  <c r="F31" i="5"/>
  <c r="P31" i="5" s="1"/>
  <c r="G31" i="5"/>
  <c r="Q31" i="5" s="1"/>
  <c r="H31" i="5"/>
  <c r="R31" i="5" s="1"/>
  <c r="I31" i="5"/>
  <c r="S31" i="5" s="1"/>
  <c r="J31" i="5"/>
  <c r="T31" i="5" s="1"/>
  <c r="K31" i="5"/>
  <c r="U31" i="5" s="1"/>
  <c r="E32" i="5"/>
  <c r="O32" i="5" s="1"/>
  <c r="F32" i="5"/>
  <c r="P32" i="5" s="1"/>
  <c r="G32" i="5"/>
  <c r="Q32" i="5" s="1"/>
  <c r="H32" i="5"/>
  <c r="R32" i="5" s="1"/>
  <c r="I32" i="5"/>
  <c r="S32" i="5" s="1"/>
  <c r="J32" i="5"/>
  <c r="T32" i="5" s="1"/>
  <c r="K32" i="5"/>
  <c r="U32" i="5" s="1"/>
  <c r="E33" i="5"/>
  <c r="O33" i="5" s="1"/>
  <c r="F33" i="5"/>
  <c r="P33" i="5" s="1"/>
  <c r="G33" i="5"/>
  <c r="Q33" i="5" s="1"/>
  <c r="H33" i="5"/>
  <c r="R33" i="5" s="1"/>
  <c r="I33" i="5"/>
  <c r="S33" i="5" s="1"/>
  <c r="J33" i="5"/>
  <c r="T33" i="5" s="1"/>
  <c r="K33" i="5"/>
  <c r="U33" i="5" s="1"/>
  <c r="E34" i="5"/>
  <c r="O34" i="5" s="1"/>
  <c r="F34" i="5"/>
  <c r="P34" i="5" s="1"/>
  <c r="G34" i="5"/>
  <c r="Q34" i="5" s="1"/>
  <c r="H34" i="5"/>
  <c r="I34" i="5"/>
  <c r="S34" i="5" s="1"/>
  <c r="J34" i="5"/>
  <c r="T34" i="5" s="1"/>
  <c r="K34" i="5"/>
  <c r="U34" i="5" s="1"/>
  <c r="P26" i="5"/>
  <c r="G26" i="5"/>
  <c r="Q26" i="5" s="1"/>
  <c r="H26" i="5"/>
  <c r="R26" i="5" s="1"/>
  <c r="I26" i="5"/>
  <c r="S26" i="5" s="1"/>
  <c r="J26" i="5"/>
  <c r="T26" i="5" s="1"/>
  <c r="K26" i="5"/>
  <c r="U26" i="5" s="1"/>
  <c r="P342" i="10" l="1"/>
  <c r="P350" i="10" s="1"/>
  <c r="P292" i="10"/>
  <c r="Q247" i="10"/>
  <c r="Q250" i="10" s="1"/>
  <c r="Q257" i="10" s="1"/>
  <c r="Q260" i="10" s="1"/>
  <c r="Q286" i="10"/>
  <c r="Q285" i="10"/>
  <c r="I101" i="4"/>
  <c r="I97" i="4"/>
  <c r="I103" i="4"/>
  <c r="I99" i="4"/>
  <c r="I102" i="4"/>
  <c r="I98" i="4"/>
  <c r="I95" i="4"/>
  <c r="I100" i="4"/>
  <c r="I96" i="4"/>
  <c r="M18" i="5"/>
  <c r="L21" i="5"/>
  <c r="M21" i="5" s="1"/>
  <c r="F17" i="5"/>
  <c r="F18" i="5"/>
  <c r="H18" i="5" s="1"/>
  <c r="J18" i="5" s="1"/>
  <c r="O18" i="5" s="1"/>
  <c r="F19" i="5"/>
  <c r="F20" i="5"/>
  <c r="H20" i="5" s="1"/>
  <c r="J20" i="5" s="1"/>
  <c r="O20" i="5" s="1"/>
  <c r="F21" i="5"/>
  <c r="F22" i="5"/>
  <c r="E17" i="5"/>
  <c r="E19" i="5"/>
  <c r="H19" i="5" s="1"/>
  <c r="J19" i="5" s="1"/>
  <c r="O19" i="5" s="1"/>
  <c r="E20" i="5"/>
  <c r="E21" i="5"/>
  <c r="E22" i="5"/>
  <c r="J16" i="5"/>
  <c r="O16" i="5" s="1"/>
  <c r="Q342" i="10" l="1"/>
  <c r="Q350" i="10" s="1"/>
  <c r="Q292" i="10"/>
  <c r="H22" i="5"/>
  <c r="J22" i="5" s="1"/>
  <c r="H21" i="5"/>
  <c r="J21" i="5" s="1"/>
  <c r="O21" i="5" s="1"/>
  <c r="H17" i="5"/>
  <c r="J17" i="5" s="1"/>
  <c r="Q74" i="4"/>
  <c r="Q75" i="4"/>
  <c r="Q76" i="4"/>
  <c r="Q77" i="4"/>
  <c r="Q78" i="4"/>
  <c r="Q79" i="4"/>
  <c r="Q80" i="4"/>
  <c r="Q81" i="4"/>
  <c r="Q73" i="4"/>
  <c r="Q63" i="4"/>
  <c r="Q64" i="4"/>
  <c r="Q65" i="4"/>
  <c r="Q66" i="4"/>
  <c r="Q67" i="4"/>
  <c r="Q68" i="4"/>
  <c r="Q69" i="4"/>
  <c r="Q70" i="4"/>
  <c r="Q62" i="4"/>
  <c r="O72" i="4"/>
  <c r="I72" i="4" s="1"/>
  <c r="F72" i="4" s="1"/>
  <c r="J72" i="4" l="1"/>
  <c r="F73" i="4"/>
  <c r="F74" i="4" s="1"/>
  <c r="F75" i="4" s="1"/>
  <c r="F76" i="4" s="1"/>
  <c r="F77" i="4" s="1"/>
  <c r="F78" i="4" s="1"/>
  <c r="F79" i="4" s="1"/>
  <c r="F80" i="4" s="1"/>
  <c r="F81" i="4" s="1"/>
  <c r="Q52" i="4"/>
  <c r="Q53" i="4"/>
  <c r="Q54" i="4"/>
  <c r="Q55" i="4"/>
  <c r="Q56" i="4"/>
  <c r="Q57" i="4"/>
  <c r="Q58" i="4"/>
  <c r="Q59" i="4"/>
  <c r="Q51" i="4"/>
  <c r="Q40" i="4"/>
  <c r="Q41" i="4"/>
  <c r="Q42" i="4"/>
  <c r="Q43" i="4"/>
  <c r="Q44" i="4"/>
  <c r="Q45" i="4"/>
  <c r="Q46" i="4"/>
  <c r="Q47" i="4"/>
  <c r="Q48" i="4"/>
  <c r="Q30" i="4"/>
  <c r="Q31" i="4"/>
  <c r="Q32" i="4"/>
  <c r="Q33" i="4"/>
  <c r="Q34" i="4"/>
  <c r="Q35" i="4"/>
  <c r="Q36" i="4"/>
  <c r="Q37" i="4"/>
  <c r="Q29" i="4"/>
  <c r="AK41" i="1"/>
  <c r="AJ41" i="1" s="1"/>
  <c r="AK42" i="1"/>
  <c r="AJ42" i="1" s="1"/>
  <c r="AK43" i="1"/>
  <c r="AJ43" i="1" s="1"/>
  <c r="AK44" i="1"/>
  <c r="AJ44" i="1" s="1"/>
  <c r="AK45" i="1"/>
  <c r="AJ45" i="1" s="1"/>
  <c r="AK46" i="1"/>
  <c r="AJ46" i="1" s="1"/>
  <c r="AK47" i="1"/>
  <c r="AJ47" i="1" s="1"/>
  <c r="AK48" i="1"/>
  <c r="AJ48" i="1" s="1"/>
  <c r="AK49" i="1"/>
  <c r="AJ49" i="1" s="1"/>
  <c r="AK40" i="1"/>
  <c r="AJ40" i="1" s="1"/>
  <c r="F29" i="4"/>
  <c r="F30" i="4"/>
  <c r="F31" i="4"/>
  <c r="F32" i="4"/>
  <c r="F33" i="4"/>
  <c r="F34" i="4"/>
  <c r="F35" i="4"/>
  <c r="F28" i="4"/>
  <c r="I28" i="4" s="1"/>
  <c r="CY49" i="1"/>
  <c r="CX49" i="1" s="1"/>
  <c r="CY48" i="1"/>
  <c r="CX48" i="1" s="1"/>
  <c r="CY47" i="1"/>
  <c r="CX47" i="1" s="1"/>
  <c r="CY46" i="1"/>
  <c r="CX46" i="1" s="1"/>
  <c r="CY45" i="1"/>
  <c r="CX45" i="1" s="1"/>
  <c r="CY44" i="1"/>
  <c r="CX44" i="1" s="1"/>
  <c r="CY43" i="1"/>
  <c r="CX43" i="1" s="1"/>
  <c r="CY42" i="1"/>
  <c r="CX42" i="1" s="1"/>
  <c r="CY41" i="1"/>
  <c r="CX41" i="1" s="1"/>
  <c r="CY40" i="1"/>
  <c r="CL49" i="1"/>
  <c r="CK49" i="1" s="1"/>
  <c r="CL48" i="1"/>
  <c r="CK48" i="1" s="1"/>
  <c r="CL47" i="1"/>
  <c r="CK47" i="1" s="1"/>
  <c r="CL46" i="1"/>
  <c r="CK46" i="1" s="1"/>
  <c r="CL45" i="1"/>
  <c r="CK45" i="1" s="1"/>
  <c r="CL44" i="1"/>
  <c r="CK44" i="1" s="1"/>
  <c r="CL43" i="1"/>
  <c r="CK43" i="1" s="1"/>
  <c r="CL42" i="1"/>
  <c r="CK42" i="1" s="1"/>
  <c r="CL41" i="1"/>
  <c r="CK41" i="1" s="1"/>
  <c r="CL40" i="1"/>
  <c r="CK40" i="1" s="1"/>
  <c r="CV31" i="1"/>
  <c r="CV30" i="1"/>
  <c r="CV29" i="1"/>
  <c r="CV28" i="1"/>
  <c r="CV27" i="1"/>
  <c r="CV26" i="1"/>
  <c r="CV25" i="1"/>
  <c r="CV24" i="1"/>
  <c r="CV23" i="1"/>
  <c r="CV22" i="1"/>
  <c r="CI31" i="1"/>
  <c r="CI30" i="1"/>
  <c r="CI29" i="1"/>
  <c r="CI28" i="1"/>
  <c r="CI27" i="1"/>
  <c r="CI26" i="1"/>
  <c r="CI25" i="1"/>
  <c r="CI24" i="1"/>
  <c r="CI23" i="1"/>
  <c r="CI22" i="1"/>
  <c r="BI31" i="1"/>
  <c r="BI30" i="1"/>
  <c r="BI29" i="1"/>
  <c r="BI28" i="1"/>
  <c r="BI27" i="1"/>
  <c r="BI26" i="1"/>
  <c r="BI25" i="1"/>
  <c r="BI24" i="1"/>
  <c r="BI23" i="1"/>
  <c r="BI22" i="1"/>
  <c r="BV31" i="1"/>
  <c r="BV30" i="1"/>
  <c r="BV29" i="1"/>
  <c r="BV28" i="1"/>
  <c r="BV27" i="1"/>
  <c r="BV26" i="1"/>
  <c r="BV25" i="1"/>
  <c r="BV24" i="1"/>
  <c r="BV23" i="1"/>
  <c r="BV22" i="1"/>
  <c r="AV23" i="1"/>
  <c r="AV24" i="1"/>
  <c r="AV25" i="1"/>
  <c r="AV26" i="1"/>
  <c r="AV27" i="1"/>
  <c r="AV28" i="1"/>
  <c r="AV29" i="1"/>
  <c r="AV30" i="1"/>
  <c r="AV31" i="1"/>
  <c r="AV22" i="1"/>
  <c r="N52" i="4" s="1"/>
  <c r="BY49" i="1"/>
  <c r="BX49" i="1" s="1"/>
  <c r="BY48" i="1"/>
  <c r="BX48" i="1" s="1"/>
  <c r="BY47" i="1"/>
  <c r="BX47" i="1" s="1"/>
  <c r="BY46" i="1"/>
  <c r="BX46" i="1" s="1"/>
  <c r="BY45" i="1"/>
  <c r="BX45" i="1" s="1"/>
  <c r="BY44" i="1"/>
  <c r="BX44" i="1" s="1"/>
  <c r="BY43" i="1"/>
  <c r="BX43" i="1" s="1"/>
  <c r="BY42" i="1"/>
  <c r="BX42" i="1" s="1"/>
  <c r="BY41" i="1"/>
  <c r="BX41" i="1" s="1"/>
  <c r="BY40" i="1"/>
  <c r="BX40" i="1" s="1"/>
  <c r="BL49" i="1"/>
  <c r="BK49" i="1" s="1"/>
  <c r="BL48" i="1"/>
  <c r="BK48" i="1" s="1"/>
  <c r="BL47" i="1"/>
  <c r="BK47" i="1" s="1"/>
  <c r="BL46" i="1"/>
  <c r="BK46" i="1" s="1"/>
  <c r="BL45" i="1"/>
  <c r="BK45" i="1" s="1"/>
  <c r="BL44" i="1"/>
  <c r="BK44" i="1" s="1"/>
  <c r="BL43" i="1"/>
  <c r="BK43" i="1" s="1"/>
  <c r="BL42" i="1"/>
  <c r="BK42" i="1" s="1"/>
  <c r="BL41" i="1"/>
  <c r="BK41" i="1" s="1"/>
  <c r="BL40" i="1"/>
  <c r="BK40" i="1" s="1"/>
  <c r="AY41" i="1"/>
  <c r="AX41" i="1" s="1"/>
  <c r="AY42" i="1"/>
  <c r="AX42" i="1" s="1"/>
  <c r="AY43" i="1"/>
  <c r="AX43" i="1" s="1"/>
  <c r="AY44" i="1"/>
  <c r="AX44" i="1" s="1"/>
  <c r="AY45" i="1"/>
  <c r="AX45" i="1" s="1"/>
  <c r="AY46" i="1"/>
  <c r="AX46" i="1" s="1"/>
  <c r="AY47" i="1"/>
  <c r="AX47" i="1" s="1"/>
  <c r="AY48" i="1"/>
  <c r="AX48" i="1" s="1"/>
  <c r="AY49" i="1"/>
  <c r="AX49" i="1" s="1"/>
  <c r="AY40" i="1"/>
  <c r="AX40" i="1" s="1"/>
  <c r="O52" i="4" s="1"/>
  <c r="L9" i="4"/>
  <c r="L8" i="4"/>
  <c r="L7" i="4"/>
  <c r="L6" i="4"/>
  <c r="N9" i="4"/>
  <c r="N8" i="4"/>
  <c r="N7" i="4"/>
  <c r="N6" i="4"/>
  <c r="O9" i="4"/>
  <c r="O8" i="4"/>
  <c r="O7" i="4"/>
  <c r="O6" i="4"/>
  <c r="P9" i="4"/>
  <c r="P8" i="4"/>
  <c r="P7" i="4"/>
  <c r="Q7" i="4"/>
  <c r="Q8" i="4"/>
  <c r="Q9" i="4"/>
  <c r="Q10" i="4"/>
  <c r="Q11" i="4"/>
  <c r="Q12" i="4"/>
  <c r="Q13" i="4"/>
  <c r="Q14" i="4"/>
  <c r="Q15" i="4"/>
  <c r="Q6" i="4"/>
  <c r="L17" i="4"/>
  <c r="M17" i="4"/>
  <c r="N17" i="4"/>
  <c r="O17" i="4"/>
  <c r="Q18" i="4"/>
  <c r="Q19" i="4"/>
  <c r="Q20" i="4"/>
  <c r="P18" i="4"/>
  <c r="P19" i="4"/>
  <c r="P20" i="4"/>
  <c r="O18" i="4"/>
  <c r="O19" i="4"/>
  <c r="O20" i="4"/>
  <c r="N18" i="4"/>
  <c r="N19" i="4"/>
  <c r="N20" i="4"/>
  <c r="M18" i="4"/>
  <c r="M19" i="4"/>
  <c r="M20" i="4"/>
  <c r="L18" i="4"/>
  <c r="L19" i="4"/>
  <c r="L20" i="4"/>
  <c r="AI31" i="1"/>
  <c r="AL68" i="1" s="1"/>
  <c r="AI30" i="1"/>
  <c r="AI29" i="1"/>
  <c r="AI28" i="1"/>
  <c r="AI27" i="1"/>
  <c r="AI26" i="1"/>
  <c r="AI25" i="1"/>
  <c r="AI24" i="1"/>
  <c r="AI23" i="1"/>
  <c r="AI22" i="1"/>
  <c r="I15" i="4"/>
  <c r="I14" i="4"/>
  <c r="I13" i="4"/>
  <c r="I12" i="4"/>
  <c r="I11" i="4"/>
  <c r="I10" i="4"/>
  <c r="I9" i="4"/>
  <c r="I8" i="4"/>
  <c r="I7" i="4"/>
  <c r="I6" i="4"/>
  <c r="I25" i="4"/>
  <c r="I26" i="4"/>
  <c r="I24" i="4"/>
  <c r="I23" i="4"/>
  <c r="M22" i="4"/>
  <c r="M21" i="4"/>
  <c r="I22" i="4"/>
  <c r="I20" i="4"/>
  <c r="I21" i="4"/>
  <c r="I19" i="4"/>
  <c r="I18" i="4"/>
  <c r="I17" i="4"/>
  <c r="X41" i="1"/>
  <c r="X42" i="1"/>
  <c r="X43" i="1"/>
  <c r="X44" i="1"/>
  <c r="X45" i="1"/>
  <c r="X46" i="1"/>
  <c r="X47" i="1"/>
  <c r="X48" i="1"/>
  <c r="X49" i="1"/>
  <c r="X40" i="1"/>
  <c r="N36" i="4" l="1"/>
  <c r="AL67" i="1"/>
  <c r="N51" i="4"/>
  <c r="N55" i="4"/>
  <c r="O37" i="4"/>
  <c r="O29" i="4"/>
  <c r="N53" i="4"/>
  <c r="N31" i="4"/>
  <c r="O32" i="4"/>
  <c r="N59" i="4"/>
  <c r="O53" i="4"/>
  <c r="O51" i="4"/>
  <c r="N56" i="4"/>
  <c r="CX40" i="1"/>
  <c r="N33" i="4"/>
  <c r="N37" i="4"/>
  <c r="N30" i="4"/>
  <c r="N34" i="4"/>
  <c r="N29" i="4"/>
  <c r="O54" i="4"/>
  <c r="O58" i="4"/>
  <c r="O55" i="4"/>
  <c r="O59" i="4"/>
  <c r="N35" i="4"/>
  <c r="O33" i="4"/>
  <c r="O57" i="4"/>
  <c r="N32" i="4"/>
  <c r="O34" i="4"/>
  <c r="O56" i="4"/>
  <c r="N63" i="4"/>
  <c r="N74" i="4" s="1"/>
  <c r="N67" i="4"/>
  <c r="N78" i="4" s="1"/>
  <c r="N62" i="4"/>
  <c r="N73" i="4" s="1"/>
  <c r="N65" i="4"/>
  <c r="N76" i="4" s="1"/>
  <c r="N69" i="4"/>
  <c r="N80" i="4" s="1"/>
  <c r="N66" i="4"/>
  <c r="N77" i="4" s="1"/>
  <c r="N70" i="4"/>
  <c r="N81" i="4" s="1"/>
  <c r="N64" i="4"/>
  <c r="N75" i="4" s="1"/>
  <c r="N68" i="4"/>
  <c r="N79" i="4" s="1"/>
  <c r="N129" i="4"/>
  <c r="N133" i="4"/>
  <c r="N128" i="4"/>
  <c r="N131" i="4"/>
  <c r="N132" i="4"/>
  <c r="N130" i="4"/>
  <c r="N134" i="4"/>
  <c r="N135" i="4"/>
  <c r="N136" i="4"/>
  <c r="N58" i="4"/>
  <c r="N54" i="4"/>
  <c r="N57" i="4"/>
  <c r="O36" i="4"/>
  <c r="O31" i="4"/>
  <c r="O30" i="4"/>
  <c r="O35" i="4"/>
  <c r="AE9" i="1"/>
  <c r="R9" i="1"/>
  <c r="J5" i="17" s="1"/>
  <c r="J15" i="17" s="1"/>
  <c r="V23" i="1"/>
  <c r="V24" i="1"/>
  <c r="V25" i="1"/>
  <c r="V26" i="1"/>
  <c r="V27" i="1"/>
  <c r="V28" i="1"/>
  <c r="V29" i="1"/>
  <c r="V30" i="1"/>
  <c r="V31" i="1"/>
  <c r="V22" i="1"/>
  <c r="C21" i="2"/>
  <c r="C23" i="2"/>
  <c r="AL62" i="1" l="1"/>
  <c r="AL63" i="1"/>
  <c r="AL64" i="1"/>
  <c r="AL57" i="1"/>
  <c r="AL58" i="1"/>
  <c r="AL59" i="1"/>
  <c r="AL60" i="1"/>
  <c r="AL61" i="1"/>
  <c r="CR15" i="1"/>
  <c r="CR9" i="1"/>
  <c r="BR15" i="1"/>
  <c r="BR9" i="1"/>
  <c r="CE15" i="1"/>
  <c r="CE9" i="1"/>
  <c r="CS40" i="1"/>
  <c r="CS49" i="1"/>
  <c r="CS48" i="1"/>
  <c r="CS47" i="1"/>
  <c r="CS46" i="1"/>
  <c r="CS45" i="1"/>
  <c r="CS44" i="1"/>
  <c r="CS43" i="1"/>
  <c r="CS42" i="1"/>
  <c r="CS41" i="1"/>
  <c r="CZ31" i="1"/>
  <c r="CX31" i="1"/>
  <c r="CT31" i="1"/>
  <c r="CR31" i="1"/>
  <c r="CZ30" i="1"/>
  <c r="CX30" i="1"/>
  <c r="CT30" i="1"/>
  <c r="CR30" i="1"/>
  <c r="CZ29" i="1"/>
  <c r="CX29" i="1"/>
  <c r="CT29" i="1"/>
  <c r="CR29" i="1"/>
  <c r="CZ28" i="1"/>
  <c r="CX28" i="1"/>
  <c r="CT28" i="1"/>
  <c r="CR28" i="1"/>
  <c r="CZ27" i="1"/>
  <c r="CX27" i="1"/>
  <c r="CT27" i="1"/>
  <c r="CR27" i="1"/>
  <c r="CZ26" i="1"/>
  <c r="CX26" i="1"/>
  <c r="CT26" i="1"/>
  <c r="CR26" i="1"/>
  <c r="CZ25" i="1"/>
  <c r="CX25" i="1"/>
  <c r="CT25" i="1"/>
  <c r="CR25" i="1"/>
  <c r="CZ24" i="1"/>
  <c r="CX24" i="1"/>
  <c r="CR24" i="1"/>
  <c r="CZ23" i="1"/>
  <c r="CX23" i="1"/>
  <c r="CT23" i="1"/>
  <c r="CR23" i="1"/>
  <c r="CZ22" i="1"/>
  <c r="CX22" i="1"/>
  <c r="CT22" i="1"/>
  <c r="CR22" i="1"/>
  <c r="CR14" i="1"/>
  <c r="CR8" i="1"/>
  <c r="CR7" i="1"/>
  <c r="CF49" i="1"/>
  <c r="CF48" i="1"/>
  <c r="CF47" i="1"/>
  <c r="CF46" i="1"/>
  <c r="CF45" i="1"/>
  <c r="CF44" i="1"/>
  <c r="CF43" i="1"/>
  <c r="CF42" i="1"/>
  <c r="CF41" i="1"/>
  <c r="CF40" i="1"/>
  <c r="CM31" i="1"/>
  <c r="CK31" i="1"/>
  <c r="CG31" i="1"/>
  <c r="CE31" i="1"/>
  <c r="CM30" i="1"/>
  <c r="CK30" i="1"/>
  <c r="CG30" i="1"/>
  <c r="CE30" i="1"/>
  <c r="CM29" i="1"/>
  <c r="CK29" i="1"/>
  <c r="CG29" i="1"/>
  <c r="CE29" i="1"/>
  <c r="CM28" i="1"/>
  <c r="CK28" i="1"/>
  <c r="CG28" i="1"/>
  <c r="CE28" i="1"/>
  <c r="CM27" i="1"/>
  <c r="CK27" i="1"/>
  <c r="CG27" i="1"/>
  <c r="CE27" i="1"/>
  <c r="CM26" i="1"/>
  <c r="CK26" i="1"/>
  <c r="CG26" i="1"/>
  <c r="CE26" i="1"/>
  <c r="CM25" i="1"/>
  <c r="CK25" i="1"/>
  <c r="CG25" i="1"/>
  <c r="CE25" i="1"/>
  <c r="CM24" i="1"/>
  <c r="CK24" i="1"/>
  <c r="CG24" i="1"/>
  <c r="CE24" i="1"/>
  <c r="CM23" i="1"/>
  <c r="CK23" i="1"/>
  <c r="CG23" i="1"/>
  <c r="CE23" i="1"/>
  <c r="CM22" i="1"/>
  <c r="CK22" i="1"/>
  <c r="CG22" i="1"/>
  <c r="CE22" i="1"/>
  <c r="CE14" i="1"/>
  <c r="CE8" i="1"/>
  <c r="CE7" i="1"/>
  <c r="BR8" i="1"/>
  <c r="BS49" i="1"/>
  <c r="BS48" i="1"/>
  <c r="BS47" i="1"/>
  <c r="BS46" i="1"/>
  <c r="BS45" i="1"/>
  <c r="BS44" i="1"/>
  <c r="BS43" i="1"/>
  <c r="BS42" i="1"/>
  <c r="BS41" i="1"/>
  <c r="BS40" i="1"/>
  <c r="BZ31" i="1"/>
  <c r="P92" i="4" s="1"/>
  <c r="BX31" i="1"/>
  <c r="BT31" i="1"/>
  <c r="BR31" i="1"/>
  <c r="BZ30" i="1"/>
  <c r="P91" i="4" s="1"/>
  <c r="BX30" i="1"/>
  <c r="BT30" i="1"/>
  <c r="BR30" i="1"/>
  <c r="BZ29" i="1"/>
  <c r="P90" i="4" s="1"/>
  <c r="BX29" i="1"/>
  <c r="BT29" i="1"/>
  <c r="BR29" i="1"/>
  <c r="BZ28" i="1"/>
  <c r="P89" i="4" s="1"/>
  <c r="BX28" i="1"/>
  <c r="BT28" i="1"/>
  <c r="BR28" i="1"/>
  <c r="BZ27" i="1"/>
  <c r="P88" i="4" s="1"/>
  <c r="BX27" i="1"/>
  <c r="BT27" i="1"/>
  <c r="BR27" i="1"/>
  <c r="BZ26" i="1"/>
  <c r="P87" i="4" s="1"/>
  <c r="BX26" i="1"/>
  <c r="BT26" i="1"/>
  <c r="BR26" i="1"/>
  <c r="BZ25" i="1"/>
  <c r="P86" i="4" s="1"/>
  <c r="BX25" i="1"/>
  <c r="BT25" i="1"/>
  <c r="BR25" i="1"/>
  <c r="BZ24" i="1"/>
  <c r="P85" i="4" s="1"/>
  <c r="BX24" i="1"/>
  <c r="BT24" i="1"/>
  <c r="BR24" i="1"/>
  <c r="BZ23" i="1"/>
  <c r="P84" i="4" s="1"/>
  <c r="BX23" i="1"/>
  <c r="BT23" i="1"/>
  <c r="BR23" i="1"/>
  <c r="BX22" i="1"/>
  <c r="BT22" i="1"/>
  <c r="BR22" i="1"/>
  <c r="BR14" i="1"/>
  <c r="BR7" i="1"/>
  <c r="BF49" i="1"/>
  <c r="BF48" i="1"/>
  <c r="BF47" i="1"/>
  <c r="BF46" i="1"/>
  <c r="BF45" i="1"/>
  <c r="BF44" i="1"/>
  <c r="BF43" i="1"/>
  <c r="BF42" i="1"/>
  <c r="BF41" i="1"/>
  <c r="BF40" i="1"/>
  <c r="BM31" i="1"/>
  <c r="BK31" i="1"/>
  <c r="BG31" i="1"/>
  <c r="BE31" i="1"/>
  <c r="BM30" i="1"/>
  <c r="BK30" i="1"/>
  <c r="BG30" i="1"/>
  <c r="BE30" i="1"/>
  <c r="BM29" i="1"/>
  <c r="BK29" i="1"/>
  <c r="BG29" i="1"/>
  <c r="BE29" i="1"/>
  <c r="BM28" i="1"/>
  <c r="BK28" i="1"/>
  <c r="BG28" i="1"/>
  <c r="BE28" i="1"/>
  <c r="BM27" i="1"/>
  <c r="BK27" i="1"/>
  <c r="BG27" i="1"/>
  <c r="BE27" i="1"/>
  <c r="BM26" i="1"/>
  <c r="BK26" i="1"/>
  <c r="BG26" i="1"/>
  <c r="BE26" i="1"/>
  <c r="BM25" i="1"/>
  <c r="BK25" i="1"/>
  <c r="BG25" i="1"/>
  <c r="BE25" i="1"/>
  <c r="BM24" i="1"/>
  <c r="BK24" i="1"/>
  <c r="BG24" i="1"/>
  <c r="BE24" i="1"/>
  <c r="BM23" i="1"/>
  <c r="BK23" i="1"/>
  <c r="BG23" i="1"/>
  <c r="BE23" i="1"/>
  <c r="BM22" i="1"/>
  <c r="BK22" i="1"/>
  <c r="BG22" i="1"/>
  <c r="BE22" i="1"/>
  <c r="BE14" i="1"/>
  <c r="BE7" i="1"/>
  <c r="L66" i="4" l="1"/>
  <c r="L77" i="4" s="1"/>
  <c r="L70" i="4"/>
  <c r="L64" i="4"/>
  <c r="L75" i="4" s="1"/>
  <c r="L68" i="4"/>
  <c r="L65" i="4"/>
  <c r="L76" i="4" s="1"/>
  <c r="L69" i="4"/>
  <c r="L63" i="4"/>
  <c r="L74" i="4" s="1"/>
  <c r="L67" i="4"/>
  <c r="L78" i="4" s="1"/>
  <c r="L62" i="4"/>
  <c r="L73" i="4" s="1"/>
  <c r="O63" i="4"/>
  <c r="O74" i="4" s="1"/>
  <c r="O67" i="4"/>
  <c r="O78" i="4" s="1"/>
  <c r="O62" i="4"/>
  <c r="O73" i="4" s="1"/>
  <c r="O65" i="4"/>
  <c r="O76" i="4" s="1"/>
  <c r="O69" i="4"/>
  <c r="O80" i="4" s="1"/>
  <c r="O66" i="4"/>
  <c r="O77" i="4" s="1"/>
  <c r="O70" i="4"/>
  <c r="O81" i="4" s="1"/>
  <c r="O64" i="4"/>
  <c r="O75" i="4" s="1"/>
  <c r="O68" i="4"/>
  <c r="O79" i="4" s="1"/>
  <c r="P108" i="4"/>
  <c r="P112" i="4"/>
  <c r="P114" i="4"/>
  <c r="P107" i="4"/>
  <c r="P111" i="4"/>
  <c r="P106" i="4"/>
  <c r="P109" i="4"/>
  <c r="P113" i="4"/>
  <c r="P110" i="4"/>
  <c r="M73" i="4"/>
  <c r="M77" i="4"/>
  <c r="M81" i="4"/>
  <c r="M75" i="4"/>
  <c r="M79" i="4"/>
  <c r="M76" i="4"/>
  <c r="M80" i="4"/>
  <c r="M74" i="4"/>
  <c r="M78" i="4"/>
  <c r="M64" i="4"/>
  <c r="M68" i="4"/>
  <c r="M70" i="4"/>
  <c r="M65" i="4"/>
  <c r="M69" i="4"/>
  <c r="M62" i="4"/>
  <c r="M66" i="4"/>
  <c r="M61" i="4"/>
  <c r="I61" i="4" s="1"/>
  <c r="J61" i="4" s="1"/>
  <c r="M67" i="4"/>
  <c r="M63" i="4"/>
  <c r="M85" i="4"/>
  <c r="M89" i="4"/>
  <c r="M83" i="4"/>
  <c r="I83" i="4" s="1"/>
  <c r="J83" i="4" s="1"/>
  <c r="M84" i="4"/>
  <c r="M92" i="4"/>
  <c r="M86" i="4"/>
  <c r="M90" i="4"/>
  <c r="M87" i="4"/>
  <c r="M91" i="4"/>
  <c r="M88" i="4"/>
  <c r="L108" i="4"/>
  <c r="L112" i="4"/>
  <c r="L110" i="4"/>
  <c r="L107" i="4"/>
  <c r="L106" i="4"/>
  <c r="L109" i="4"/>
  <c r="L113" i="4"/>
  <c r="L114" i="4"/>
  <c r="L111" i="4"/>
  <c r="O109" i="4"/>
  <c r="O113" i="4"/>
  <c r="O111" i="4"/>
  <c r="O108" i="4"/>
  <c r="O112" i="4"/>
  <c r="O110" i="4"/>
  <c r="O114" i="4"/>
  <c r="O107" i="4"/>
  <c r="O106" i="4"/>
  <c r="P130" i="4"/>
  <c r="P134" i="4"/>
  <c r="P132" i="4"/>
  <c r="P136" i="4"/>
  <c r="P129" i="4"/>
  <c r="P128" i="4"/>
  <c r="P131" i="4"/>
  <c r="P135" i="4"/>
  <c r="P133" i="4"/>
  <c r="M108" i="4"/>
  <c r="M112" i="4"/>
  <c r="M117" i="4"/>
  <c r="I117" i="4" s="1"/>
  <c r="M119" i="4"/>
  <c r="I119" i="4" s="1"/>
  <c r="M123" i="4"/>
  <c r="I123" i="4" s="1"/>
  <c r="M110" i="4"/>
  <c r="M121" i="4"/>
  <c r="I121" i="4" s="1"/>
  <c r="M111" i="4"/>
  <c r="M118" i="4"/>
  <c r="I118" i="4" s="1"/>
  <c r="M122" i="4"/>
  <c r="I122" i="4" s="1"/>
  <c r="M105" i="4"/>
  <c r="I105" i="4" s="1"/>
  <c r="J105" i="4" s="1"/>
  <c r="M109" i="4"/>
  <c r="M113" i="4"/>
  <c r="M120" i="4"/>
  <c r="I120" i="4" s="1"/>
  <c r="M124" i="4"/>
  <c r="I124" i="4" s="1"/>
  <c r="M106" i="4"/>
  <c r="M114" i="4"/>
  <c r="M125" i="4"/>
  <c r="I125" i="4" s="1"/>
  <c r="M107" i="4"/>
  <c r="L132" i="4"/>
  <c r="L136" i="4"/>
  <c r="L130" i="4"/>
  <c r="L131" i="4"/>
  <c r="L129" i="4"/>
  <c r="L133" i="4"/>
  <c r="L128" i="4"/>
  <c r="L134" i="4"/>
  <c r="L135" i="4"/>
  <c r="P65" i="4"/>
  <c r="P76" i="4" s="1"/>
  <c r="P69" i="4"/>
  <c r="P80" i="4" s="1"/>
  <c r="P63" i="4"/>
  <c r="P74" i="4" s="1"/>
  <c r="P67" i="4"/>
  <c r="P78" i="4" s="1"/>
  <c r="P62" i="4"/>
  <c r="P73" i="4" s="1"/>
  <c r="P64" i="4"/>
  <c r="P75" i="4" s="1"/>
  <c r="P68" i="4"/>
  <c r="P79" i="4" s="1"/>
  <c r="P66" i="4"/>
  <c r="P77" i="4" s="1"/>
  <c r="P70" i="4"/>
  <c r="P81" i="4" s="1"/>
  <c r="O87" i="4"/>
  <c r="O91" i="4"/>
  <c r="O85" i="4"/>
  <c r="O86" i="4"/>
  <c r="O88" i="4"/>
  <c r="O92" i="4"/>
  <c r="O89" i="4"/>
  <c r="O84" i="4"/>
  <c r="O90" i="4"/>
  <c r="M131" i="4"/>
  <c r="F131" i="4" s="1"/>
  <c r="M135" i="4"/>
  <c r="F135" i="4" s="1"/>
  <c r="M141" i="4"/>
  <c r="I141" i="4" s="1"/>
  <c r="F141" i="4" s="1"/>
  <c r="J141" i="4" s="1"/>
  <c r="M145" i="4"/>
  <c r="I145" i="4" s="1"/>
  <c r="F145" i="4" s="1"/>
  <c r="J145" i="4" s="1"/>
  <c r="M133" i="4"/>
  <c r="F133" i="4" s="1"/>
  <c r="M127" i="4"/>
  <c r="I127" i="4" s="1"/>
  <c r="M147" i="4"/>
  <c r="I147" i="4" s="1"/>
  <c r="F147" i="4" s="1"/>
  <c r="J147" i="4" s="1"/>
  <c r="M130" i="4"/>
  <c r="F130" i="4" s="1"/>
  <c r="M140" i="4"/>
  <c r="I140" i="4" s="1"/>
  <c r="F140" i="4" s="1"/>
  <c r="J140" i="4" s="1"/>
  <c r="M144" i="4"/>
  <c r="I144" i="4" s="1"/>
  <c r="F144" i="4" s="1"/>
  <c r="J144" i="4" s="1"/>
  <c r="M128" i="4"/>
  <c r="F128" i="4" s="1"/>
  <c r="F127" i="4" s="1"/>
  <c r="M132" i="4"/>
  <c r="F132" i="4" s="1"/>
  <c r="M136" i="4"/>
  <c r="F136" i="4" s="1"/>
  <c r="M142" i="4"/>
  <c r="I142" i="4" s="1"/>
  <c r="F142" i="4" s="1"/>
  <c r="J142" i="4" s="1"/>
  <c r="M146" i="4"/>
  <c r="I146" i="4" s="1"/>
  <c r="F146" i="4" s="1"/>
  <c r="J146" i="4" s="1"/>
  <c r="M129" i="4"/>
  <c r="F129" i="4" s="1"/>
  <c r="M143" i="4"/>
  <c r="I143" i="4" s="1"/>
  <c r="F143" i="4" s="1"/>
  <c r="J143" i="4" s="1"/>
  <c r="M134" i="4"/>
  <c r="F134" i="4" s="1"/>
  <c r="M139" i="4"/>
  <c r="I139" i="4" s="1"/>
  <c r="F139" i="4" s="1"/>
  <c r="J139" i="4" s="1"/>
  <c r="O129" i="4"/>
  <c r="O133" i="4"/>
  <c r="O128" i="4"/>
  <c r="O131" i="4"/>
  <c r="O135" i="4"/>
  <c r="O132" i="4"/>
  <c r="O130" i="4"/>
  <c r="O134" i="4"/>
  <c r="O136" i="4"/>
  <c r="G127" i="4"/>
  <c r="AR14" i="1"/>
  <c r="AS49" i="1"/>
  <c r="AS48" i="1"/>
  <c r="AS47" i="1"/>
  <c r="AS46" i="1"/>
  <c r="AS45" i="1"/>
  <c r="AS44" i="1"/>
  <c r="AS43" i="1"/>
  <c r="AS42" i="1"/>
  <c r="AS41" i="1"/>
  <c r="AS40" i="1"/>
  <c r="AZ31" i="1"/>
  <c r="AX31" i="1"/>
  <c r="AT31" i="1"/>
  <c r="AR31" i="1"/>
  <c r="AZ30" i="1"/>
  <c r="AX30" i="1"/>
  <c r="AT30" i="1"/>
  <c r="AR30" i="1"/>
  <c r="AZ29" i="1"/>
  <c r="AX29" i="1"/>
  <c r="AT29" i="1"/>
  <c r="AR29" i="1"/>
  <c r="AZ28" i="1"/>
  <c r="AX28" i="1"/>
  <c r="AT28" i="1"/>
  <c r="AR28" i="1"/>
  <c r="AZ27" i="1"/>
  <c r="AX27" i="1"/>
  <c r="AT27" i="1"/>
  <c r="AR27" i="1"/>
  <c r="AZ26" i="1"/>
  <c r="AX26" i="1"/>
  <c r="AT26" i="1"/>
  <c r="AR26" i="1"/>
  <c r="AZ25" i="1"/>
  <c r="AX25" i="1"/>
  <c r="AT25" i="1"/>
  <c r="AR25" i="1"/>
  <c r="AZ24" i="1"/>
  <c r="AX24" i="1"/>
  <c r="AT24" i="1"/>
  <c r="AR24" i="1"/>
  <c r="AZ23" i="1"/>
  <c r="AX23" i="1"/>
  <c r="AT23" i="1"/>
  <c r="AR23" i="1"/>
  <c r="AZ22" i="1"/>
  <c r="AX22" i="1"/>
  <c r="AT22" i="1"/>
  <c r="AR22" i="1"/>
  <c r="AR8" i="1"/>
  <c r="AR7" i="1"/>
  <c r="AF40" i="1"/>
  <c r="AI67" i="1" s="1"/>
  <c r="AE8" i="1"/>
  <c r="R8" i="1"/>
  <c r="J8" i="17" s="1"/>
  <c r="AF49" i="1"/>
  <c r="AI68" i="1" s="1"/>
  <c r="AF48" i="1"/>
  <c r="AF47" i="1"/>
  <c r="AF46" i="1"/>
  <c r="AF45" i="1"/>
  <c r="AF44" i="1"/>
  <c r="AF43" i="1"/>
  <c r="AF42" i="1"/>
  <c r="AF41" i="1"/>
  <c r="AM31" i="1"/>
  <c r="AK31" i="1"/>
  <c r="AG31" i="1"/>
  <c r="AE31" i="1"/>
  <c r="AM30" i="1"/>
  <c r="AK30" i="1"/>
  <c r="AG30" i="1"/>
  <c r="AE30" i="1"/>
  <c r="AM29" i="1"/>
  <c r="AK29" i="1"/>
  <c r="AG29" i="1"/>
  <c r="AE29" i="1"/>
  <c r="AM28" i="1"/>
  <c r="AK28" i="1"/>
  <c r="AG28" i="1"/>
  <c r="AE28" i="1"/>
  <c r="AM27" i="1"/>
  <c r="AK27" i="1"/>
  <c r="AG27" i="1"/>
  <c r="AE27" i="1"/>
  <c r="AM26" i="1"/>
  <c r="AK26" i="1"/>
  <c r="AG26" i="1"/>
  <c r="AE26" i="1"/>
  <c r="AM25" i="1"/>
  <c r="AK25" i="1"/>
  <c r="AG25" i="1"/>
  <c r="AE25" i="1"/>
  <c r="AM24" i="1"/>
  <c r="AK24" i="1"/>
  <c r="AG24" i="1"/>
  <c r="AE24" i="1"/>
  <c r="AM23" i="1"/>
  <c r="AK23" i="1"/>
  <c r="AG23" i="1"/>
  <c r="AE23" i="1"/>
  <c r="AM22" i="1"/>
  <c r="AK22" i="1"/>
  <c r="AE22" i="1"/>
  <c r="AE7" i="1"/>
  <c r="S41" i="1"/>
  <c r="S42" i="1"/>
  <c r="S43" i="1"/>
  <c r="S44" i="1"/>
  <c r="S45" i="1"/>
  <c r="S46" i="1"/>
  <c r="S47" i="1"/>
  <c r="S48" i="1"/>
  <c r="S49" i="1"/>
  <c r="S40" i="1"/>
  <c r="T23" i="1"/>
  <c r="T24" i="1"/>
  <c r="T25" i="1"/>
  <c r="T26" i="1"/>
  <c r="T27" i="1"/>
  <c r="T28" i="1"/>
  <c r="T29" i="1"/>
  <c r="T30" i="1"/>
  <c r="T31" i="1"/>
  <c r="T22" i="1"/>
  <c r="R23" i="1"/>
  <c r="R24" i="1"/>
  <c r="R25" i="1"/>
  <c r="R26" i="1"/>
  <c r="R27" i="1"/>
  <c r="R28" i="1"/>
  <c r="R29" i="1"/>
  <c r="R30" i="1"/>
  <c r="R31" i="1"/>
  <c r="R22" i="1"/>
  <c r="X23" i="1"/>
  <c r="X24" i="1"/>
  <c r="X25" i="1"/>
  <c r="X26" i="1"/>
  <c r="X27" i="1"/>
  <c r="X28" i="1"/>
  <c r="X29" i="1"/>
  <c r="X30" i="1"/>
  <c r="X31" i="1"/>
  <c r="X22" i="1"/>
  <c r="R7" i="1"/>
  <c r="R15" i="1"/>
  <c r="G5" i="1" s="1"/>
  <c r="Z23" i="1"/>
  <c r="Z24" i="1"/>
  <c r="Z25" i="1"/>
  <c r="Z26" i="1"/>
  <c r="Z27" i="1"/>
  <c r="Z28" i="1"/>
  <c r="Z29" i="1"/>
  <c r="Z30" i="1"/>
  <c r="Z31" i="1"/>
  <c r="Z22" i="1"/>
  <c r="AJ67" i="1" l="1"/>
  <c r="AK68" i="1"/>
  <c r="AK67" i="1"/>
  <c r="AI70" i="1"/>
  <c r="AI61" i="1" s="1"/>
  <c r="AJ68" i="1"/>
  <c r="AJ70" i="1" s="1"/>
  <c r="AJ58" i="1" s="1"/>
  <c r="G128" i="4"/>
  <c r="I89" i="4"/>
  <c r="I133" i="4"/>
  <c r="I107" i="4"/>
  <c r="I136" i="4"/>
  <c r="I88" i="4"/>
  <c r="I129" i="4"/>
  <c r="I132" i="4"/>
  <c r="G133" i="4"/>
  <c r="G129" i="4"/>
  <c r="I91" i="4"/>
  <c r="I92" i="4"/>
  <c r="I78" i="4"/>
  <c r="G135" i="4"/>
  <c r="G136" i="4"/>
  <c r="I87" i="4"/>
  <c r="M32" i="4"/>
  <c r="M36" i="4"/>
  <c r="M33" i="4"/>
  <c r="M37" i="4"/>
  <c r="M31" i="4"/>
  <c r="M28" i="4"/>
  <c r="M34" i="4"/>
  <c r="M35" i="4"/>
  <c r="M30" i="4"/>
  <c r="M29" i="4"/>
  <c r="P40" i="4"/>
  <c r="P44" i="4"/>
  <c r="P48" i="4"/>
  <c r="P41" i="4"/>
  <c r="P45" i="4"/>
  <c r="P47" i="4"/>
  <c r="P42" i="4"/>
  <c r="P43" i="4"/>
  <c r="P46" i="4"/>
  <c r="G134" i="4"/>
  <c r="I114" i="4"/>
  <c r="I86" i="4"/>
  <c r="I65" i="4"/>
  <c r="L56" i="4"/>
  <c r="L51" i="4"/>
  <c r="L52" i="4"/>
  <c r="L53" i="4"/>
  <c r="L57" i="4"/>
  <c r="L54" i="4"/>
  <c r="L55" i="4"/>
  <c r="L58" i="4"/>
  <c r="L59" i="4"/>
  <c r="H127" i="4"/>
  <c r="J127" i="4" s="1"/>
  <c r="I135" i="4"/>
  <c r="H135" i="4" s="1"/>
  <c r="J135" i="4" s="1"/>
  <c r="G130" i="4"/>
  <c r="I113" i="4"/>
  <c r="I110" i="4"/>
  <c r="I85" i="4"/>
  <c r="I66" i="4"/>
  <c r="I70" i="4"/>
  <c r="I74" i="4"/>
  <c r="I75" i="4"/>
  <c r="M10" i="4"/>
  <c r="M14" i="4"/>
  <c r="M7" i="4"/>
  <c r="M13" i="4"/>
  <c r="M6" i="4"/>
  <c r="M9" i="4"/>
  <c r="M12" i="4"/>
  <c r="M15" i="4"/>
  <c r="M8" i="4"/>
  <c r="M11" i="4"/>
  <c r="P30" i="4"/>
  <c r="G30" i="4" s="1"/>
  <c r="P34" i="4"/>
  <c r="G34" i="4" s="1"/>
  <c r="P29" i="4"/>
  <c r="G29" i="4" s="1"/>
  <c r="P31" i="4"/>
  <c r="G31" i="4" s="1"/>
  <c r="P35" i="4"/>
  <c r="G35" i="4" s="1"/>
  <c r="P33" i="4"/>
  <c r="G33" i="4" s="1"/>
  <c r="P36" i="4"/>
  <c r="G36" i="4" s="1"/>
  <c r="P37" i="4"/>
  <c r="G37" i="4" s="1"/>
  <c r="P32" i="4"/>
  <c r="G32" i="4" s="1"/>
  <c r="M40" i="4"/>
  <c r="M39" i="4"/>
  <c r="I39" i="4" s="1"/>
  <c r="J39" i="4" s="1"/>
  <c r="M52" i="4"/>
  <c r="M56" i="4"/>
  <c r="M51" i="4"/>
  <c r="M41" i="4"/>
  <c r="M47" i="4"/>
  <c r="M53" i="4"/>
  <c r="M57" i="4"/>
  <c r="M44" i="4"/>
  <c r="M48" i="4"/>
  <c r="M54" i="4"/>
  <c r="M59" i="4"/>
  <c r="M45" i="4"/>
  <c r="M46" i="4"/>
  <c r="M55" i="4"/>
  <c r="M43" i="4"/>
  <c r="M58" i="4"/>
  <c r="M42" i="4"/>
  <c r="I134" i="4"/>
  <c r="I131" i="4"/>
  <c r="I109" i="4"/>
  <c r="I112" i="4"/>
  <c r="I84" i="4"/>
  <c r="I63" i="4"/>
  <c r="I62" i="4"/>
  <c r="I68" i="4"/>
  <c r="L30" i="4"/>
  <c r="H30" i="4" s="1"/>
  <c r="L34" i="4"/>
  <c r="L29" i="4"/>
  <c r="L31" i="4"/>
  <c r="L35" i="4"/>
  <c r="L37" i="4"/>
  <c r="L32" i="4"/>
  <c r="L33" i="4"/>
  <c r="L36" i="4"/>
  <c r="I128" i="4"/>
  <c r="I130" i="4"/>
  <c r="G131" i="4"/>
  <c r="G132" i="4"/>
  <c r="I111" i="4"/>
  <c r="I106" i="4"/>
  <c r="I108" i="4"/>
  <c r="I90" i="4"/>
  <c r="I67" i="4"/>
  <c r="I69" i="4"/>
  <c r="I64" i="4"/>
  <c r="I73" i="4"/>
  <c r="I76" i="4"/>
  <c r="I77" i="4"/>
  <c r="L79" i="4"/>
  <c r="I79" i="4" s="1"/>
  <c r="AK70" i="1" l="1"/>
  <c r="AK60" i="1" s="1"/>
  <c r="H128" i="4"/>
  <c r="J128" i="4" s="1"/>
  <c r="AI63" i="1"/>
  <c r="AJ59" i="1"/>
  <c r="AJ60" i="1"/>
  <c r="AJ61" i="1"/>
  <c r="AJ63" i="1"/>
  <c r="AJ62" i="1"/>
  <c r="AJ64" i="1"/>
  <c r="AJ57" i="1"/>
  <c r="AI58" i="1"/>
  <c r="AI57" i="1"/>
  <c r="AI62" i="1"/>
  <c r="AI64" i="1"/>
  <c r="AI60" i="1"/>
  <c r="AI59" i="1"/>
  <c r="AK59" i="1"/>
  <c r="AK62" i="1"/>
  <c r="AK63" i="1"/>
  <c r="AK58" i="1"/>
  <c r="H132" i="4"/>
  <c r="J132" i="4" s="1"/>
  <c r="H134" i="4"/>
  <c r="J134" i="4" s="1"/>
  <c r="H133" i="4"/>
  <c r="J133" i="4" s="1"/>
  <c r="H29" i="4"/>
  <c r="I29" i="4" s="1"/>
  <c r="J29" i="4" s="1"/>
  <c r="H136" i="4"/>
  <c r="J136" i="4" s="1"/>
  <c r="H36" i="4"/>
  <c r="I36" i="4" s="1"/>
  <c r="J36" i="4" s="1"/>
  <c r="H129" i="4"/>
  <c r="J129" i="4" s="1"/>
  <c r="H31" i="4"/>
  <c r="I31" i="4" s="1"/>
  <c r="J31" i="4" s="1"/>
  <c r="H32" i="4"/>
  <c r="I32" i="4" s="1"/>
  <c r="J32" i="4" s="1"/>
  <c r="H35" i="4"/>
  <c r="I35" i="4" s="1"/>
  <c r="H130" i="4"/>
  <c r="J130" i="4" s="1"/>
  <c r="H33" i="4"/>
  <c r="I33" i="4" s="1"/>
  <c r="J33" i="4" s="1"/>
  <c r="I30" i="4"/>
  <c r="J30" i="4" s="1"/>
  <c r="L47" i="4"/>
  <c r="H58" i="4"/>
  <c r="L42" i="4"/>
  <c r="H53" i="4"/>
  <c r="P58" i="4"/>
  <c r="G58" i="4" s="1"/>
  <c r="G47" i="4"/>
  <c r="G44" i="4"/>
  <c r="P55" i="4"/>
  <c r="G55" i="4" s="1"/>
  <c r="L44" i="4"/>
  <c r="H55" i="4"/>
  <c r="L41" i="4"/>
  <c r="H52" i="4"/>
  <c r="P57" i="4"/>
  <c r="G57" i="4" s="1"/>
  <c r="G46" i="4"/>
  <c r="P56" i="4"/>
  <c r="G56" i="4" s="1"/>
  <c r="G45" i="4"/>
  <c r="P51" i="4"/>
  <c r="G51" i="4" s="1"/>
  <c r="G40" i="4"/>
  <c r="L43" i="4"/>
  <c r="H54" i="4"/>
  <c r="L40" i="4"/>
  <c r="H51" i="4"/>
  <c r="P54" i="4"/>
  <c r="G54" i="4" s="1"/>
  <c r="G43" i="4"/>
  <c r="P52" i="4"/>
  <c r="G52" i="4" s="1"/>
  <c r="G41" i="4"/>
  <c r="H37" i="4"/>
  <c r="I37" i="4" s="1"/>
  <c r="J37" i="4" s="1"/>
  <c r="H34" i="4"/>
  <c r="I34" i="4" s="1"/>
  <c r="H131" i="4"/>
  <c r="J131" i="4" s="1"/>
  <c r="H59" i="4"/>
  <c r="L48" i="4"/>
  <c r="H57" i="4"/>
  <c r="L46" i="4"/>
  <c r="L45" i="4"/>
  <c r="H56" i="4"/>
  <c r="P53" i="4"/>
  <c r="G53" i="4" s="1"/>
  <c r="G42" i="4"/>
  <c r="P59" i="4"/>
  <c r="G59" i="4" s="1"/>
  <c r="G48" i="4"/>
  <c r="L81" i="4"/>
  <c r="I81" i="4" s="1"/>
  <c r="L80" i="4"/>
  <c r="I80" i="4" s="1"/>
  <c r="AK57" i="1" l="1"/>
  <c r="AK61" i="1"/>
  <c r="AK64" i="1"/>
  <c r="J35" i="4"/>
  <c r="I51" i="4"/>
  <c r="J51" i="4" s="1"/>
  <c r="I54" i="4"/>
  <c r="J54" i="4" s="1"/>
  <c r="J34" i="4"/>
  <c r="I55" i="4"/>
  <c r="J55" i="4" s="1"/>
  <c r="I58" i="4"/>
  <c r="J58" i="4" s="1"/>
  <c r="I57" i="4"/>
  <c r="J57" i="4" s="1"/>
  <c r="H43" i="4"/>
  <c r="I43" i="4"/>
  <c r="H47" i="4"/>
  <c r="I47" i="4"/>
  <c r="I45" i="4"/>
  <c r="H45" i="4"/>
  <c r="I59" i="4"/>
  <c r="J59" i="4" s="1"/>
  <c r="H41" i="4"/>
  <c r="I41" i="4"/>
  <c r="H42" i="4"/>
  <c r="I42" i="4"/>
  <c r="I48" i="4"/>
  <c r="H48" i="4"/>
  <c r="H40" i="4"/>
  <c r="I40" i="4"/>
  <c r="I53" i="4"/>
  <c r="J53" i="4" s="1"/>
  <c r="I56" i="4"/>
  <c r="J56" i="4" s="1"/>
  <c r="H46" i="4"/>
  <c r="I46" i="4"/>
  <c r="I52" i="4"/>
  <c r="J52" i="4" s="1"/>
  <c r="H44" i="4"/>
  <c r="I44" i="4"/>
  <c r="J41" i="4" l="1"/>
  <c r="J45" i="4"/>
  <c r="J47" i="4"/>
  <c r="J46" i="4"/>
  <c r="J40" i="4"/>
  <c r="J44" i="4"/>
  <c r="J48" i="4"/>
  <c r="J42" i="4"/>
  <c r="J43" i="4"/>
  <c r="B108" i="6" l="1"/>
  <c r="B110" i="6" s="1"/>
  <c r="B113" i="6" s="1"/>
  <c r="FE7" i="17" l="1"/>
  <c r="FE8" i="17" l="1"/>
</calcChain>
</file>

<file path=xl/sharedStrings.xml><?xml version="1.0" encoding="utf-8"?>
<sst xmlns="http://schemas.openxmlformats.org/spreadsheetml/2006/main" count="3358" uniqueCount="793">
  <si>
    <t>Materials</t>
  </si>
  <si>
    <t>5 PE</t>
  </si>
  <si>
    <t>Scenario</t>
  </si>
  <si>
    <t>Dry Conditions</t>
  </si>
  <si>
    <t>Onion</t>
  </si>
  <si>
    <t xml:space="preserve">Concrete </t>
  </si>
  <si>
    <t>Item</t>
  </si>
  <si>
    <t>Pea shingle</t>
  </si>
  <si>
    <t>Amount (m3)</t>
  </si>
  <si>
    <t>Amount (kg)</t>
  </si>
  <si>
    <t>GRP</t>
  </si>
  <si>
    <t>Length</t>
  </si>
  <si>
    <t>Vp</t>
  </si>
  <si>
    <t>Wet Conditions</t>
  </si>
  <si>
    <t>Amount (m2)</t>
  </si>
  <si>
    <t>Concrete</t>
  </si>
  <si>
    <t>Galvanised Steel</t>
  </si>
  <si>
    <t>No. Posts</t>
  </si>
  <si>
    <t>Fence Posts to kg</t>
  </si>
  <si>
    <t>Weight / bay</t>
  </si>
  <si>
    <t>kg</t>
  </si>
  <si>
    <t>Concnetre</t>
  </si>
  <si>
    <t>kg/m3</t>
  </si>
  <si>
    <t>HDPE Pipe</t>
  </si>
  <si>
    <t>kg/m</t>
  </si>
  <si>
    <t>160 mm HDPE</t>
  </si>
  <si>
    <t>https://store.jdpipes.co.uk/160mm-unperf-land-drainage-coil-50m/?keyword=&amp;gclid=EAIaIQobChMIn_rF6cet8QIVibLVCh0qOwOxEAQYASABEgJXbPD_BwE</t>
  </si>
  <si>
    <t>1.8m High 'W' Section Palisade Security Fencing | First Fence Ltd</t>
  </si>
  <si>
    <t>Operations</t>
  </si>
  <si>
    <t>Pea Shingle</t>
  </si>
  <si>
    <t>Excavation</t>
  </si>
  <si>
    <t>Tank</t>
  </si>
  <si>
    <t>Field + Fence</t>
  </si>
  <si>
    <t>Total</t>
  </si>
  <si>
    <t>Excavation (m3)</t>
  </si>
  <si>
    <t>Polypropylene</t>
  </si>
  <si>
    <t>10 PE</t>
  </si>
  <si>
    <t>20 PE</t>
  </si>
  <si>
    <t>Shallow Dig</t>
  </si>
  <si>
    <t>Wet</t>
  </si>
  <si>
    <t>Process</t>
  </si>
  <si>
    <t>Unit</t>
  </si>
  <si>
    <t>Steel</t>
  </si>
  <si>
    <t>30 PE</t>
  </si>
  <si>
    <t>50 PE</t>
  </si>
  <si>
    <t>75 PE</t>
  </si>
  <si>
    <t>100 PE</t>
  </si>
  <si>
    <t>HDPE</t>
  </si>
  <si>
    <t>Size (PE)</t>
  </si>
  <si>
    <t>Ground Conditions</t>
  </si>
  <si>
    <t>Soil Perpulaction</t>
  </si>
  <si>
    <t>Dry</t>
  </si>
  <si>
    <t>All</t>
  </si>
  <si>
    <t>Field</t>
  </si>
  <si>
    <t>Fence</t>
  </si>
  <si>
    <t>Geotextile</t>
  </si>
  <si>
    <t>Thickness</t>
  </si>
  <si>
    <t>Density</t>
  </si>
  <si>
    <t>g/cm3</t>
  </si>
  <si>
    <t>mm</t>
  </si>
  <si>
    <t>m</t>
  </si>
  <si>
    <t>Septic Tank</t>
  </si>
  <si>
    <t>Construction</t>
  </si>
  <si>
    <t>Construction Emission (Ton CO2 eq)</t>
  </si>
  <si>
    <t>Wasteater Scenario</t>
  </si>
  <si>
    <t>Disassembly and municipal disposal (disposal of concrete needs to be considered and added)</t>
  </si>
  <si>
    <t>IMPACT 2002+</t>
  </si>
  <si>
    <t>Propylene Pipe</t>
  </si>
  <si>
    <t>Gravel</t>
  </si>
  <si>
    <t>Polypropylene Textile</t>
  </si>
  <si>
    <t>m3</t>
  </si>
  <si>
    <t>Details</t>
  </si>
  <si>
    <t>Tricel Novo</t>
  </si>
  <si>
    <t>42a</t>
  </si>
  <si>
    <t>42b</t>
  </si>
  <si>
    <t>Weight (kg)</t>
  </si>
  <si>
    <t>Body Material</t>
  </si>
  <si>
    <t>SMC compression moulded</t>
  </si>
  <si>
    <t>Ceramic diffuser</t>
  </si>
  <si>
    <t>Two internal baffles</t>
  </si>
  <si>
    <t>Blower</t>
  </si>
  <si>
    <t>Media</t>
  </si>
  <si>
    <t>Blower Rating (WATTS)</t>
  </si>
  <si>
    <t>215 x 2</t>
  </si>
  <si>
    <t>Likely Polypropylene</t>
  </si>
  <si>
    <t>https://www.drainstore.com/plant-and-pump-spares/air-pumps/secoh/secoh-jdk-series-range/secoh-jdk-s-100-single-system-blower/</t>
  </si>
  <si>
    <t xml:space="preserve"> </t>
  </si>
  <si>
    <t>Estimate for 86w</t>
  </si>
  <si>
    <t>https://www.drainstore.com/plant-and-pump-spares/secoh-jdk-300c-twin-system-blower/</t>
  </si>
  <si>
    <t>PE</t>
  </si>
  <si>
    <t>gCo captia d-1</t>
  </si>
  <si>
    <t>Impact factor</t>
  </si>
  <si>
    <t>Methane</t>
  </si>
  <si>
    <t>Nitrous</t>
  </si>
  <si>
    <t>Methane (gCO2 d-1)</t>
  </si>
  <si>
    <t>Transport</t>
  </si>
  <si>
    <t>Distance</t>
  </si>
  <si>
    <t>Delsudging</t>
  </si>
  <si>
    <t>Processing</t>
  </si>
  <si>
    <t>Sludge Treeatment</t>
  </si>
  <si>
    <t>Per year</t>
  </si>
  <si>
    <t>for 25 years</t>
  </si>
  <si>
    <t xml:space="preserve">Operational </t>
  </si>
  <si>
    <t>Operational</t>
  </si>
  <si>
    <t>Impact of Centrifugal Blower</t>
  </si>
  <si>
    <t>Power</t>
  </si>
  <si>
    <t>Ref</t>
  </si>
  <si>
    <t>Carbon Impact</t>
  </si>
  <si>
    <t>1.043 *10^5</t>
  </si>
  <si>
    <t>18404kw</t>
  </si>
  <si>
    <t>https://reader.elsevier.com/reader/sd/pii/S0959652616312537?token=F59B52680C11923092E230D819B6C6BD590A23D8A656756C5E2FF47CBC6BE6ACD77F43339008F261C473B64675F7998A&amp;originRegion=eu-west-1&amp;originCreation=20210707103151</t>
  </si>
  <si>
    <t>Peng 16</t>
  </si>
  <si>
    <t>1.359x10^6</t>
  </si>
  <si>
    <t>https://watermark.silverchair.com/manu_141_02_021003.pdf?token=AQECAHi208BE49Ooan9kkhW_Ercy7Dm3ZL_9Cf3qfKAc485ysgAABCIwggQeBgkqhkiG9w0BBwagggQPMIIECwIBADCCBAQGCSqGSIb3DQEHATAeBglghkgBZQMEAS4wEQQMDRmJw5Ne6kvMJso_AgEQgIID1Ye6xcLUDBrAic3ojOxh7g6osgFHdNr3TbDErRO0mNK7K5tQPnqZKrIgImwJ5MbJy5lgIcwZ_pu9r0xuGDrTNuGCxcYQTMrUEm9FoMQxGCSmoMhq1pcM6n23yd6eczIuxM72WnvwoPI8GRV4EB-I0kCp3Hvbekmqh7FxjgVsHsFHSPVpTaRAED3P4bu5EWZ2jsRyrS87XOsRRHqEsXPEEjOwc0_V8yGVok3vrkMpj5q9RNL0dDPSPr7Bkm5NxreaRO_5oRtV80zHKlj7JZuCMYbPzyDcZbTWu8QUFA7HZory88UOH7HyXaBwTExYRwzIX9HydExUAJ_SSLu0uJ5ZtbEgUwVXEnqEiN2j98LdwnBozxmI0UXNaw6X6RGg0KAQLMNy1ygsuaLXL_0JRI0Aao74XxQ_qNj7iD0FqiyuRxXhynn6YSB8EcysUbB7zQurs8BTTnBTnIdLByAbAmaHMjvh_VRWyCQts5VxOKWzAzSVyVODWv96_YI52SWY6WPfim-pVTAB6aoPedS-8BEdPsmzGStFA5my2V4YmuYLJJahsLBz8nxisrGcEfzO_Ti0VcZqj4yF4M0Ag36TZWkJeGAaD33lV0mUAwD_CqYESPPFSlJyqnQvhnMQWuUF6JJemEUHaULZLng2OInfroAMGUygyUNd7GZdBc0aPCbZ5BPiLwesWC5lEdLI2UfFOCUJY3TTOcj5m5LGOfLsmTYpI48u_RaeIgWmatFoN0usm2-2H5WzPYu4_v8QDUhuTn2RIshcxquc4W3_64tGc2bibBJbCTxiKeCqN9AMyv00fCxjFdi5j47rlnCTjIwXF1ewTIU13DSQqEaTFzcGBkuJqG3-c21cbjWZgwUEi8AqB5OhgYkYysrLkDTsgbaDdxCm6Aq2k3EvInDPQrDqUkfryqKElb7ug4jURH2TQkdqM-br2g2FnPWUhrgHTZgVtFUa63RR1GkRcCqY-XAGBRh8pDz0-pUO7oYBoxAzfyKG1lNv8w_0WFDrOWp791q5ZpHJpqKtwcJg6TqjQ7j1egneErFshflN8Vbc4g-ec9UGXYuDebG4bP77ga66cNA9Xef0USgF-ANX7r72pTxCT4RD4S24Y57FbqWUMts0p-adhyZsn-WbVdL_W0RWqRRY5vpxMoZP6QgWdMZSWRtlmuz66RW5HQrB4Q1Nt7PuTOKX9s9IDkI7W41UrhBfRk7emG_XvAlfhEd5Yjk2BJl6brdW0JPkINB8oCJEMJ_OTlIA-yn2EvF0SYUzoyM4yz7iDD3wk91PCYPrDFf4HsxtDpl3bwBSVUHqcg</t>
  </si>
  <si>
    <t>Peng 19</t>
  </si>
  <si>
    <t>1.8kW</t>
  </si>
  <si>
    <t>https://www.researchgate.net/publication/2411614_'Life_cycle_assessment_of_an_axial_air_compressor_manufactured_by_the_firm_FINI_COMPRESSORI'</t>
  </si>
  <si>
    <t>Neri 01</t>
  </si>
  <si>
    <t>Ecoinvent</t>
  </si>
  <si>
    <t>4kw</t>
  </si>
  <si>
    <t>300kw</t>
  </si>
  <si>
    <t>Do I scale it?</t>
  </si>
  <si>
    <t>Best Option I have so far</t>
  </si>
  <si>
    <t>But a linear assumption isnt exactly ideal</t>
  </si>
  <si>
    <t>Kg CO2 eq</t>
  </si>
  <si>
    <t>System Mass</t>
  </si>
  <si>
    <t>Stick to this as reference for now by mass</t>
  </si>
  <si>
    <t>Use system mass</t>
  </si>
  <si>
    <t>215w</t>
  </si>
  <si>
    <t>Ratio of Compressor</t>
  </si>
  <si>
    <t>86w</t>
  </si>
  <si>
    <t>Tricel Novouk10</t>
  </si>
  <si>
    <t>Fence Posts</t>
  </si>
  <si>
    <t>Compressor</t>
  </si>
  <si>
    <t>Tricel Novouk42</t>
  </si>
  <si>
    <t>Clenviro CLF 11</t>
  </si>
  <si>
    <t>Blower Rating</t>
  </si>
  <si>
    <t>kW</t>
  </si>
  <si>
    <t>Clenviro CLF 14</t>
  </si>
  <si>
    <t>CSAF 150</t>
  </si>
  <si>
    <t>CSAF 200</t>
  </si>
  <si>
    <t>kw</t>
  </si>
  <si>
    <t>This is including the mild steel case</t>
  </si>
  <si>
    <t>Blower Weight</t>
  </si>
  <si>
    <t>From Becker.co.uk</t>
  </si>
  <si>
    <t>This is the weight of the actual blowers</t>
  </si>
  <si>
    <t>Mild Steel</t>
  </si>
  <si>
    <t>Weight Estimation</t>
  </si>
  <si>
    <t>Tricel Novouk24</t>
  </si>
  <si>
    <t>Diam</t>
  </si>
  <si>
    <t>Weight</t>
  </si>
  <si>
    <t>Year</t>
  </si>
  <si>
    <t>EEP 2019</t>
  </si>
  <si>
    <t>EEP 2018</t>
  </si>
  <si>
    <t>EEP 2017</t>
  </si>
  <si>
    <t>Low</t>
  </si>
  <si>
    <t>High</t>
  </si>
  <si>
    <t>Desludging Frequency</t>
  </si>
  <si>
    <t>SAFs</t>
  </si>
  <si>
    <t>Blower Rating (W)</t>
  </si>
  <si>
    <t>Yearly kWH usage</t>
  </si>
  <si>
    <t>Error</t>
  </si>
  <si>
    <t>Low Projection</t>
  </si>
  <si>
    <t>High Projection</t>
  </si>
  <si>
    <t>Transport Emissions</t>
  </si>
  <si>
    <t>Volume</t>
  </si>
  <si>
    <t>Desludging Volume</t>
  </si>
  <si>
    <t>Desludging Mass</t>
  </si>
  <si>
    <t>Lorry Weight Class</t>
  </si>
  <si>
    <t>3.5 - 7.5</t>
  </si>
  <si>
    <t>7.5 - 16</t>
  </si>
  <si>
    <t>https://fourjays.co.uk/product/tankers-disposal-vehicles/</t>
  </si>
  <si>
    <t>this needs checking</t>
  </si>
  <si>
    <t>Euro 3</t>
  </si>
  <si>
    <t>Euro 4</t>
  </si>
  <si>
    <t>Euro 5</t>
  </si>
  <si>
    <t>Euro 6</t>
  </si>
  <si>
    <t>From 2005</t>
  </si>
  <si>
    <t>tkm</t>
  </si>
  <si>
    <t>kgCO2 / tkm</t>
  </si>
  <si>
    <t>Emission Per Trip</t>
  </si>
  <si>
    <t>Distance (mile)</t>
  </si>
  <si>
    <t>Emission per mile</t>
  </si>
  <si>
    <t>Imperable liner</t>
  </si>
  <si>
    <t>100mm Crush Aggreagate</t>
  </si>
  <si>
    <t xml:space="preserve"> 4_10MM AGGREGATE WASHED GRAVEL</t>
  </si>
  <si>
    <t>Gabions</t>
  </si>
  <si>
    <t>Length Panels</t>
  </si>
  <si>
    <t>Face Panels</t>
  </si>
  <si>
    <t>1.2m Helical</t>
  </si>
  <si>
    <t>1m Helical</t>
  </si>
  <si>
    <t>Aeration</t>
  </si>
  <si>
    <t>Piping</t>
  </si>
  <si>
    <t>Piping and Drainage</t>
  </si>
  <si>
    <t>Pipe Length</t>
  </si>
  <si>
    <t>End Caps</t>
  </si>
  <si>
    <t>Tee Joint</t>
  </si>
  <si>
    <t>Elbow</t>
  </si>
  <si>
    <t>Tank Connector</t>
  </si>
  <si>
    <t>Pump Mass</t>
  </si>
  <si>
    <t xml:space="preserve">Ratio to System </t>
  </si>
  <si>
    <t>Conversions to mass of materials</t>
  </si>
  <si>
    <t>Crushed Aggregate</t>
  </si>
  <si>
    <t>Pea Shingle (kg)</t>
  </si>
  <si>
    <t>Crushed Aggregate (kg)</t>
  </si>
  <si>
    <t>Geotextile (kg)</t>
  </si>
  <si>
    <t>Imperiable Layer</t>
  </si>
  <si>
    <t>PVC</t>
  </si>
  <si>
    <t>3" Fitting Mass</t>
  </si>
  <si>
    <t>Kg</t>
  </si>
  <si>
    <t>kg per m</t>
  </si>
  <si>
    <t>kg per unit</t>
  </si>
  <si>
    <t>Panel Mass</t>
  </si>
  <si>
    <t>kg per m2</t>
  </si>
  <si>
    <t>Helical Spring</t>
  </si>
  <si>
    <t>per m</t>
  </si>
  <si>
    <t>Volume of PVC pipe</t>
  </si>
  <si>
    <t>PVC Density</t>
  </si>
  <si>
    <t>D1</t>
  </si>
  <si>
    <t>D2</t>
  </si>
  <si>
    <t>LDPE</t>
  </si>
  <si>
    <t>ReCipe Midpoint H</t>
  </si>
  <si>
    <t xml:space="preserve">Pea Shingle </t>
  </si>
  <si>
    <t>Gloabal Warming (kg Co2 eq)</t>
  </si>
  <si>
    <t>SAF</t>
  </si>
  <si>
    <t>Total Kg CO2eq</t>
  </si>
  <si>
    <t>Stated CO2</t>
  </si>
  <si>
    <t>This is probably including disposal</t>
  </si>
  <si>
    <t>PE=5</t>
  </si>
  <si>
    <t>P=10</t>
  </si>
  <si>
    <t>P=20</t>
  </si>
  <si>
    <t>P=30</t>
  </si>
  <si>
    <t>PE=50</t>
  </si>
  <si>
    <t>PE=75</t>
  </si>
  <si>
    <t>PE=100</t>
  </si>
  <si>
    <t>PE=150</t>
  </si>
  <si>
    <t>AHF</t>
  </si>
  <si>
    <t>https://www.watergardeningdirect.com/acatalog/pdf/gordonlow/GreenSeal-EPDM-Pond-Liner-Specification.pdf</t>
  </si>
  <si>
    <t>Imperable Liner</t>
  </si>
  <si>
    <t>Lining</t>
  </si>
  <si>
    <t>PE=200</t>
  </si>
  <si>
    <t>PE=300</t>
  </si>
  <si>
    <t>PE=400</t>
  </si>
  <si>
    <t>PE=500</t>
  </si>
  <si>
    <t>Siphon from ABR feed</t>
  </si>
  <si>
    <t>Sharp Sand</t>
  </si>
  <si>
    <t>20-40mm</t>
  </si>
  <si>
    <t>1"</t>
  </si>
  <si>
    <t>Tee Joints</t>
  </si>
  <si>
    <t>Elbows</t>
  </si>
  <si>
    <t>3"</t>
  </si>
  <si>
    <t>Concrete Slabs</t>
  </si>
  <si>
    <t>Shapr sand</t>
  </si>
  <si>
    <t>Mass</t>
  </si>
  <si>
    <t>Concrete Slab</t>
  </si>
  <si>
    <t>1" PVC Mass</t>
  </si>
  <si>
    <t>3" PVC Mass</t>
  </si>
  <si>
    <t>1" Fittings</t>
  </si>
  <si>
    <t>Sum</t>
  </si>
  <si>
    <t>Summary</t>
  </si>
  <si>
    <t>No Pumping Conditions</t>
  </si>
  <si>
    <t>Fence Post 3.1m</t>
  </si>
  <si>
    <t>Fence Panel 300mm</t>
  </si>
  <si>
    <t>Fence Panel 150mm</t>
  </si>
  <si>
    <t>Gas Cover</t>
  </si>
  <si>
    <t>Rebar - Mild Steel</t>
  </si>
  <si>
    <t>Fence Breakdown</t>
  </si>
  <si>
    <t>Rebars</t>
  </si>
  <si>
    <t>Total Mass</t>
  </si>
  <si>
    <t>Rebar</t>
  </si>
  <si>
    <t>https://www.travisperkins.co.uk/steel-reinforcement/rom-concrete-reinforcing-bar-high-yield-t12-3m-x-12mm/p/509100?gclid=EAIaIQobChMIl__O5YvU8wIVE2gYCh2mTAQcEAQYASABEgJuBvD_BwE&amp;gclsrc=aw.ds</t>
  </si>
  <si>
    <t>Mass per m</t>
  </si>
  <si>
    <t>Dia</t>
  </si>
  <si>
    <t>Denisty</t>
  </si>
  <si>
    <t>3.1m Concrete Post</t>
  </si>
  <si>
    <t>https://www.lawsons.co.uk/product/category/30/3040mm-%2810ft%29-concrete-slotted-intermediate-fence-post/f00002064</t>
  </si>
  <si>
    <t>Lining and Gas Cover</t>
  </si>
  <si>
    <t>Baffling</t>
  </si>
  <si>
    <t>ABR - Excavation</t>
  </si>
  <si>
    <t>VF Siphon</t>
  </si>
  <si>
    <t>ST - Dry</t>
  </si>
  <si>
    <t>ABR (EX) VF (SIP)</t>
  </si>
  <si>
    <t>ABR (EX) AHF (GRV)</t>
  </si>
  <si>
    <t>Check Column</t>
  </si>
  <si>
    <t>Why is the GRp so low</t>
  </si>
  <si>
    <t>Because the system is HDPE</t>
  </si>
  <si>
    <t>Treatment Capital Carbon</t>
  </si>
  <si>
    <t>ABR VF</t>
  </si>
  <si>
    <t>ABR AHF</t>
  </si>
  <si>
    <t>Contributions</t>
  </si>
  <si>
    <t>Overall</t>
  </si>
  <si>
    <t>Components</t>
  </si>
  <si>
    <t>Drainfield - Low</t>
  </si>
  <si>
    <t>Drainfield - High</t>
  </si>
  <si>
    <t>ST - L</t>
  </si>
  <si>
    <t>ST - H</t>
  </si>
  <si>
    <t>ST - Low Soil Permiability</t>
  </si>
  <si>
    <t>ST - High Soil Permiability</t>
  </si>
  <si>
    <t>Programmed</t>
  </si>
  <si>
    <t>PE=600</t>
  </si>
  <si>
    <t>PE=800</t>
  </si>
  <si>
    <t>PE=1000</t>
  </si>
  <si>
    <t>PE=</t>
  </si>
  <si>
    <t>Operational Emissions</t>
  </si>
  <si>
    <t>N2O</t>
  </si>
  <si>
    <t>Maltais-Landry</t>
  </si>
  <si>
    <t>kgN20 / kg TN load</t>
  </si>
  <si>
    <t>Wang et al.</t>
  </si>
  <si>
    <t>Loading</t>
  </si>
  <si>
    <t>TN out</t>
  </si>
  <si>
    <t>g/m3</t>
  </si>
  <si>
    <t>TN loading (g/d)</t>
  </si>
  <si>
    <t>Flowrate (m3/d)</t>
  </si>
  <si>
    <t>N2O emission g d-1</t>
  </si>
  <si>
    <t>N2O emission g yr-1</t>
  </si>
  <si>
    <t>GWP</t>
  </si>
  <si>
    <t>Kg CO2 eq yr-1</t>
  </si>
  <si>
    <t>Electricity</t>
  </si>
  <si>
    <t>Av.</t>
  </si>
  <si>
    <t>kWh yr-1</t>
  </si>
  <si>
    <t>gCO2 / kWh</t>
  </si>
  <si>
    <t>Maintanence</t>
  </si>
  <si>
    <t>Site Visits</t>
  </si>
  <si>
    <t>per year</t>
  </si>
  <si>
    <t>Reed Harvesting</t>
  </si>
  <si>
    <t>Parts</t>
  </si>
  <si>
    <t>Visits</t>
  </si>
  <si>
    <t>Pump Replacement</t>
  </si>
  <si>
    <t>PE 5,10,600 ,800 , 1000</t>
  </si>
  <si>
    <t>PE 20 - 400</t>
  </si>
  <si>
    <t>Replacement</t>
  </si>
  <si>
    <t>This is a rough assumption</t>
  </si>
  <si>
    <t>Travel Distance</t>
  </si>
  <si>
    <t>40 mile average</t>
  </si>
  <si>
    <t>Gaby Spreadsheet</t>
  </si>
  <si>
    <t>Vehicle</t>
  </si>
  <si>
    <t>Large Diesel</t>
  </si>
  <si>
    <t>per mile</t>
  </si>
  <si>
    <t>kg Co2 eq</t>
  </si>
  <si>
    <t>Miles travelled</t>
  </si>
  <si>
    <t>miles per year</t>
  </si>
  <si>
    <t>Blower Parts</t>
  </si>
  <si>
    <t>Total Emissions</t>
  </si>
  <si>
    <t>Captial</t>
  </si>
  <si>
    <t>Av</t>
  </si>
  <si>
    <t>Erro</t>
  </si>
  <si>
    <t>Process Emissions</t>
  </si>
  <si>
    <t>Refurbishment</t>
  </si>
  <si>
    <t>New Media</t>
  </si>
  <si>
    <t>Piping and lining remain</t>
  </si>
  <si>
    <t xml:space="preserve">Shingle </t>
  </si>
  <si>
    <t>Aggregate</t>
  </si>
  <si>
    <t>Refurb</t>
  </si>
  <si>
    <t>Frequency</t>
  </si>
  <si>
    <t>Site Visit Travel Distance</t>
  </si>
  <si>
    <t>Lo</t>
  </si>
  <si>
    <t>Hi</t>
  </si>
  <si>
    <t xml:space="preserve">Travel Distance = </t>
  </si>
  <si>
    <t>and Mander paper</t>
  </si>
  <si>
    <t>WERF and Mander paper</t>
  </si>
  <si>
    <t>TOC laoding (g/d)</t>
  </si>
  <si>
    <t>CH4 emissions g/yr</t>
  </si>
  <si>
    <t>CH4 emissions g/d</t>
  </si>
  <si>
    <t>TOC factor</t>
  </si>
  <si>
    <t>BODin</t>
  </si>
  <si>
    <t>mg/l</t>
  </si>
  <si>
    <t>Sand</t>
  </si>
  <si>
    <t>VF</t>
  </si>
  <si>
    <t>-</t>
  </si>
  <si>
    <t>tCo2 eq</t>
  </si>
  <si>
    <t>Yearly kWh</t>
  </si>
  <si>
    <t>Desludging</t>
  </si>
  <si>
    <r>
      <t xml:space="preserve">UKWIR 2008 factor </t>
    </r>
    <r>
      <rPr>
        <sz val="11"/>
        <color rgb="FFFF0000"/>
        <rFont val="Arial"/>
        <family val="2"/>
      </rPr>
      <t>(needs updating)</t>
    </r>
  </si>
  <si>
    <t>unit: kg N2O / kg TN load . GWP N2O = 265 (AR5; IPPC 2014)</t>
  </si>
  <si>
    <t xml:space="preserve">Wang et al </t>
  </si>
  <si>
    <t>mg CH4/pe/d</t>
  </si>
  <si>
    <t>kg N2O / kg TN</t>
  </si>
  <si>
    <t xml:space="preserve">GWP </t>
  </si>
  <si>
    <t>kg CO2 eq yr-1</t>
  </si>
  <si>
    <t>g N20 d-1</t>
  </si>
  <si>
    <t>g CO2 eq d-1</t>
  </si>
  <si>
    <t>Methane released g/d</t>
  </si>
  <si>
    <t>Process Emissions kg Co2 eq yr-1</t>
  </si>
  <si>
    <t>Overall Process Emissions</t>
  </si>
  <si>
    <t>Volume m3</t>
  </si>
  <si>
    <t>Desludging Volume (m3)</t>
  </si>
  <si>
    <t>Desludging Mass (kg)</t>
  </si>
  <si>
    <t>16-32</t>
  </si>
  <si>
    <t>No.</t>
  </si>
  <si>
    <t>Septic Tank Operational Emissions</t>
  </si>
  <si>
    <t>Overall SAF operational emisisons based on average operations</t>
  </si>
  <si>
    <t>Average is as per probider expectations</t>
  </si>
  <si>
    <t>Process (kg Co2 eq / yr)</t>
  </si>
  <si>
    <t>Max Desluding Period (days)</t>
  </si>
  <si>
    <t xml:space="preserve">Site Visits </t>
  </si>
  <si>
    <t>per month</t>
  </si>
  <si>
    <t>Volume (m3)</t>
  </si>
  <si>
    <t>(Double as operating at 1/2 flow)</t>
  </si>
  <si>
    <t>Sludge Treatment</t>
  </si>
  <si>
    <t>Sludge Tankering</t>
  </si>
  <si>
    <t>ST</t>
  </si>
  <si>
    <t>Excluding Site Visits</t>
  </si>
  <si>
    <t>Breakdown</t>
  </si>
  <si>
    <t>General Maintanence</t>
  </si>
  <si>
    <t>Cross over period</t>
  </si>
  <si>
    <t>ABR-VF</t>
  </si>
  <si>
    <t>ABR-AHF</t>
  </si>
  <si>
    <t>ABR</t>
  </si>
  <si>
    <t>Other</t>
  </si>
  <si>
    <t>Foley 2010</t>
  </si>
  <si>
    <t>Ch4 from effluent discharge to estuary</t>
  </si>
  <si>
    <t>Mid</t>
  </si>
  <si>
    <t>kg CH4 per kg COD discharged</t>
  </si>
  <si>
    <t>IPCC 2006a Table 6.3</t>
  </si>
  <si>
    <t>N20 from effluent discharge to estuary</t>
  </si>
  <si>
    <t>kg N20 N per kg N discharged</t>
  </si>
  <si>
    <t>Discharge to Estuary</t>
  </si>
  <si>
    <t>kg Ch4</t>
  </si>
  <si>
    <t>kg N2O</t>
  </si>
  <si>
    <t>Low Range</t>
  </si>
  <si>
    <t>kg CO2 emissions yr-1</t>
  </si>
  <si>
    <t>kg Ch4 yr-1</t>
  </si>
  <si>
    <t>kg N2O yr-1</t>
  </si>
  <si>
    <t>High Range</t>
  </si>
  <si>
    <t>Discharge</t>
  </si>
  <si>
    <t>Effluent</t>
  </si>
  <si>
    <t>Consent</t>
  </si>
  <si>
    <t>TSS</t>
  </si>
  <si>
    <t>BOD5</t>
  </si>
  <si>
    <t>NH4-N</t>
  </si>
  <si>
    <t>COD:BOD ratio</t>
  </si>
  <si>
    <t>TN effluent laoding</t>
  </si>
  <si>
    <t>N release</t>
  </si>
  <si>
    <t>IF ONLY SOMEONE HAD MADE A GOOD MASS BALANCE OF NITROGEN FOR THESE SYSTEMS, IT WOULD BE VERY USEFUL</t>
  </si>
  <si>
    <t>TN loading (G/D)</t>
  </si>
  <si>
    <t>TN effluent (kg yr-1)</t>
  </si>
  <si>
    <t>Cod effluent</t>
  </si>
  <si>
    <t>Influent</t>
  </si>
  <si>
    <t>BOD loading</t>
  </si>
  <si>
    <t>COD loading</t>
  </si>
  <si>
    <t>NH4 loading</t>
  </si>
  <si>
    <t>TSS loading</t>
  </si>
  <si>
    <t>Concentrations</t>
  </si>
  <si>
    <t>NH4</t>
  </si>
  <si>
    <t>CONSENTED</t>
  </si>
  <si>
    <t>Reductions</t>
  </si>
  <si>
    <t>TN</t>
  </si>
  <si>
    <t>Source</t>
  </si>
  <si>
    <t>COD</t>
  </si>
  <si>
    <t>TN effluent</t>
  </si>
  <si>
    <t>NH4 effluent</t>
  </si>
  <si>
    <t xml:space="preserve">BOD effluent </t>
  </si>
  <si>
    <t>Loads (g/d)</t>
  </si>
  <si>
    <t>COD effluent</t>
  </si>
  <si>
    <t>TSS effluent</t>
  </si>
  <si>
    <t>Wetland Type</t>
  </si>
  <si>
    <t>TN reduction</t>
  </si>
  <si>
    <t>BOD: COD</t>
  </si>
  <si>
    <t>Vymazal 07</t>
  </si>
  <si>
    <t>Brix and Arias 05</t>
  </si>
  <si>
    <t>Luederitz et al. 01</t>
  </si>
  <si>
    <t>Zapater-Pereyra 14</t>
  </si>
  <si>
    <t>Maltais-Landry 09</t>
  </si>
  <si>
    <t>Construction Stage</t>
  </si>
  <si>
    <t xml:space="preserve">g CO2 </t>
  </si>
  <si>
    <t>Data Sources</t>
  </si>
  <si>
    <t>https://assets.publishing.service.gov.uk/government/uploads/system/uploads/attachment_data/file/931323/updated-energy-and-emissions-projections-2019.pdf</t>
  </si>
  <si>
    <t>https://assets.publishing.service.gov.uk/government/uploads/system/uploads/attachment_data/file/794590/updated-energy-and-emissions-projections-2018.pdf</t>
  </si>
  <si>
    <t>https://www.gov.uk/government/publications/updated-energy-and-emissions-projections-2017</t>
  </si>
  <si>
    <t>As of 2/11/21 The 2020 projection is unavailable</t>
  </si>
  <si>
    <t>Fitting</t>
  </si>
  <si>
    <t>Projections of UK grid decarbonisation are processes using Matlab</t>
  </si>
  <si>
    <t>Modelled using the equation</t>
  </si>
  <si>
    <t>b(1)*exp(-(year)*b(2)</t>
  </si>
  <si>
    <t>Code</t>
  </si>
  <si>
    <r>
      <t>Filename=</t>
    </r>
    <r>
      <rPr>
        <sz val="10"/>
        <color rgb="FFAA04F9"/>
        <rFont val="Consolas"/>
        <family val="3"/>
      </rPr>
      <t>"Grid Carbon"</t>
    </r>
    <r>
      <rPr>
        <sz val="10"/>
        <color theme="1"/>
        <rFont val="Consolas"/>
        <family val="3"/>
      </rPr>
      <t>;</t>
    </r>
  </si>
  <si>
    <r>
      <t>sheet=</t>
    </r>
    <r>
      <rPr>
        <sz val="10"/>
        <color rgb="FFAA04F9"/>
        <rFont val="Consolas"/>
        <family val="3"/>
      </rPr>
      <t>'Mean'</t>
    </r>
    <r>
      <rPr>
        <sz val="10"/>
        <color theme="1"/>
        <rFont val="Consolas"/>
        <family val="3"/>
      </rPr>
      <t xml:space="preserve">; </t>
    </r>
  </si>
  <si>
    <t>Grid_Carbon;</t>
  </si>
  <si>
    <t>%initial Data</t>
  </si>
  <si>
    <t>beta0=[146.33;0.039];</t>
  </si>
  <si>
    <r>
      <t xml:space="preserve">modelfun=@(b,year)(b(1)*exp(-(year)*b(2))); </t>
    </r>
    <r>
      <rPr>
        <sz val="10"/>
        <color rgb="FF028009"/>
        <rFont val="Consolas"/>
        <family val="3"/>
      </rPr>
      <t>%5/7ths Like model</t>
    </r>
  </si>
  <si>
    <r>
      <t>opts = statset(</t>
    </r>
    <r>
      <rPr>
        <sz val="10"/>
        <color rgb="FFAA04F9"/>
        <rFont val="Consolas"/>
        <family val="3"/>
      </rPr>
      <t>'nlinfit'</t>
    </r>
    <r>
      <rPr>
        <sz val="10"/>
        <color theme="1"/>
        <rFont val="Consolas"/>
        <family val="3"/>
      </rPr>
      <t xml:space="preserve">); </t>
    </r>
    <r>
      <rPr>
        <sz val="10"/>
        <color rgb="FF028009"/>
        <rFont val="Consolas"/>
        <family val="3"/>
      </rPr>
      <t>%Fitting model</t>
    </r>
  </si>
  <si>
    <r>
      <t xml:space="preserve">opts.RobustWgtFun = </t>
    </r>
    <r>
      <rPr>
        <sz val="10"/>
        <color rgb="FFAA04F9"/>
        <rFont val="Consolas"/>
        <family val="3"/>
      </rPr>
      <t>'bisquare'</t>
    </r>
    <r>
      <rPr>
        <sz val="10"/>
        <color theme="1"/>
        <rFont val="Consolas"/>
        <family val="3"/>
      </rPr>
      <t xml:space="preserve">; </t>
    </r>
    <r>
      <rPr>
        <sz val="10"/>
        <color rgb="FF028009"/>
        <rFont val="Consolas"/>
        <family val="3"/>
      </rPr>
      <t>% I dont know what this does</t>
    </r>
  </si>
  <si>
    <t>% Non linear Regression</t>
  </si>
  <si>
    <r>
      <t>[Cost_calc,R,J]=nlinfit(year,emission,modelfun,beta0,</t>
    </r>
    <r>
      <rPr>
        <sz val="10"/>
        <color rgb="FFAA04F9"/>
        <rFont val="Consolas"/>
        <family val="3"/>
      </rPr>
      <t>"Options"</t>
    </r>
    <r>
      <rPr>
        <sz val="10"/>
        <color theme="1"/>
        <rFont val="Consolas"/>
        <family val="3"/>
      </rPr>
      <t>,opts);</t>
    </r>
  </si>
  <si>
    <r>
      <t>ci=nlparci(Cost_calc,R,</t>
    </r>
    <r>
      <rPr>
        <sz val="10"/>
        <color rgb="FFAA04F9"/>
        <rFont val="Consolas"/>
        <family val="3"/>
      </rPr>
      <t>"jacobian"</t>
    </r>
    <r>
      <rPr>
        <sz val="10"/>
        <color theme="1"/>
        <rFont val="Consolas"/>
        <family val="3"/>
      </rPr>
      <t>,J);</t>
    </r>
  </si>
  <si>
    <t>Power_order=[Cost_calc(2,1),ci(2,:)];</t>
  </si>
  <si>
    <t>Initial=[Cost_calc(1,1),ci(1,:)];</t>
  </si>
  <si>
    <t>%Saving Data</t>
  </si>
  <si>
    <t>Stuff=[Power_order,Initial];</t>
  </si>
  <si>
    <t>xlswrite(Filename,Stuff)</t>
  </si>
  <si>
    <t>%year=[2019;2020;2021;2022;2023;2024;2025;2026;2027;2028;2029;2030;2031;2032;2033;2034;2035;2036;2037;2038;2039;2040];</t>
  </si>
  <si>
    <t>emission_EEP2019=[156;147;137;127;119;128;108;90;85;91;98;89;83;84;85;87;78;71;67;70;69;67];</t>
  </si>
  <si>
    <t>year_EEP2019=[1;2;3;4;5;6;7;8;9;10;11;12;13;14;15;16;17;18;19;20;21;22];</t>
  </si>
  <si>
    <t>year_EEP2018=[1;2;3;4;5;6;7;8;9;10;11;12;13;14;15;16;17];</t>
  </si>
  <si>
    <t>emission_EEP2018=[144;136;115;108;111;111;108;98;105;100;91;85;76;64;60;51;41];</t>
  </si>
  <si>
    <t>year_EEP2017=[1;2;3;4;5;6;7;8;9;10;11;12;13;14;15;16;17];</t>
  </si>
  <si>
    <t>emission_EEP2017=[195;181;171;148;144;150;141;114;119;108;96;104;95;78;74;67;55];</t>
  </si>
  <si>
    <t>% Data=[year,emission];</t>
  </si>
  <si>
    <r>
      <t>emission=[emission_EEP2019];</t>
    </r>
    <r>
      <rPr>
        <sz val="10"/>
        <color rgb="FF028009"/>
        <rFont val="Consolas"/>
        <family val="3"/>
      </rPr>
      <t>%;emission_EEP2018;emission_EEP2017];</t>
    </r>
  </si>
  <si>
    <r>
      <t>year=[year_EEP2019];</t>
    </r>
    <r>
      <rPr>
        <sz val="10"/>
        <color rgb="FF028009"/>
        <rFont val="Consolas"/>
        <family val="3"/>
      </rPr>
      <t>%;year_EEP2018;year_EEP2017];</t>
    </r>
  </si>
  <si>
    <t>Data=[year,emission];</t>
  </si>
  <si>
    <t>Grid_Carbon.m</t>
  </si>
  <si>
    <t>Grid_Carbon_Projection.m</t>
  </si>
  <si>
    <t xml:space="preserve">Code </t>
  </si>
  <si>
    <t>-&gt;</t>
  </si>
  <si>
    <t>Projection</t>
  </si>
  <si>
    <t>b(2)</t>
  </si>
  <si>
    <t>b(1)</t>
  </si>
  <si>
    <t>Projection is based soley on EP 2019</t>
  </si>
  <si>
    <t>Overall Error</t>
  </si>
  <si>
    <t xml:space="preserve">gCO2 KWh-1 </t>
  </si>
  <si>
    <t>Overestimate of the carbon emission from grid carbon usage compared to the EEP 2019 projection</t>
  </si>
  <si>
    <t>Capital Carbon Emissions</t>
  </si>
  <si>
    <t>This is the page which discribes the working of this spreadsheet and the overall methodology used for the calculated for the life cycle carbon</t>
  </si>
  <si>
    <t>Each Sheet has a tab colour to highlight the purpose of the sheet</t>
  </si>
  <si>
    <t>Legend</t>
  </si>
  <si>
    <t>Initial Calculation and Reference data</t>
  </si>
  <si>
    <t xml:space="preserve">Raw Data </t>
  </si>
  <si>
    <t>Analysed Data</t>
  </si>
  <si>
    <t>Max carrying capacity 18m3</t>
  </si>
  <si>
    <t>Current Tankering Work</t>
  </si>
  <si>
    <t>7.5tn Tanker</t>
  </si>
  <si>
    <t>2000L Capcity</t>
  </si>
  <si>
    <t>32 tn</t>
  </si>
  <si>
    <t>19000 L Capacity</t>
  </si>
  <si>
    <t>https://www.kelberg.com/product-info.asp?id=152&amp;gclid=EAIaIQobChMImMXd7uP78wIV0N_tCh2aAwREEAAYAiAAEgIc-fD_BwE</t>
  </si>
  <si>
    <t>15 tn</t>
  </si>
  <si>
    <t>10.5tn</t>
  </si>
  <si>
    <t>10500 L Capacity</t>
  </si>
  <si>
    <t>Unladen Journey</t>
  </si>
  <si>
    <t>Tanker</t>
  </si>
  <si>
    <t>Travel Distance (mi)</t>
  </si>
  <si>
    <t>Travel Distance (km)</t>
  </si>
  <si>
    <t>Overall Tankering Emissions</t>
  </si>
  <si>
    <t>Unladen</t>
  </si>
  <si>
    <t>Laden</t>
  </si>
  <si>
    <t>Dry Mass</t>
  </si>
  <si>
    <t>Round Trip</t>
  </si>
  <si>
    <t>Single Trip Distance (mile)</t>
  </si>
  <si>
    <t>tkm per tanker</t>
  </si>
  <si>
    <t>No. Tankers</t>
  </si>
  <si>
    <t>Distance to Major Works</t>
  </si>
  <si>
    <t>Desludging Frequency Trips per year</t>
  </si>
  <si>
    <t>Yearly Tankering Emissions kg yr-1</t>
  </si>
  <si>
    <t>ABR tankering</t>
  </si>
  <si>
    <t>Desluding every 7 years</t>
  </si>
  <si>
    <t>Travel distance 40 miles</t>
  </si>
  <si>
    <t>Captial Emissions</t>
  </si>
  <si>
    <t>Steel Palasade</t>
  </si>
  <si>
    <t>No. fence posts</t>
  </si>
  <si>
    <t>kg CO2</t>
  </si>
  <si>
    <t>Methane Emissions from constructed wetlands</t>
  </si>
  <si>
    <t>Ch4 emissions = sum(TOW * EF)</t>
  </si>
  <si>
    <t>Where</t>
  </si>
  <si>
    <t xml:space="preserve">TOW </t>
  </si>
  <si>
    <t>total organics entering CW (kg BOD yr-1)</t>
  </si>
  <si>
    <t>CH4 emissions (kg CH4 yr-1)</t>
  </si>
  <si>
    <t>EF</t>
  </si>
  <si>
    <t>Emission factor</t>
  </si>
  <si>
    <t>EF = Bo * MCF</t>
  </si>
  <si>
    <t xml:space="preserve">Bo </t>
  </si>
  <si>
    <t>Max CH4 producing capacity</t>
  </si>
  <si>
    <t>MCF</t>
  </si>
  <si>
    <t>Methane Correction factor</t>
  </si>
  <si>
    <t>Range</t>
  </si>
  <si>
    <t>0.004-0.016</t>
  </si>
  <si>
    <t>Use 2006 IPCC guideliones</t>
  </si>
  <si>
    <t xml:space="preserve">Process </t>
  </si>
  <si>
    <t>Emission</t>
  </si>
  <si>
    <t>Nitrous Oxide (g PE-1 d-1)</t>
  </si>
  <si>
    <t>WERF</t>
  </si>
  <si>
    <t>Methane (g PE-1 d-1)</t>
  </si>
  <si>
    <r>
      <t xml:space="preserve"> </t>
    </r>
    <r>
      <rPr>
        <sz val="11"/>
        <color rgb="FF000000"/>
        <rFont val="Arial"/>
        <family val="2"/>
      </rPr>
      <t>WERF</t>
    </r>
  </si>
  <si>
    <t>Drainfield</t>
  </si>
  <si>
    <t>Discharge to Water Source</t>
  </si>
  <si>
    <t>Nitrous Oxide (kg N2O kg N discharged-1)</t>
  </si>
  <si>
    <t>Foley 10 / IPCC 06</t>
  </si>
  <si>
    <t>Methane (kg CH4 kg COD discharged-1)</t>
  </si>
  <si>
    <t>Foley 10 / IPCC 97</t>
  </si>
  <si>
    <r>
      <t>Nitrous Oxide (kg N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 kg TN</t>
    </r>
    <r>
      <rPr>
        <vertAlign val="superscript"/>
        <sz val="11"/>
        <color theme="1"/>
        <rFont val="Calibri"/>
        <family val="2"/>
      </rPr>
      <t>-1</t>
    </r>
    <r>
      <rPr>
        <sz val="11"/>
        <color theme="1"/>
        <rFont val="Calibri"/>
        <family val="2"/>
      </rPr>
      <t>)</t>
    </r>
  </si>
  <si>
    <t>UKWIR 08</t>
  </si>
  <si>
    <r>
      <t>Methane (mg CH4 Pe</t>
    </r>
    <r>
      <rPr>
        <vertAlign val="superscript"/>
        <sz val="11"/>
        <color theme="1"/>
        <rFont val="Calibri"/>
        <family val="2"/>
      </rPr>
      <t>-1</t>
    </r>
    <r>
      <rPr>
        <sz val="11"/>
        <color theme="1"/>
        <rFont val="Calibri"/>
        <family val="2"/>
      </rPr>
      <t xml:space="preserve"> d</t>
    </r>
    <r>
      <rPr>
        <vertAlign val="superscript"/>
        <sz val="11"/>
        <color theme="1"/>
        <rFont val="Calibri"/>
        <family val="2"/>
      </rPr>
      <t>-1</t>
    </r>
    <r>
      <rPr>
        <sz val="11"/>
        <color theme="1"/>
        <rFont val="Calibri"/>
        <family val="2"/>
      </rPr>
      <t>)</t>
    </r>
  </si>
  <si>
    <t>Wang et al</t>
  </si>
  <si>
    <t>Foley 10 / Doka 03</t>
  </si>
  <si>
    <t>Nitrous Oxide</t>
  </si>
  <si>
    <t>VF Wetland</t>
  </si>
  <si>
    <t>Werf and Mander</t>
  </si>
  <si>
    <t>Methane (kg CH4 kg TOCin -1)</t>
  </si>
  <si>
    <t>Mander</t>
  </si>
  <si>
    <t>AHF wetland</t>
  </si>
  <si>
    <t>Maltais - Landry</t>
  </si>
  <si>
    <t>N20</t>
  </si>
  <si>
    <t>Ch4</t>
  </si>
  <si>
    <t>g PE-1 d-1</t>
  </si>
  <si>
    <t>N20 (kg yr-1)</t>
  </si>
  <si>
    <t>Ch4 (kg yr-1)</t>
  </si>
  <si>
    <t>CO2 eq</t>
  </si>
  <si>
    <t>CO2 eq (kg Co2 eq yr-1)</t>
  </si>
  <si>
    <t>CO2 N2O</t>
  </si>
  <si>
    <t>CO2 CH4</t>
  </si>
  <si>
    <t>Septic Tank -SW</t>
  </si>
  <si>
    <t>No. tankers</t>
  </si>
  <si>
    <t>Septic Tank - BW</t>
  </si>
  <si>
    <t>gCh4 per Nm3 Biogas</t>
  </si>
  <si>
    <t>g N2O per Nm3 Biogas</t>
  </si>
  <si>
    <t>Biogas Production</t>
  </si>
  <si>
    <t>This is based on Cruddas</t>
  </si>
  <si>
    <t>m3 CH4 / m3 ww</t>
  </si>
  <si>
    <t>Daily Methane Production</t>
  </si>
  <si>
    <t>Best</t>
  </si>
  <si>
    <t>Worst</t>
  </si>
  <si>
    <t>Methane Content</t>
  </si>
  <si>
    <t>%</t>
  </si>
  <si>
    <t>Use low range</t>
  </si>
  <si>
    <t>Design Flow</t>
  </si>
  <si>
    <t>m3 CH4 d-1</t>
  </si>
  <si>
    <t>m3 Biogas d-1</t>
  </si>
  <si>
    <t>I don’t understand how this works and Doka is the basis for Ecoinvent anyway</t>
  </si>
  <si>
    <t xml:space="preserve">Cant find it in orginial source and </t>
  </si>
  <si>
    <t>Biogas Flaring is modelled as the flaring of sour waste natural gas with the carbon dioxide emission omitted as they are biogenic rather than foissl</t>
  </si>
  <si>
    <t>kg Co2 m-3 Biomethane</t>
  </si>
  <si>
    <t>days</t>
  </si>
  <si>
    <t>tKm</t>
  </si>
  <si>
    <t>Emisssions</t>
  </si>
  <si>
    <t>Overall System Process Emissions</t>
  </si>
  <si>
    <t>Tankering</t>
  </si>
  <si>
    <t>Electrical</t>
  </si>
  <si>
    <t>Emissions at 2021</t>
  </si>
  <si>
    <t>ABR + VF</t>
  </si>
  <si>
    <t>ABR + AHF</t>
  </si>
  <si>
    <t>Discharge to Surface Waters</t>
  </si>
  <si>
    <t>tCo2eq PE-1 yr-1</t>
  </si>
  <si>
    <t>EEP 2019 + Projection</t>
  </si>
  <si>
    <t>Power Consumption (kW)</t>
  </si>
  <si>
    <t>Power Demand (KWh)</t>
  </si>
  <si>
    <t>Maintance</t>
  </si>
  <si>
    <t>Blower (kg Co2)</t>
  </si>
  <si>
    <t>Very Rough</t>
  </si>
  <si>
    <t>Site Visists</t>
  </si>
  <si>
    <t>Qav (m3/d)</t>
  </si>
  <si>
    <t>Target Constent</t>
  </si>
  <si>
    <t>Conc (mg/l)</t>
  </si>
  <si>
    <t>TSS (g/d)</t>
  </si>
  <si>
    <t>BOD5 (g/d)</t>
  </si>
  <si>
    <t>NH4-N (g/d)</t>
  </si>
  <si>
    <t>N2O (g/d)</t>
  </si>
  <si>
    <t>CH4 (g/d)</t>
  </si>
  <si>
    <t>kg CO2 PE-1 yr-1</t>
  </si>
  <si>
    <t>STS</t>
  </si>
  <si>
    <t>Electrical Car Transport</t>
  </si>
  <si>
    <t>per Km</t>
  </si>
  <si>
    <t>Energy Cost</t>
  </si>
  <si>
    <t>MJ</t>
  </si>
  <si>
    <t>Carbon Emission</t>
  </si>
  <si>
    <t>excluding Grid Electricity</t>
  </si>
  <si>
    <t>kg Co2</t>
  </si>
  <si>
    <t>kWh</t>
  </si>
  <si>
    <t>MJ kWh-1</t>
  </si>
  <si>
    <t>Each trip</t>
  </si>
  <si>
    <t>40 miles</t>
  </si>
  <si>
    <t>km</t>
  </si>
  <si>
    <t>Trip</t>
  </si>
  <si>
    <t>Process STS</t>
  </si>
  <si>
    <t>Process SAF</t>
  </si>
  <si>
    <t>In 2030</t>
  </si>
  <si>
    <t>gCo2 per kWh</t>
  </si>
  <si>
    <t>Electric Car</t>
  </si>
  <si>
    <t>STS 2021</t>
  </si>
  <si>
    <t>STS 2030</t>
  </si>
  <si>
    <t>SAF 2021</t>
  </si>
  <si>
    <t>SAF 2030</t>
  </si>
  <si>
    <t>ABR-VF 2021</t>
  </si>
  <si>
    <t>ABR-VF 2030</t>
  </si>
  <si>
    <t>ABR-AHF 2021</t>
  </si>
  <si>
    <t>ABR-AHF 2030</t>
  </si>
  <si>
    <t>150 PE</t>
  </si>
  <si>
    <t>200 PE</t>
  </si>
  <si>
    <t>300 PE</t>
  </si>
  <si>
    <t>400 PE</t>
  </si>
  <si>
    <t>500 PE</t>
  </si>
  <si>
    <t>600 PE</t>
  </si>
  <si>
    <t>800 PE</t>
  </si>
  <si>
    <t>1000 PE</t>
  </si>
  <si>
    <t>Offsetting</t>
  </si>
  <si>
    <t>Gas heating</t>
  </si>
  <si>
    <t>Small Scale central heating from natural gas</t>
  </si>
  <si>
    <t>kg Co2 per MJ</t>
  </si>
  <si>
    <t xml:space="preserve">Using </t>
  </si>
  <si>
    <t>m3 methane</t>
  </si>
  <si>
    <t>m3 Ch4 yr-1 PE-1</t>
  </si>
  <si>
    <t>kg C02 m-3 methane</t>
  </si>
  <si>
    <t>Flared Septic Tank</t>
  </si>
  <si>
    <t>Septic Tanks</t>
  </si>
  <si>
    <t>Material</t>
  </si>
  <si>
    <t>2800 L Septic Tank (Onion)</t>
  </si>
  <si>
    <t>Excation</t>
  </si>
  <si>
    <t>Backfill (pea shingle)</t>
  </si>
  <si>
    <t>Shingle</t>
  </si>
  <si>
    <t>Kg CO2</t>
  </si>
  <si>
    <t>Tree planting</t>
  </si>
  <si>
    <t>According to the roadmap</t>
  </si>
  <si>
    <t>11 million tree</t>
  </si>
  <si>
    <t>MtCO2 eq yr-1</t>
  </si>
  <si>
    <t>Cost</t>
  </si>
  <si>
    <t>£/tCo2eq</t>
  </si>
  <si>
    <t>10 year annualised from 2030</t>
  </si>
  <si>
    <t>gCO2 kWh-1</t>
  </si>
  <si>
    <t>in 2030</t>
  </si>
  <si>
    <t xml:space="preserve">Electrical </t>
  </si>
  <si>
    <t>mean 2030 - 2040</t>
  </si>
  <si>
    <t>Comparision</t>
  </si>
  <si>
    <t>Tree Planting</t>
  </si>
  <si>
    <t>£ PE-1</t>
  </si>
  <si>
    <t>2030, electirc fleet and 80% biomethane tankers</t>
  </si>
  <si>
    <t>2030, electirc fleet and 80% biomethane tankers, zero emission electricity</t>
  </si>
  <si>
    <t>Spetic Tanks</t>
  </si>
  <si>
    <t>Embeded Carbon</t>
  </si>
  <si>
    <t>At 100 PE</t>
  </si>
  <si>
    <t>1 year</t>
  </si>
  <si>
    <t>30 years</t>
  </si>
  <si>
    <t>They are desludge every 4 years</t>
  </si>
  <si>
    <t>Gallagher and Gill</t>
  </si>
  <si>
    <t>kg CO2 eq PE</t>
  </si>
  <si>
    <t>MDPE</t>
  </si>
  <si>
    <t>Misc Items</t>
  </si>
  <si>
    <t>Actuated Valve</t>
  </si>
  <si>
    <t>Sludge Level Reader</t>
  </si>
  <si>
    <t>High Level Alarm</t>
  </si>
  <si>
    <t>Control Panel</t>
  </si>
  <si>
    <t>Bronze</t>
  </si>
  <si>
    <t>Mass (kg)</t>
  </si>
  <si>
    <t>Stainless Steel</t>
  </si>
  <si>
    <t>PVDF</t>
  </si>
  <si>
    <t>Size (m3)</t>
  </si>
  <si>
    <t>Tanks</t>
  </si>
  <si>
    <t>Tank Size</t>
  </si>
  <si>
    <t>Mass Curve</t>
  </si>
  <si>
    <t>Additional</t>
  </si>
  <si>
    <t>30% for baffles</t>
  </si>
  <si>
    <t>Tank Mass</t>
  </si>
  <si>
    <t>Tank and Baffle</t>
  </si>
  <si>
    <t>Overall GRP Mass</t>
  </si>
  <si>
    <t>Concrete (m3)</t>
  </si>
  <si>
    <t>Concrete Mass</t>
  </si>
  <si>
    <t xml:space="preserve">Method For WET ABR </t>
  </si>
  <si>
    <t>Just model three points and use this to scale the other points as it is a linear system</t>
  </si>
  <si>
    <t>Difference</t>
  </si>
  <si>
    <t>Construction Costs</t>
  </si>
  <si>
    <t>Ref (2021)</t>
  </si>
  <si>
    <t>Cost (£)</t>
  </si>
  <si>
    <t>GRP tank</t>
  </si>
  <si>
    <t>Conrete</t>
  </si>
  <si>
    <t>SCB2-318</t>
  </si>
  <si>
    <t>Cesspool</t>
  </si>
  <si>
    <t>Sub Total</t>
  </si>
  <si>
    <t>Drain</t>
  </si>
  <si>
    <t>Bund</t>
  </si>
  <si>
    <t>Backfill</t>
  </si>
  <si>
    <t>DO I add anything for control elements?</t>
  </si>
  <si>
    <t>Drain Concrete</t>
  </si>
  <si>
    <t>Capital</t>
  </si>
  <si>
    <t>Tankering Co2eq</t>
  </si>
  <si>
    <t>Emissions</t>
  </si>
  <si>
    <t>10  PE</t>
  </si>
  <si>
    <t>kg CO2 eq</t>
  </si>
  <si>
    <t>100  PE</t>
  </si>
  <si>
    <t>1000  PE</t>
  </si>
  <si>
    <t>Pumping</t>
  </si>
  <si>
    <t>Shingle (kg)</t>
  </si>
  <si>
    <t>Main</t>
  </si>
  <si>
    <t>Booster</t>
  </si>
  <si>
    <t>Bypass</t>
  </si>
  <si>
    <t>APP SV 150A</t>
  </si>
  <si>
    <t>APP SV 250A</t>
  </si>
  <si>
    <t>Clarke HSEC</t>
  </si>
  <si>
    <t>Clarke SWP900A</t>
  </si>
  <si>
    <t>DAB Feka</t>
  </si>
  <si>
    <t>Power Demand kWh</t>
  </si>
  <si>
    <t>kgCo2 kWh-1</t>
  </si>
  <si>
    <t>Operational Carbon (kgCO2 yr-1)</t>
  </si>
  <si>
    <t>Pump Power Requirement</t>
  </si>
  <si>
    <t>Carbon</t>
  </si>
  <si>
    <t>EST-VF</t>
  </si>
  <si>
    <t>EST-AHF</t>
  </si>
  <si>
    <t>Process Emission Rate</t>
  </si>
  <si>
    <t>Overall Per PE</t>
  </si>
  <si>
    <t>Graph Value</t>
  </si>
  <si>
    <t>Sans Process</t>
  </si>
  <si>
    <t>saf</t>
  </si>
  <si>
    <t>t miles yr-1</t>
  </si>
  <si>
    <t>EST</t>
  </si>
  <si>
    <t>kg CO2 mile-1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</si>
</sst>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$-C09]#,##0.0"/>
    <numFmt numFmtId="166" formatCode="&quot; &quot;#,##0.00&quot; &quot;;&quot; (&quot;#,##0.00&quot;)&quot;;&quot; -&quot;00&quot; &quot;;&quot; &quot;@&quot; &quot;"/>
    <numFmt numFmtId="167" formatCode="0.0000"/>
  </numFmts>
  <fonts count="33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C0C0C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onsolas"/>
      <family val="3"/>
    </font>
    <font>
      <sz val="10"/>
      <color rgb="FFAA04F9"/>
      <name val="Consolas"/>
      <family val="3"/>
    </font>
    <font>
      <sz val="10"/>
      <color rgb="FF028009"/>
      <name val="Consolas"/>
      <family val="3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0" fillId="0" borderId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3" fillId="2" borderId="0" applyNumberFormat="0" applyFont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" fontId="2" fillId="0" borderId="0" xfId="0" applyNumberFormat="1" applyFont="1"/>
    <xf numFmtId="0" fontId="4" fillId="0" borderId="0" xfId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0" fillId="0" borderId="1" xfId="0" applyBorder="1"/>
    <xf numFmtId="0" fontId="1" fillId="0" borderId="0" xfId="0" applyFont="1"/>
    <xf numFmtId="1" fontId="0" fillId="0" borderId="1" xfId="0" applyNumberFormat="1" applyBorder="1"/>
    <xf numFmtId="0" fontId="6" fillId="0" borderId="0" xfId="0" applyFont="1"/>
    <xf numFmtId="0" fontId="7" fillId="0" borderId="0" xfId="0" applyFont="1"/>
    <xf numFmtId="1" fontId="6" fillId="0" borderId="0" xfId="0" applyNumberFormat="1" applyFont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vertical="center"/>
    </xf>
    <xf numFmtId="0" fontId="8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3" fontId="10" fillId="0" borderId="0" xfId="2" applyNumberFormat="1"/>
    <xf numFmtId="1" fontId="10" fillId="0" borderId="0" xfId="2" applyNumberFormat="1"/>
    <xf numFmtId="1" fontId="12" fillId="0" borderId="0" xfId="2" applyNumberFormat="1" applyFont="1"/>
    <xf numFmtId="3" fontId="12" fillId="0" borderId="0" xfId="2" applyNumberFormat="1" applyFont="1"/>
    <xf numFmtId="3" fontId="16" fillId="0" borderId="0" xfId="4" applyNumberFormat="1" applyFont="1"/>
    <xf numFmtId="3" fontId="16" fillId="0" borderId="5" xfId="4" applyNumberFormat="1" applyFont="1" applyBorder="1"/>
    <xf numFmtId="0" fontId="16" fillId="0" borderId="6" xfId="4" applyFont="1" applyBorder="1" applyAlignment="1">
      <alignment horizontal="right" wrapText="1"/>
    </xf>
    <xf numFmtId="11" fontId="0" fillId="0" borderId="0" xfId="0" applyNumberFormat="1"/>
    <xf numFmtId="0" fontId="17" fillId="0" borderId="0" xfId="0" applyFont="1"/>
    <xf numFmtId="0" fontId="19" fillId="0" borderId="7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8" xfId="0" applyBorder="1"/>
    <xf numFmtId="0" fontId="0" fillId="0" borderId="9" xfId="0" applyBorder="1"/>
    <xf numFmtId="0" fontId="20" fillId="0" borderId="9" xfId="0" applyFont="1" applyBorder="1"/>
    <xf numFmtId="0" fontId="0" fillId="0" borderId="10" xfId="0" applyBorder="1"/>
    <xf numFmtId="2" fontId="0" fillId="0" borderId="0" xfId="0" quotePrefix="1" applyNumberFormat="1"/>
    <xf numFmtId="0" fontId="17" fillId="0" borderId="11" xfId="0" applyFont="1" applyBorder="1"/>
    <xf numFmtId="0" fontId="17" fillId="0" borderId="12" xfId="0" quotePrefix="1" applyFont="1" applyBorder="1"/>
    <xf numFmtId="0" fontId="17" fillId="0" borderId="12" xfId="0" applyFont="1" applyBorder="1"/>
    <xf numFmtId="0" fontId="17" fillId="0" borderId="13" xfId="0" applyFont="1" applyBorder="1"/>
    <xf numFmtId="0" fontId="17" fillId="0" borderId="14" xfId="0" applyFont="1" applyBorder="1"/>
    <xf numFmtId="0" fontId="21" fillId="0" borderId="9" xfId="0" applyFont="1" applyBorder="1"/>
    <xf numFmtId="0" fontId="2" fillId="0" borderId="9" xfId="0" applyFont="1" applyBorder="1"/>
    <xf numFmtId="0" fontId="0" fillId="0" borderId="0" xfId="0" applyAlignment="1">
      <alignment horizontal="left" vertical="center" indent="2"/>
    </xf>
    <xf numFmtId="0" fontId="22" fillId="0" borderId="0" xfId="0" applyFont="1" applyAlignment="1">
      <alignment horizontal="left" vertical="center" indent="2"/>
    </xf>
    <xf numFmtId="0" fontId="24" fillId="0" borderId="0" xfId="0" applyFont="1" applyAlignment="1">
      <alignment horizontal="left" vertical="center" indent="2"/>
    </xf>
    <xf numFmtId="0" fontId="0" fillId="0" borderId="0" xfId="0" quotePrefix="1"/>
    <xf numFmtId="4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0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0" xfId="0" applyAlignment="1">
      <alignment horizontal="center" vertical="center"/>
    </xf>
    <xf numFmtId="0" fontId="1" fillId="0" borderId="0" xfId="0" quotePrefix="1" applyFont="1"/>
    <xf numFmtId="0" fontId="27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6" fillId="0" borderId="22" xfId="0" applyFont="1" applyBorder="1" applyAlignment="1">
      <alignment vertical="center" wrapText="1"/>
    </xf>
    <xf numFmtId="0" fontId="31" fillId="6" borderId="23" xfId="0" applyFont="1" applyFill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0" fillId="0" borderId="24" xfId="0" applyBorder="1"/>
    <xf numFmtId="0" fontId="0" fillId="0" borderId="25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center" vertical="center"/>
    </xf>
    <xf numFmtId="3" fontId="0" fillId="0" borderId="0" xfId="0" applyNumberFormat="1"/>
    <xf numFmtId="167" fontId="0" fillId="0" borderId="0" xfId="0" applyNumberFormat="1"/>
    <xf numFmtId="0" fontId="0" fillId="7" borderId="0" xfId="0" applyFill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2" fillId="0" borderId="15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9">
    <cellStyle name="cf1" xfId="7" xr:uid="{8515FB0B-A948-48B5-872E-1F56253EF7F1}"/>
    <cellStyle name="cf2" xfId="8" xr:uid="{931155F1-E939-4168-92D7-9EDCC338F2D1}"/>
    <cellStyle name="cf3" xfId="9" xr:uid="{EB1452EC-E2D3-4C1E-975F-F169B7043392}"/>
    <cellStyle name="cf4" xfId="10" xr:uid="{F1738F38-5F26-4184-8634-05D685B520A4}"/>
    <cellStyle name="cf5" xfId="11" xr:uid="{A4DF4DD8-1492-4D1B-9B97-B03FB887DD00}"/>
    <cellStyle name="Comma 2" xfId="5" xr:uid="{47DF478C-762F-4A07-9DD3-4B5B859993F3}"/>
    <cellStyle name="Comma 8" xfId="12" xr:uid="{7074C9F9-8603-474D-A1F4-B754E30A3EAD}"/>
    <cellStyle name="Hyperlink" xfId="1" builtinId="8"/>
    <cellStyle name="Hyperlink 2" xfId="3" xr:uid="{D5856D82-B3B7-4899-BB49-8A37EFEC3F6E}"/>
    <cellStyle name="Hyperlink 3" xfId="13" xr:uid="{26AC95DB-2591-4389-9C37-E65C7227E3F4}"/>
    <cellStyle name="Normal" xfId="0" builtinId="0"/>
    <cellStyle name="Normal 13" xfId="14" xr:uid="{B8A9FC2B-FDC1-406C-AE0B-D39946DE8BFE}"/>
    <cellStyle name="Normal 17 2 2" xfId="15" xr:uid="{E034531B-4300-4322-A23D-7213CF4BE58B}"/>
    <cellStyle name="Normal 2" xfId="2" xr:uid="{63C05F5D-0A16-4EDC-9282-F6275C7D4795}"/>
    <cellStyle name="Normal 2 2" xfId="17" xr:uid="{9FEC6EAB-77A1-47D9-8062-437E4A51628A}"/>
    <cellStyle name="Normal 2 3" xfId="16" xr:uid="{48638D7D-EC29-4770-9ED2-4D76D7DB72A9}"/>
    <cellStyle name="Normal 3" xfId="4" xr:uid="{9D500A9D-CB9D-4652-B23C-1B0BA50F39D5}"/>
    <cellStyle name="Percent 2" xfId="6" xr:uid="{4E3D2798-4CCE-4095-B3EC-35053DD28D8D}"/>
    <cellStyle name="User Input" xfId="18" xr:uid="{41D337B6-3035-4ED5-B65B-A4FE962518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'Uk Grid Decarbonisation'!$C$4</c:f>
              <c:strCache>
                <c:ptCount val="1"/>
                <c:pt idx="0">
                  <c:v>EEP 2019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'Uk Grid Decarbonisation'!$B$5:$B$27</c:f>
              <c:numCache>
                <c:formatCode>0</c:formatCode>
                <c:ptCount val="23"/>
                <c:pt idx="0" formatCode="General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xVal>
          <c:yVal>
            <c:numRef>
              <c:f>'Uk Grid Decarbonisation'!$C$5:$C$27</c:f>
              <c:numCache>
                <c:formatCode>#,##0</c:formatCode>
                <c:ptCount val="23"/>
                <c:pt idx="1">
                  <c:v>156.00368460000001</c:v>
                </c:pt>
                <c:pt idx="2">
                  <c:v>146.94332610000001</c:v>
                </c:pt>
                <c:pt idx="3">
                  <c:v>137.19807069999999</c:v>
                </c:pt>
                <c:pt idx="4">
                  <c:v>127.27722199999999</c:v>
                </c:pt>
                <c:pt idx="5">
                  <c:v>119.1275091</c:v>
                </c:pt>
                <c:pt idx="6">
                  <c:v>128.4439879</c:v>
                </c:pt>
                <c:pt idx="7">
                  <c:v>108.2024037</c:v>
                </c:pt>
                <c:pt idx="8">
                  <c:v>90.164698819999998</c:v>
                </c:pt>
                <c:pt idx="9">
                  <c:v>85.440193519999994</c:v>
                </c:pt>
                <c:pt idx="10">
                  <c:v>91.252890870000002</c:v>
                </c:pt>
                <c:pt idx="11">
                  <c:v>98.374024410000004</c:v>
                </c:pt>
                <c:pt idx="12">
                  <c:v>89.430933350000004</c:v>
                </c:pt>
                <c:pt idx="13">
                  <c:v>82.671395329999996</c:v>
                </c:pt>
                <c:pt idx="14">
                  <c:v>83.624771969999998</c:v>
                </c:pt>
                <c:pt idx="15">
                  <c:v>84.756043939999998</c:v>
                </c:pt>
                <c:pt idx="16">
                  <c:v>86.765956680000002</c:v>
                </c:pt>
                <c:pt idx="17">
                  <c:v>78.285649039999996</c:v>
                </c:pt>
                <c:pt idx="18">
                  <c:v>71.208615530000003</c:v>
                </c:pt>
                <c:pt idx="19">
                  <c:v>67.352100280000002</c:v>
                </c:pt>
                <c:pt idx="20">
                  <c:v>69.828067779999998</c:v>
                </c:pt>
                <c:pt idx="21">
                  <c:v>68.82799593</c:v>
                </c:pt>
                <c:pt idx="22">
                  <c:v>66.82622198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D0-4238-AD86-777953524D4F}"/>
            </c:ext>
          </c:extLst>
        </c:ser>
        <c:ser>
          <c:idx val="1"/>
          <c:order val="1"/>
          <c:tx>
            <c:strRef>
              <c:f>'Uk Grid Decarbonisation'!$D$4</c:f>
              <c:strCache>
                <c:ptCount val="1"/>
                <c:pt idx="0">
                  <c:v>EEP 2018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'Uk Grid Decarbonisation'!$B$5:$B$27</c:f>
              <c:numCache>
                <c:formatCode>0</c:formatCode>
                <c:ptCount val="23"/>
                <c:pt idx="0" formatCode="General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xVal>
          <c:yVal>
            <c:numRef>
              <c:f>'Uk Grid Decarbonisation'!$D$5:$D$27</c:f>
              <c:numCache>
                <c:formatCode>#,##0</c:formatCode>
                <c:ptCount val="23"/>
                <c:pt idx="0">
                  <c:v>173.01154598385835</c:v>
                </c:pt>
                <c:pt idx="1">
                  <c:v>143.97398778869405</c:v>
                </c:pt>
                <c:pt idx="2">
                  <c:v>136.48778902190833</c:v>
                </c:pt>
                <c:pt idx="3">
                  <c:v>114.81012931568604</c:v>
                </c:pt>
                <c:pt idx="4">
                  <c:v>107.98551504516428</c:v>
                </c:pt>
                <c:pt idx="5">
                  <c:v>110.97305427422255</c:v>
                </c:pt>
                <c:pt idx="6">
                  <c:v>111.33434651195273</c:v>
                </c:pt>
                <c:pt idx="7">
                  <c:v>107.78429100753513</c:v>
                </c:pt>
                <c:pt idx="8">
                  <c:v>97.670797436706849</c:v>
                </c:pt>
                <c:pt idx="9">
                  <c:v>105.49059593649828</c:v>
                </c:pt>
                <c:pt idx="10">
                  <c:v>99.682998889030102</c:v>
                </c:pt>
                <c:pt idx="11">
                  <c:v>90.531223647648275</c:v>
                </c:pt>
                <c:pt idx="12">
                  <c:v>85.465594487656205</c:v>
                </c:pt>
                <c:pt idx="13">
                  <c:v>76.053886918274884</c:v>
                </c:pt>
                <c:pt idx="14">
                  <c:v>63.736642109476051</c:v>
                </c:pt>
                <c:pt idx="15">
                  <c:v>59.70699595242926</c:v>
                </c:pt>
                <c:pt idx="16">
                  <c:v>50.85473450119688</c:v>
                </c:pt>
                <c:pt idx="17">
                  <c:v>41.229154402216516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D0-4238-AD86-777953524D4F}"/>
            </c:ext>
          </c:extLst>
        </c:ser>
        <c:ser>
          <c:idx val="2"/>
          <c:order val="2"/>
          <c:tx>
            <c:strRef>
              <c:f>'Uk Grid Decarbonisation'!$E$4</c:f>
              <c:strCache>
                <c:ptCount val="1"/>
                <c:pt idx="0">
                  <c:v>EEP 2017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'Uk Grid Decarbonisation'!$B$5:$B$27</c:f>
              <c:numCache>
                <c:formatCode>0</c:formatCode>
                <c:ptCount val="23"/>
                <c:pt idx="0" formatCode="General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xVal>
          <c:yVal>
            <c:numRef>
              <c:f>'Uk Grid Decarbonisation'!$E$5:$E$27</c:f>
              <c:numCache>
                <c:formatCode>#,##0</c:formatCode>
                <c:ptCount val="23"/>
                <c:pt idx="0">
                  <c:v>204.97473325931037</c:v>
                </c:pt>
                <c:pt idx="1">
                  <c:v>194.65878956597896</c:v>
                </c:pt>
                <c:pt idx="2">
                  <c:v>180.89185725327081</c:v>
                </c:pt>
                <c:pt idx="3">
                  <c:v>170.87686907454056</c:v>
                </c:pt>
                <c:pt idx="4">
                  <c:v>147.81276782970548</c:v>
                </c:pt>
                <c:pt idx="5">
                  <c:v>144.2608194707457</c:v>
                </c:pt>
                <c:pt idx="6">
                  <c:v>150.1028743708379</c:v>
                </c:pt>
                <c:pt idx="7">
                  <c:v>140.79132832519022</c:v>
                </c:pt>
                <c:pt idx="8">
                  <c:v>114.21700261320677</c:v>
                </c:pt>
                <c:pt idx="9">
                  <c:v>119.36858758550882</c:v>
                </c:pt>
                <c:pt idx="10">
                  <c:v>108.38602270904067</c:v>
                </c:pt>
                <c:pt idx="11">
                  <c:v>96.063217782830577</c:v>
                </c:pt>
                <c:pt idx="12">
                  <c:v>104.23666125627388</c:v>
                </c:pt>
                <c:pt idx="13">
                  <c:v>95.495282750110476</c:v>
                </c:pt>
                <c:pt idx="14">
                  <c:v>77.662208070083935</c:v>
                </c:pt>
                <c:pt idx="15">
                  <c:v>74.467781482379237</c:v>
                </c:pt>
                <c:pt idx="16">
                  <c:v>66.524040360875063</c:v>
                </c:pt>
                <c:pt idx="17">
                  <c:v>54.950069537582294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DD0-4238-AD86-777953524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647504"/>
        <c:axId val="104637104"/>
      </c:scatterChart>
      <c:valAx>
        <c:axId val="1046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37104"/>
        <c:crosses val="autoZero"/>
        <c:crossBetween val="midCat"/>
      </c:valAx>
      <c:valAx>
        <c:axId val="104637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47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3506430446194226"/>
                  <c:y val="-5.189523184601924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STS!$FD$22:$FD$30</c:f>
              <c:numCache>
                <c:formatCode>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</c:numCache>
            </c:numRef>
          </c:xVal>
          <c:yVal>
            <c:numRef>
              <c:f>STS!$FF$22:$FF$30</c:f>
              <c:numCache>
                <c:formatCode>General</c:formatCode>
                <c:ptCount val="9"/>
                <c:pt idx="0">
                  <c:v>513.5</c:v>
                </c:pt>
                <c:pt idx="1">
                  <c:v>533.25</c:v>
                </c:pt>
                <c:pt idx="2">
                  <c:v>553</c:v>
                </c:pt>
                <c:pt idx="3">
                  <c:v>572.75</c:v>
                </c:pt>
                <c:pt idx="4">
                  <c:v>592.5</c:v>
                </c:pt>
                <c:pt idx="5">
                  <c:v>612.25</c:v>
                </c:pt>
                <c:pt idx="6">
                  <c:v>632</c:v>
                </c:pt>
                <c:pt idx="7">
                  <c:v>651.75</c:v>
                </c:pt>
                <c:pt idx="8">
                  <c:v>671.5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BA-4CD0-A84A-ADD7449D7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247103"/>
        <c:axId val="599254175"/>
      </c:scatterChart>
      <c:valAx>
        <c:axId val="599247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254175"/>
        <c:crosses val="autoZero"/>
        <c:crossBetween val="midCat"/>
      </c:valAx>
      <c:valAx>
        <c:axId val="5992541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2471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STS!$FD$21:$FD$30</c:f>
              <c:numCache>
                <c:formatCode>General</c:formatCode>
                <c:ptCount val="10"/>
                <c:pt idx="0">
                  <c:v>15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STS!$FH$21:$FH$30</c:f>
              <c:numCache>
                <c:formatCode>General</c:formatCode>
                <c:ptCount val="10"/>
                <c:pt idx="0">
                  <c:v>1082140</c:v>
                </c:pt>
                <c:pt idx="1">
                  <c:v>1366400</c:v>
                </c:pt>
                <c:pt idx="2">
                  <c:v>1988600</c:v>
                </c:pt>
                <c:pt idx="3">
                  <c:v>2610800</c:v>
                </c:pt>
                <c:pt idx="4">
                  <c:v>3233000</c:v>
                </c:pt>
                <c:pt idx="5">
                  <c:v>3855200</c:v>
                </c:pt>
                <c:pt idx="6">
                  <c:v>4477400</c:v>
                </c:pt>
                <c:pt idx="7">
                  <c:v>5099600</c:v>
                </c:pt>
                <c:pt idx="8">
                  <c:v>5721800</c:v>
                </c:pt>
                <c:pt idx="9">
                  <c:v>6344000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CB-411D-890F-C93EFA2E0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137359"/>
        <c:axId val="409146927"/>
      </c:scatterChart>
      <c:valAx>
        <c:axId val="409137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46927"/>
        <c:crosses val="autoZero"/>
        <c:crossBetween val="midCat"/>
      </c:valAx>
      <c:valAx>
        <c:axId val="4091469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373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STS!$FD$21:$FD$30</c:f>
              <c:numCache>
                <c:formatCode>General</c:formatCode>
                <c:ptCount val="10"/>
                <c:pt idx="0">
                  <c:v>15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STS!$FJ$21:$FJ$30</c:f>
              <c:numCache>
                <c:formatCode>General</c:formatCode>
                <c:ptCount val="10"/>
                <c:pt idx="0">
                  <c:v>408.02000000000004</c:v>
                </c:pt>
                <c:pt idx="1">
                  <c:v>515.20000000000005</c:v>
                </c:pt>
                <c:pt idx="2">
                  <c:v>749.80000000000007</c:v>
                </c:pt>
                <c:pt idx="3">
                  <c:v>984.40000000000009</c:v>
                </c:pt>
                <c:pt idx="4">
                  <c:v>1219</c:v>
                </c:pt>
                <c:pt idx="5">
                  <c:v>1453.6000000000001</c:v>
                </c:pt>
                <c:pt idx="6">
                  <c:v>1688.2</c:v>
                </c:pt>
                <c:pt idx="7">
                  <c:v>1922.8000000000002</c:v>
                </c:pt>
                <c:pt idx="8">
                  <c:v>2157.4</c:v>
                </c:pt>
                <c:pt idx="9">
                  <c:v>2392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4E-430F-8E3C-A9A71CC4D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002895"/>
        <c:axId val="403998319"/>
      </c:scatterChart>
      <c:valAx>
        <c:axId val="40400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998319"/>
        <c:crosses val="autoZero"/>
        <c:crossBetween val="midCat"/>
      </c:valAx>
      <c:valAx>
        <c:axId val="4039983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0028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STS!$FD$21:$FD$30</c:f>
              <c:numCache>
                <c:formatCode>General</c:formatCode>
                <c:ptCount val="10"/>
                <c:pt idx="0">
                  <c:v>15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STS!$FK$21:$FK$30</c:f>
              <c:numCache>
                <c:formatCode>General</c:formatCode>
                <c:ptCount val="10"/>
                <c:pt idx="0">
                  <c:v>887</c:v>
                </c:pt>
                <c:pt idx="1">
                  <c:v>1120</c:v>
                </c:pt>
                <c:pt idx="2">
                  <c:v>1630</c:v>
                </c:pt>
                <c:pt idx="3">
                  <c:v>2140</c:v>
                </c:pt>
                <c:pt idx="4">
                  <c:v>2650</c:v>
                </c:pt>
                <c:pt idx="5">
                  <c:v>3160</c:v>
                </c:pt>
                <c:pt idx="6">
                  <c:v>3670</c:v>
                </c:pt>
                <c:pt idx="7">
                  <c:v>4180</c:v>
                </c:pt>
                <c:pt idx="8">
                  <c:v>4690</c:v>
                </c:pt>
                <c:pt idx="9">
                  <c:v>5200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AE-4373-9A65-2128B3FCB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0611855"/>
        <c:axId val="580612271"/>
      </c:scatterChart>
      <c:valAx>
        <c:axId val="580611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612271"/>
        <c:crosses val="autoZero"/>
        <c:crossBetween val="midCat"/>
      </c:valAx>
      <c:valAx>
        <c:axId val="5806122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6118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STS!$FE$35</c:f>
              <c:strCache>
                <c:ptCount val="1"/>
                <c:pt idx="0">
                  <c:v>All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STS!$FD$36:$FD$45</c:f>
              <c:numCache>
                <c:formatCode>General</c:formatCode>
                <c:ptCount val="10"/>
                <c:pt idx="0">
                  <c:v>15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STS!$FE$36:$FE$45</c:f>
              <c:numCache>
                <c:formatCode>General</c:formatCode>
                <c:ptCount val="10"/>
                <c:pt idx="0">
                  <c:v>295370</c:v>
                </c:pt>
                <c:pt idx="1">
                  <c:v>298610</c:v>
                </c:pt>
                <c:pt idx="2">
                  <c:v>305000</c:v>
                </c:pt>
                <c:pt idx="3">
                  <c:v>312000</c:v>
                </c:pt>
                <c:pt idx="4">
                  <c:v>318000</c:v>
                </c:pt>
                <c:pt idx="5">
                  <c:v>325000</c:v>
                </c:pt>
                <c:pt idx="6">
                  <c:v>331000</c:v>
                </c:pt>
                <c:pt idx="7">
                  <c:v>337000</c:v>
                </c:pt>
                <c:pt idx="8">
                  <c:v>344000</c:v>
                </c:pt>
                <c:pt idx="9">
                  <c:v>350000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46-4853-8B2D-76B2F6EC4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8404688"/>
        <c:axId val="978428400"/>
      </c:scatterChart>
      <c:valAx>
        <c:axId val="97840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8428400"/>
        <c:crosses val="autoZero"/>
        <c:crossBetween val="midCat"/>
      </c:valAx>
      <c:valAx>
        <c:axId val="97842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8404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'ABR-Exc'!$A$49</c:f>
              <c:strCache>
                <c:ptCount val="1"/>
                <c:pt idx="0">
                  <c:v>Excavation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'ABR-Exc'!$B$49:$O$49</c:f>
              <c:numCache>
                <c:formatCode>General</c:formatCode>
                <c:ptCount val="14"/>
                <c:pt idx="0">
                  <c:v>3.94</c:v>
                </c:pt>
                <c:pt idx="1">
                  <c:v>7.47</c:v>
                </c:pt>
                <c:pt idx="2">
                  <c:v>14.9</c:v>
                </c:pt>
                <c:pt idx="3">
                  <c:v>22.4</c:v>
                </c:pt>
                <c:pt idx="4">
                  <c:v>37.200000000000003</c:v>
                </c:pt>
                <c:pt idx="5">
                  <c:v>55.3</c:v>
                </c:pt>
                <c:pt idx="6">
                  <c:v>73.900000000000006</c:v>
                </c:pt>
                <c:pt idx="7">
                  <c:v>147</c:v>
                </c:pt>
                <c:pt idx="8">
                  <c:v>219</c:v>
                </c:pt>
                <c:pt idx="9">
                  <c:v>292</c:v>
                </c:pt>
                <c:pt idx="10">
                  <c:v>365</c:v>
                </c:pt>
                <c:pt idx="11">
                  <c:v>437</c:v>
                </c:pt>
                <c:pt idx="12">
                  <c:v>582</c:v>
                </c:pt>
                <c:pt idx="13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3-469A-8E89-BA5E33563147}"/>
            </c:ext>
          </c:extLst>
        </c:ser>
        <c:ser>
          <c:idx val="1"/>
          <c:order val="1"/>
          <c:tx>
            <c:strRef>
              <c:f>'ABR-Exc'!$A$50</c:f>
              <c:strCache>
                <c:ptCount val="1"/>
                <c:pt idx="0">
                  <c:v>Lining and Gas Cover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'ABR-Exc'!$B$50:$O$50</c:f>
              <c:numCache>
                <c:formatCode>General</c:formatCode>
                <c:ptCount val="14"/>
                <c:pt idx="0">
                  <c:v>157.6</c:v>
                </c:pt>
                <c:pt idx="1">
                  <c:v>248.3</c:v>
                </c:pt>
                <c:pt idx="2">
                  <c:v>409</c:v>
                </c:pt>
                <c:pt idx="3">
                  <c:v>554</c:v>
                </c:pt>
                <c:pt idx="4">
                  <c:v>826</c:v>
                </c:pt>
                <c:pt idx="5">
                  <c:v>1152</c:v>
                </c:pt>
                <c:pt idx="6">
                  <c:v>1464</c:v>
                </c:pt>
                <c:pt idx="7">
                  <c:v>2664</c:v>
                </c:pt>
                <c:pt idx="8">
                  <c:v>3820</c:v>
                </c:pt>
                <c:pt idx="9">
                  <c:v>4950</c:v>
                </c:pt>
                <c:pt idx="10">
                  <c:v>6060</c:v>
                </c:pt>
                <c:pt idx="11">
                  <c:v>7170</c:v>
                </c:pt>
                <c:pt idx="12">
                  <c:v>9370</c:v>
                </c:pt>
                <c:pt idx="13">
                  <c:v>11540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03-469A-8E89-BA5E33563147}"/>
            </c:ext>
          </c:extLst>
        </c:ser>
        <c:ser>
          <c:idx val="2"/>
          <c:order val="2"/>
          <c:tx>
            <c:strRef>
              <c:f>'ABR-Exc'!$A$51</c:f>
              <c:strCache>
                <c:ptCount val="1"/>
                <c:pt idx="0">
                  <c:v>Baffling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'ABR-Exc'!$B$51:$O$51</c:f>
              <c:numCache>
                <c:formatCode>General</c:formatCode>
                <c:ptCount val="14"/>
                <c:pt idx="0">
                  <c:v>571</c:v>
                </c:pt>
                <c:pt idx="1">
                  <c:v>647</c:v>
                </c:pt>
                <c:pt idx="2">
                  <c:v>1264</c:v>
                </c:pt>
                <c:pt idx="3">
                  <c:v>1265</c:v>
                </c:pt>
                <c:pt idx="4">
                  <c:v>1266</c:v>
                </c:pt>
                <c:pt idx="5">
                  <c:v>1883</c:v>
                </c:pt>
                <c:pt idx="6">
                  <c:v>1885</c:v>
                </c:pt>
                <c:pt idx="7">
                  <c:v>2510</c:v>
                </c:pt>
                <c:pt idx="8">
                  <c:v>3140</c:v>
                </c:pt>
                <c:pt idx="9">
                  <c:v>3140</c:v>
                </c:pt>
                <c:pt idx="10">
                  <c:v>3760</c:v>
                </c:pt>
                <c:pt idx="11">
                  <c:v>3760</c:v>
                </c:pt>
                <c:pt idx="12">
                  <c:v>5100</c:v>
                </c:pt>
                <c:pt idx="13">
                  <c:v>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03-469A-8E89-BA5E33563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6050431"/>
        <c:axId val="836041279"/>
      </c:barChart>
      <c:catAx>
        <c:axId val="8360504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041279"/>
        <c:crosses val="autoZero"/>
        <c:auto val="1"/>
        <c:lblAlgn val="ctr"/>
        <c:lblOffset val="100"/>
        <c:noMultiLvlLbl val="0"/>
      </c:catAx>
      <c:valAx>
        <c:axId val="836041279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050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'ABR-T'!$B$6:$B$19</c:f>
              <c:numCache>
                <c:formatCode>General</c:formatCode>
                <c:ptCount val="14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500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'ABR-T'!$K$6:$K$19</c:f>
              <c:numCache>
                <c:formatCode>General</c:formatCode>
                <c:ptCount val="14"/>
                <c:pt idx="0">
                  <c:v>324.3968541004229</c:v>
                </c:pt>
                <c:pt idx="1">
                  <c:v>609.89455200205293</c:v>
                </c:pt>
                <c:pt idx="2">
                  <c:v>1146.6552768931419</c:v>
                </c:pt>
                <c:pt idx="3">
                  <c:v>1658.8869579033249</c:v>
                </c:pt>
                <c:pt idx="4">
                  <c:v>2641.6582588403962</c:v>
                </c:pt>
                <c:pt idx="5">
                  <c:v>4065.4856106839061</c:v>
                </c:pt>
                <c:pt idx="6">
                  <c:v>5283.3165176807925</c:v>
                </c:pt>
                <c:pt idx="7">
                  <c:v>10298.929611007665</c:v>
                </c:pt>
                <c:pt idx="8">
                  <c:v>15849.949553042377</c:v>
                </c:pt>
                <c:pt idx="9">
                  <c:v>20597.85922201533</c:v>
                </c:pt>
                <c:pt idx="10">
                  <c:v>25895.974619593857</c:v>
                </c:pt>
                <c:pt idx="11">
                  <c:v>30896.788833022998</c:v>
                </c:pt>
                <c:pt idx="12">
                  <c:v>41195.718444030659</c:v>
                </c:pt>
                <c:pt idx="13">
                  <c:v>51494.648055038328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4F-46BF-8127-B3B3267E3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976911"/>
        <c:axId val="692956111"/>
      </c:scatterChart>
      <c:valAx>
        <c:axId val="692976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956111"/>
        <c:crosses val="autoZero"/>
        <c:crossBetween val="midCat"/>
      </c:valAx>
      <c:valAx>
        <c:axId val="6929561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9769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'ABR-T'!$B$6:$B$19</c:f>
              <c:numCache>
                <c:formatCode>General</c:formatCode>
                <c:ptCount val="14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500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'ABR-T'!$M$6:$M$19</c:f>
              <c:numCache>
                <c:formatCode>General</c:formatCode>
                <c:ptCount val="14"/>
                <c:pt idx="0">
                  <c:v>12.337500000000002</c:v>
                </c:pt>
                <c:pt idx="1">
                  <c:v>20.57</c:v>
                </c:pt>
                <c:pt idx="2">
                  <c:v>35.670749999999998</c:v>
                </c:pt>
                <c:pt idx="3">
                  <c:v>50.26</c:v>
                </c:pt>
                <c:pt idx="4">
                  <c:v>77.946749999999994</c:v>
                </c:pt>
                <c:pt idx="5">
                  <c:v>121.23749999999998</c:v>
                </c:pt>
                <c:pt idx="6">
                  <c:v>155.89349999999999</c:v>
                </c:pt>
                <c:pt idx="7">
                  <c:v>301.8599999999999</c:v>
                </c:pt>
                <c:pt idx="8">
                  <c:v>467.68049999999994</c:v>
                </c:pt>
                <c:pt idx="9">
                  <c:v>603.7199999999998</c:v>
                </c:pt>
                <c:pt idx="10">
                  <c:v>760.78599999999994</c:v>
                </c:pt>
                <c:pt idx="11">
                  <c:v>905.57999999999981</c:v>
                </c:pt>
                <c:pt idx="12">
                  <c:v>1207.4399999999996</c:v>
                </c:pt>
                <c:pt idx="13">
                  <c:v>1509.2999999999997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69-4212-811E-B867E7A3E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976911"/>
        <c:axId val="692956111"/>
      </c:scatterChart>
      <c:valAx>
        <c:axId val="692976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956111"/>
        <c:crosses val="autoZero"/>
        <c:crossBetween val="midCat"/>
      </c:valAx>
      <c:valAx>
        <c:axId val="6929561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9769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'ABR-T'!$B$6:$B$19</c:f>
              <c:numCache>
                <c:formatCode>General</c:formatCode>
                <c:ptCount val="14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500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'ABR-T'!$P$6:$P$19</c:f>
              <c:numCache>
                <c:formatCode>0</c:formatCode>
                <c:ptCount val="14"/>
                <c:pt idx="0">
                  <c:v>15843.750000000005</c:v>
                </c:pt>
                <c:pt idx="1">
                  <c:v>21425</c:v>
                </c:pt>
                <c:pt idx="2">
                  <c:v>29176.874999999996</c:v>
                </c:pt>
                <c:pt idx="3">
                  <c:v>35649.999999999993</c:v>
                </c:pt>
                <c:pt idx="4">
                  <c:v>44866.874999999985</c:v>
                </c:pt>
                <c:pt idx="5">
                  <c:v>78093.749999999956</c:v>
                </c:pt>
                <c:pt idx="6">
                  <c:v>89733.749999999971</c:v>
                </c:pt>
                <c:pt idx="7">
                  <c:v>154649.99999999983</c:v>
                </c:pt>
                <c:pt idx="8">
                  <c:v>269201.24999999994</c:v>
                </c:pt>
                <c:pt idx="9">
                  <c:v>309299.99999999965</c:v>
                </c:pt>
                <c:pt idx="10">
                  <c:v>401964.99999999988</c:v>
                </c:pt>
                <c:pt idx="11">
                  <c:v>463949.99999999948</c:v>
                </c:pt>
                <c:pt idx="12">
                  <c:v>618599.9999999993</c:v>
                </c:pt>
                <c:pt idx="13">
                  <c:v>773249.99999999907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93-48A9-B728-6633B7155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976911"/>
        <c:axId val="692956111"/>
      </c:scatterChart>
      <c:valAx>
        <c:axId val="692976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956111"/>
        <c:crosses val="autoZero"/>
        <c:crossBetween val="midCat"/>
      </c:valAx>
      <c:valAx>
        <c:axId val="692956111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9769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'AHF '!$B$88</c:f>
              <c:strCache>
                <c:ptCount val="1"/>
                <c:pt idx="0">
                  <c:v>Excavation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'AHF '!$C$87:$Q$87</c:f>
              <c:strCache>
                <c:ptCount val="15"/>
                <c:pt idx="0">
                  <c:v>PE=5</c:v>
                </c:pt>
                <c:pt idx="1">
                  <c:v>P=10</c:v>
                </c:pt>
                <c:pt idx="2">
                  <c:v>P=20</c:v>
                </c:pt>
                <c:pt idx="3">
                  <c:v>P=30</c:v>
                </c:pt>
                <c:pt idx="4">
                  <c:v>PE=50</c:v>
                </c:pt>
                <c:pt idx="5">
                  <c:v>PE=75</c:v>
                </c:pt>
                <c:pt idx="6">
                  <c:v>PE=100</c:v>
                </c:pt>
                <c:pt idx="7">
                  <c:v>PE=150</c:v>
                </c:pt>
                <c:pt idx="8">
                  <c:v>PE=200</c:v>
                </c:pt>
                <c:pt idx="9">
                  <c:v>PE=300</c:v>
                </c:pt>
                <c:pt idx="10">
                  <c:v>PE=400</c:v>
                </c:pt>
                <c:pt idx="11">
                  <c:v>PE=500</c:v>
                </c:pt>
                <c:pt idx="12">
                  <c:v>PE=600</c:v>
                </c:pt>
                <c:pt idx="13">
                  <c:v>PE=800</c:v>
                </c:pt>
                <c:pt idx="14">
                  <c:v>PE=1000</c:v>
                </c:pt>
              </c:strCache>
            </c:strRef>
          </c:cat>
          <c:val>
            <c:numRef>
              <c:f>'AHF '!$C$88:$Q$88</c:f>
              <c:numCache>
                <c:formatCode>General</c:formatCode>
                <c:ptCount val="15"/>
                <c:pt idx="0">
                  <c:v>8.9499999999999993</c:v>
                </c:pt>
                <c:pt idx="1">
                  <c:v>15.8</c:v>
                </c:pt>
                <c:pt idx="2">
                  <c:v>28</c:v>
                </c:pt>
                <c:pt idx="3">
                  <c:v>40.799999999999997</c:v>
                </c:pt>
                <c:pt idx="4">
                  <c:v>64.400000000000006</c:v>
                </c:pt>
                <c:pt idx="5">
                  <c:v>106</c:v>
                </c:pt>
                <c:pt idx="6">
                  <c:v>138</c:v>
                </c:pt>
                <c:pt idx="7">
                  <c:v>192</c:v>
                </c:pt>
                <c:pt idx="8">
                  <c:v>260</c:v>
                </c:pt>
                <c:pt idx="9">
                  <c:v>383</c:v>
                </c:pt>
                <c:pt idx="10">
                  <c:v>520</c:v>
                </c:pt>
                <c:pt idx="11">
                  <c:v>643</c:v>
                </c:pt>
                <c:pt idx="12">
                  <c:v>767</c:v>
                </c:pt>
                <c:pt idx="13">
                  <c:v>906</c:v>
                </c:pt>
                <c:pt idx="14">
                  <c:v>1030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A-4E04-97C7-A29A67F88D7B}"/>
            </c:ext>
          </c:extLst>
        </c:ser>
        <c:ser>
          <c:idx val="1"/>
          <c:order val="1"/>
          <c:tx>
            <c:strRef>
              <c:f>'AHF '!$B$89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'AHF '!$C$87:$Q$87</c:f>
              <c:strCache>
                <c:ptCount val="15"/>
                <c:pt idx="0">
                  <c:v>PE=5</c:v>
                </c:pt>
                <c:pt idx="1">
                  <c:v>P=10</c:v>
                </c:pt>
                <c:pt idx="2">
                  <c:v>P=20</c:v>
                </c:pt>
                <c:pt idx="3">
                  <c:v>P=30</c:v>
                </c:pt>
                <c:pt idx="4">
                  <c:v>PE=50</c:v>
                </c:pt>
                <c:pt idx="5">
                  <c:v>PE=75</c:v>
                </c:pt>
                <c:pt idx="6">
                  <c:v>PE=100</c:v>
                </c:pt>
                <c:pt idx="7">
                  <c:v>PE=150</c:v>
                </c:pt>
                <c:pt idx="8">
                  <c:v>PE=200</c:v>
                </c:pt>
                <c:pt idx="9">
                  <c:v>PE=300</c:v>
                </c:pt>
                <c:pt idx="10">
                  <c:v>PE=400</c:v>
                </c:pt>
                <c:pt idx="11">
                  <c:v>PE=500</c:v>
                </c:pt>
                <c:pt idx="12">
                  <c:v>PE=600</c:v>
                </c:pt>
                <c:pt idx="13">
                  <c:v>PE=800</c:v>
                </c:pt>
                <c:pt idx="14">
                  <c:v>PE=1000</c:v>
                </c:pt>
              </c:strCache>
            </c:strRef>
          </c:cat>
          <c:val>
            <c:numRef>
              <c:f>'AHF '!$C$89:$Q$89</c:f>
              <c:numCache>
                <c:formatCode>General</c:formatCode>
                <c:ptCount val="15"/>
                <c:pt idx="0">
                  <c:v>151.1</c:v>
                </c:pt>
                <c:pt idx="1">
                  <c:v>239.29999999999998</c:v>
                </c:pt>
                <c:pt idx="2">
                  <c:v>394</c:v>
                </c:pt>
                <c:pt idx="3">
                  <c:v>532</c:v>
                </c:pt>
                <c:pt idx="4">
                  <c:v>787</c:v>
                </c:pt>
                <c:pt idx="5">
                  <c:v>1492</c:v>
                </c:pt>
                <c:pt idx="6">
                  <c:v>1850</c:v>
                </c:pt>
                <c:pt idx="7">
                  <c:v>2317</c:v>
                </c:pt>
                <c:pt idx="8">
                  <c:v>3248</c:v>
                </c:pt>
                <c:pt idx="9">
                  <c:v>4648</c:v>
                </c:pt>
                <c:pt idx="10">
                  <c:v>6490</c:v>
                </c:pt>
                <c:pt idx="11">
                  <c:v>7890</c:v>
                </c:pt>
                <c:pt idx="12">
                  <c:v>9440</c:v>
                </c:pt>
                <c:pt idx="13">
                  <c:v>11320</c:v>
                </c:pt>
                <c:pt idx="14">
                  <c:v>12720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AA-4E04-97C7-A29A67F88D7B}"/>
            </c:ext>
          </c:extLst>
        </c:ser>
        <c:ser>
          <c:idx val="2"/>
          <c:order val="2"/>
          <c:tx>
            <c:strRef>
              <c:f>'AHF '!$B$90</c:f>
              <c:strCache>
                <c:ptCount val="1"/>
                <c:pt idx="0">
                  <c:v>Lining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'AHF '!$C$87:$Q$87</c:f>
              <c:strCache>
                <c:ptCount val="15"/>
                <c:pt idx="0">
                  <c:v>PE=5</c:v>
                </c:pt>
                <c:pt idx="1">
                  <c:v>P=10</c:v>
                </c:pt>
                <c:pt idx="2">
                  <c:v>P=20</c:v>
                </c:pt>
                <c:pt idx="3">
                  <c:v>P=30</c:v>
                </c:pt>
                <c:pt idx="4">
                  <c:v>PE=50</c:v>
                </c:pt>
                <c:pt idx="5">
                  <c:v>PE=75</c:v>
                </c:pt>
                <c:pt idx="6">
                  <c:v>PE=100</c:v>
                </c:pt>
                <c:pt idx="7">
                  <c:v>PE=150</c:v>
                </c:pt>
                <c:pt idx="8">
                  <c:v>PE=200</c:v>
                </c:pt>
                <c:pt idx="9">
                  <c:v>PE=300</c:v>
                </c:pt>
                <c:pt idx="10">
                  <c:v>PE=400</c:v>
                </c:pt>
                <c:pt idx="11">
                  <c:v>PE=500</c:v>
                </c:pt>
                <c:pt idx="12">
                  <c:v>PE=600</c:v>
                </c:pt>
                <c:pt idx="13">
                  <c:v>PE=800</c:v>
                </c:pt>
                <c:pt idx="14">
                  <c:v>PE=1000</c:v>
                </c:pt>
              </c:strCache>
            </c:strRef>
          </c:cat>
          <c:val>
            <c:numRef>
              <c:f>'AHF '!$C$90:$Q$90</c:f>
              <c:numCache>
                <c:formatCode>General</c:formatCode>
                <c:ptCount val="15"/>
                <c:pt idx="0">
                  <c:v>239</c:v>
                </c:pt>
                <c:pt idx="1">
                  <c:v>293</c:v>
                </c:pt>
                <c:pt idx="2">
                  <c:v>480</c:v>
                </c:pt>
                <c:pt idx="3">
                  <c:v>652</c:v>
                </c:pt>
                <c:pt idx="4">
                  <c:v>982</c:v>
                </c:pt>
                <c:pt idx="5">
                  <c:v>1701</c:v>
                </c:pt>
                <c:pt idx="6">
                  <c:v>2128</c:v>
                </c:pt>
                <c:pt idx="7">
                  <c:v>2820</c:v>
                </c:pt>
                <c:pt idx="8">
                  <c:v>3890</c:v>
                </c:pt>
                <c:pt idx="9">
                  <c:v>5640</c:v>
                </c:pt>
                <c:pt idx="10">
                  <c:v>7770</c:v>
                </c:pt>
                <c:pt idx="11">
                  <c:v>9510</c:v>
                </c:pt>
                <c:pt idx="12">
                  <c:v>11470</c:v>
                </c:pt>
                <c:pt idx="13">
                  <c:v>13640</c:v>
                </c:pt>
                <c:pt idx="14">
                  <c:v>15410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AA-4E04-97C7-A29A67F88D7B}"/>
            </c:ext>
          </c:extLst>
        </c:ser>
        <c:ser>
          <c:idx val="3"/>
          <c:order val="3"/>
          <c:tx>
            <c:strRef>
              <c:f>'AHF '!$B$91</c:f>
              <c:strCache>
                <c:ptCount val="1"/>
                <c:pt idx="0">
                  <c:v>Piping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'AHF '!$C$87:$Q$87</c:f>
              <c:strCache>
                <c:ptCount val="15"/>
                <c:pt idx="0">
                  <c:v>PE=5</c:v>
                </c:pt>
                <c:pt idx="1">
                  <c:v>P=10</c:v>
                </c:pt>
                <c:pt idx="2">
                  <c:v>P=20</c:v>
                </c:pt>
                <c:pt idx="3">
                  <c:v>P=30</c:v>
                </c:pt>
                <c:pt idx="4">
                  <c:v>PE=50</c:v>
                </c:pt>
                <c:pt idx="5">
                  <c:v>PE=75</c:v>
                </c:pt>
                <c:pt idx="6">
                  <c:v>PE=100</c:v>
                </c:pt>
                <c:pt idx="7">
                  <c:v>PE=150</c:v>
                </c:pt>
                <c:pt idx="8">
                  <c:v>PE=200</c:v>
                </c:pt>
                <c:pt idx="9">
                  <c:v>PE=300</c:v>
                </c:pt>
                <c:pt idx="10">
                  <c:v>PE=400</c:v>
                </c:pt>
                <c:pt idx="11">
                  <c:v>PE=500</c:v>
                </c:pt>
                <c:pt idx="12">
                  <c:v>PE=600</c:v>
                </c:pt>
                <c:pt idx="13">
                  <c:v>PE=800</c:v>
                </c:pt>
                <c:pt idx="14">
                  <c:v>PE=1000</c:v>
                </c:pt>
              </c:strCache>
            </c:strRef>
          </c:cat>
          <c:val>
            <c:numRef>
              <c:f>'AHF '!$C$91:$Q$91</c:f>
              <c:numCache>
                <c:formatCode>General</c:formatCode>
                <c:ptCount val="15"/>
                <c:pt idx="0">
                  <c:v>390.56</c:v>
                </c:pt>
                <c:pt idx="1">
                  <c:v>533.6</c:v>
                </c:pt>
                <c:pt idx="2">
                  <c:v>729.8</c:v>
                </c:pt>
                <c:pt idx="3">
                  <c:v>885.3</c:v>
                </c:pt>
                <c:pt idx="4">
                  <c:v>1126.5999999999999</c:v>
                </c:pt>
                <c:pt idx="5">
                  <c:v>2066.6</c:v>
                </c:pt>
                <c:pt idx="6">
                  <c:v>2391</c:v>
                </c:pt>
                <c:pt idx="7">
                  <c:v>2407.1</c:v>
                </c:pt>
                <c:pt idx="8">
                  <c:v>3207</c:v>
                </c:pt>
                <c:pt idx="9">
                  <c:v>4022</c:v>
                </c:pt>
                <c:pt idx="10">
                  <c:v>6089</c:v>
                </c:pt>
                <c:pt idx="11">
                  <c:v>6900</c:v>
                </c:pt>
                <c:pt idx="12">
                  <c:v>7738</c:v>
                </c:pt>
                <c:pt idx="13">
                  <c:v>9293</c:v>
                </c:pt>
                <c:pt idx="14">
                  <c:v>10111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AA-4E04-97C7-A29A67F88D7B}"/>
            </c:ext>
          </c:extLst>
        </c:ser>
        <c:ser>
          <c:idx val="4"/>
          <c:order val="4"/>
          <c:tx>
            <c:strRef>
              <c:f>'AHF '!$B$92</c:f>
              <c:strCache>
                <c:ptCount val="1"/>
                <c:pt idx="0">
                  <c:v>Compressor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'AHF '!$C$87:$Q$87</c:f>
              <c:strCache>
                <c:ptCount val="15"/>
                <c:pt idx="0">
                  <c:v>PE=5</c:v>
                </c:pt>
                <c:pt idx="1">
                  <c:v>P=10</c:v>
                </c:pt>
                <c:pt idx="2">
                  <c:v>P=20</c:v>
                </c:pt>
                <c:pt idx="3">
                  <c:v>P=30</c:v>
                </c:pt>
                <c:pt idx="4">
                  <c:v>PE=50</c:v>
                </c:pt>
                <c:pt idx="5">
                  <c:v>PE=75</c:v>
                </c:pt>
                <c:pt idx="6">
                  <c:v>PE=100</c:v>
                </c:pt>
                <c:pt idx="7">
                  <c:v>PE=150</c:v>
                </c:pt>
                <c:pt idx="8">
                  <c:v>PE=200</c:v>
                </c:pt>
                <c:pt idx="9">
                  <c:v>PE=300</c:v>
                </c:pt>
                <c:pt idx="10">
                  <c:v>PE=400</c:v>
                </c:pt>
                <c:pt idx="11">
                  <c:v>PE=500</c:v>
                </c:pt>
                <c:pt idx="12">
                  <c:v>PE=600</c:v>
                </c:pt>
                <c:pt idx="13">
                  <c:v>PE=800</c:v>
                </c:pt>
                <c:pt idx="14">
                  <c:v>PE=1000</c:v>
                </c:pt>
              </c:strCache>
            </c:strRef>
          </c:cat>
          <c:val>
            <c:numRef>
              <c:f>'AHF '!$C$92:$Q$92</c:f>
              <c:numCache>
                <c:formatCode>General</c:formatCode>
                <c:ptCount val="15"/>
                <c:pt idx="0">
                  <c:v>21</c:v>
                </c:pt>
                <c:pt idx="1">
                  <c:v>31.5</c:v>
                </c:pt>
                <c:pt idx="2">
                  <c:v>53.6</c:v>
                </c:pt>
                <c:pt idx="3">
                  <c:v>53.6</c:v>
                </c:pt>
                <c:pt idx="4">
                  <c:v>53.6</c:v>
                </c:pt>
                <c:pt idx="5">
                  <c:v>53.6</c:v>
                </c:pt>
                <c:pt idx="6">
                  <c:v>53.6</c:v>
                </c:pt>
                <c:pt idx="7">
                  <c:v>89.3</c:v>
                </c:pt>
                <c:pt idx="8">
                  <c:v>89.3</c:v>
                </c:pt>
                <c:pt idx="9">
                  <c:v>89.3</c:v>
                </c:pt>
                <c:pt idx="10">
                  <c:v>89.3</c:v>
                </c:pt>
                <c:pt idx="11">
                  <c:v>89.3</c:v>
                </c:pt>
                <c:pt idx="12">
                  <c:v>125</c:v>
                </c:pt>
                <c:pt idx="13">
                  <c:v>158</c:v>
                </c:pt>
                <c:pt idx="14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AA-4E04-97C7-A29A67F88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2013211775"/>
        <c:axId val="1961815775"/>
      </c:barChart>
      <c:catAx>
        <c:axId val="2013211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1815775"/>
        <c:crosses val="autoZero"/>
        <c:auto val="1"/>
        <c:lblAlgn val="ctr"/>
        <c:lblOffset val="100"/>
        <c:noMultiLvlLbl val="0"/>
      </c:catAx>
      <c:valAx>
        <c:axId val="1961815775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3211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'Uk Grid Decarbonisation'!$A$47:$A$85</c:f>
              <c:numCache>
                <c:formatCode>General</c:formatCode>
                <c:ptCount val="3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</c:numCache>
            </c:numRef>
          </c:xVal>
          <c:yVal>
            <c:numRef>
              <c:f>'Uk Grid Decarbonisation'!$C$47:$C$85</c:f>
              <c:numCache>
                <c:formatCode>0.00</c:formatCode>
                <c:ptCount val="39"/>
                <c:pt idx="0">
                  <c:v>146.41714746996777</c:v>
                </c:pt>
                <c:pt idx="1">
                  <c:v>140.40199799097709</c:v>
                </c:pt>
                <c:pt idx="2">
                  <c:v>134.63396453548376</c:v>
                </c:pt>
                <c:pt idx="3">
                  <c:v>129.10289501511778</c:v>
                </c:pt>
                <c:pt idx="4">
                  <c:v>123.79905441239288</c:v>
                </c:pt>
                <c:pt idx="5">
                  <c:v>118.71310764648565</c:v>
                </c:pt>
                <c:pt idx="6">
                  <c:v>113.83610314292783</c:v>
                </c:pt>
                <c:pt idx="7">
                  <c:v>109.15945707829279</c:v>
                </c:pt>
                <c:pt idx="8">
                  <c:v>104.67493827214626</c:v>
                </c:pt>
                <c:pt idx="9">
                  <c:v>100.37465369967002</c:v>
                </c:pt>
                <c:pt idx="10">
                  <c:v>96.251034599459899</c:v>
                </c:pt>
                <c:pt idx="11">
                  <c:v>92.296823152047224</c:v>
                </c:pt>
                <c:pt idx="12">
                  <c:v>88.505059705696738</c:v>
                </c:pt>
                <c:pt idx="13">
                  <c:v>84.869070526997859</c:v>
                </c:pt>
                <c:pt idx="14">
                  <c:v>81.382456054689527</c:v>
                </c:pt>
                <c:pt idx="15">
                  <c:v>78.039079636044576</c:v>
                </c:pt>
                <c:pt idx="16">
                  <c:v>74.833056725989252</c:v>
                </c:pt>
                <c:pt idx="17">
                  <c:v>71.758744529947165</c:v>
                </c:pt>
                <c:pt idx="18">
                  <c:v>68.810732072179036</c:v>
                </c:pt>
                <c:pt idx="19">
                  <c:v>65.983830672137543</c:v>
                </c:pt>
                <c:pt idx="20">
                  <c:v>63.273064812075084</c:v>
                </c:pt>
                <c:pt idx="21">
                  <c:v>60.673663379831204</c:v>
                </c:pt>
                <c:pt idx="22">
                  <c:v>58.181051271386011</c:v>
                </c:pt>
                <c:pt idx="23">
                  <c:v>55.7908413383999</c:v>
                </c:pt>
                <c:pt idx="24">
                  <c:v>53.498826666566728</c:v>
                </c:pt>
                <c:pt idx="25">
                  <c:v>51.300973171189639</c:v>
                </c:pt>
                <c:pt idx="26">
                  <c:v>49.19341249694763</c:v>
                </c:pt>
                <c:pt idx="27">
                  <c:v>47.172435209355797</c:v>
                </c:pt>
                <c:pt idx="28">
                  <c:v>45.234484265935876</c:v>
                </c:pt>
                <c:pt idx="29">
                  <c:v>43.376148755605939</c:v>
                </c:pt>
                <c:pt idx="30">
                  <c:v>41.594157895270243</c:v>
                </c:pt>
                <c:pt idx="31">
                  <c:v>39.885375273042818</c:v>
                </c:pt>
                <c:pt idx="32">
                  <c:v>38.246793327972476</c:v>
                </c:pt>
                <c:pt idx="33">
                  <c:v>36.675528056553304</c:v>
                </c:pt>
                <c:pt idx="34">
                  <c:v>35.16881393670382</c:v>
                </c:pt>
                <c:pt idx="35">
                  <c:v>33.723999060280448</c:v>
                </c:pt>
                <c:pt idx="36">
                  <c:v>32.338540465558559</c:v>
                </c:pt>
                <c:pt idx="37">
                  <c:v>31.009999661465773</c:v>
                </c:pt>
                <c:pt idx="38">
                  <c:v>29.736038335689866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37-49A5-A0A0-C48C6A231FE0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'Uk Grid Decarbonisation'!$A$47:$A$68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xVal>
          <c:yVal>
            <c:numRef>
              <c:f>'Uk Grid Decarbonisation'!$G$47:$G$68</c:f>
              <c:numCache>
                <c:formatCode>#,##0</c:formatCode>
                <c:ptCount val="22"/>
                <c:pt idx="0">
                  <c:v>156.00368460000001</c:v>
                </c:pt>
                <c:pt idx="1">
                  <c:v>146.94332610000001</c:v>
                </c:pt>
                <c:pt idx="2">
                  <c:v>137.19807069999999</c:v>
                </c:pt>
                <c:pt idx="3">
                  <c:v>127.27722199999999</c:v>
                </c:pt>
                <c:pt idx="4">
                  <c:v>119.1275091</c:v>
                </c:pt>
                <c:pt idx="5">
                  <c:v>128.4439879</c:v>
                </c:pt>
                <c:pt idx="6">
                  <c:v>108.2024037</c:v>
                </c:pt>
                <c:pt idx="7">
                  <c:v>90.164698819999998</c:v>
                </c:pt>
                <c:pt idx="8">
                  <c:v>85.440193519999994</c:v>
                </c:pt>
                <c:pt idx="9">
                  <c:v>91.252890870000002</c:v>
                </c:pt>
                <c:pt idx="10">
                  <c:v>98.374024410000004</c:v>
                </c:pt>
                <c:pt idx="11">
                  <c:v>89.430933350000004</c:v>
                </c:pt>
                <c:pt idx="12">
                  <c:v>82.671395329999996</c:v>
                </c:pt>
                <c:pt idx="13">
                  <c:v>83.624771969999998</c:v>
                </c:pt>
                <c:pt idx="14">
                  <c:v>84.756043939999998</c:v>
                </c:pt>
                <c:pt idx="15">
                  <c:v>86.765956680000002</c:v>
                </c:pt>
                <c:pt idx="16">
                  <c:v>78.285649039999996</c:v>
                </c:pt>
                <c:pt idx="17">
                  <c:v>71.208615530000003</c:v>
                </c:pt>
                <c:pt idx="18">
                  <c:v>67.352100280000002</c:v>
                </c:pt>
                <c:pt idx="19">
                  <c:v>69.828067779999998</c:v>
                </c:pt>
                <c:pt idx="20">
                  <c:v>68.82799593</c:v>
                </c:pt>
                <c:pt idx="21">
                  <c:v>66.82622198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37-49A5-A0A0-C48C6A231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1890128"/>
        <c:axId val="1961898864"/>
      </c:scatterChart>
      <c:valAx>
        <c:axId val="1961890128"/>
        <c:scaling>
          <c:orientation val="minMax"/>
          <c:max val="2055"/>
          <c:min val="202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1898864"/>
        <c:crosses val="autoZero"/>
        <c:crossBetween val="midCat"/>
      </c:valAx>
      <c:valAx>
        <c:axId val="196189886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1890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'AHF '!$B$66</c:f>
              <c:strCache>
                <c:ptCount val="1"/>
                <c:pt idx="0">
                  <c:v>Total Kg CO2eq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26059230096237967"/>
                  <c:y val="1.810185185185185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'AHF '!$C$53:$Q$53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'AHF '!$C$66:$Q$66</c:f>
              <c:numCache>
                <c:formatCode>General</c:formatCode>
                <c:ptCount val="15"/>
                <c:pt idx="0">
                  <c:v>810.61</c:v>
                </c:pt>
                <c:pt idx="1">
                  <c:v>1113.2</c:v>
                </c:pt>
                <c:pt idx="2">
                  <c:v>1685.4</c:v>
                </c:pt>
                <c:pt idx="3">
                  <c:v>2163.6999999999998</c:v>
                </c:pt>
                <c:pt idx="4">
                  <c:v>3013.6</c:v>
                </c:pt>
                <c:pt idx="5">
                  <c:v>5419.2</c:v>
                </c:pt>
                <c:pt idx="6">
                  <c:v>6560.6</c:v>
                </c:pt>
                <c:pt idx="7">
                  <c:v>7825.4</c:v>
                </c:pt>
                <c:pt idx="8">
                  <c:v>10694.3</c:v>
                </c:pt>
                <c:pt idx="9">
                  <c:v>14782.3</c:v>
                </c:pt>
                <c:pt idx="10">
                  <c:v>20958.3</c:v>
                </c:pt>
                <c:pt idx="11">
                  <c:v>25032.3</c:v>
                </c:pt>
                <c:pt idx="12">
                  <c:v>29540</c:v>
                </c:pt>
                <c:pt idx="13">
                  <c:v>35317</c:v>
                </c:pt>
                <c:pt idx="14">
                  <c:v>39429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06-4BE9-AAB4-19135BE17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207471"/>
        <c:axId val="830204143"/>
      </c:scatterChart>
      <c:valAx>
        <c:axId val="830207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204143"/>
        <c:crosses val="autoZero"/>
        <c:crossBetween val="midCat"/>
      </c:valAx>
      <c:valAx>
        <c:axId val="830204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2074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'AHF '!$C$3:$Q$3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'AHF '!$C$34:$Q$34</c:f>
              <c:numCache>
                <c:formatCode>General</c:formatCode>
                <c:ptCount val="15"/>
                <c:pt idx="0">
                  <c:v>16.840000000000003</c:v>
                </c:pt>
                <c:pt idx="1">
                  <c:v>29.830000000000002</c:v>
                </c:pt>
                <c:pt idx="2">
                  <c:v>52.77</c:v>
                </c:pt>
                <c:pt idx="3">
                  <c:v>76.759999999999991</c:v>
                </c:pt>
                <c:pt idx="4">
                  <c:v>121.34999999999998</c:v>
                </c:pt>
                <c:pt idx="5">
                  <c:v>198.99999999999997</c:v>
                </c:pt>
                <c:pt idx="6">
                  <c:v>259.11999999999995</c:v>
                </c:pt>
                <c:pt idx="7">
                  <c:v>361.19999999999993</c:v>
                </c:pt>
                <c:pt idx="8">
                  <c:v>489.3</c:v>
                </c:pt>
                <c:pt idx="9">
                  <c:v>722.39999999999986</c:v>
                </c:pt>
                <c:pt idx="10">
                  <c:v>978.6</c:v>
                </c:pt>
                <c:pt idx="11">
                  <c:v>1211.7</c:v>
                </c:pt>
                <c:pt idx="12">
                  <c:v>1444.7999999999997</c:v>
                </c:pt>
                <c:pt idx="13">
                  <c:v>1706</c:v>
                </c:pt>
                <c:pt idx="14">
                  <c:v>1931.6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EB-409D-90CD-02568D2EA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801823"/>
        <c:axId val="785795583"/>
      </c:scatterChart>
      <c:valAx>
        <c:axId val="785801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795583"/>
        <c:crosses val="autoZero"/>
        <c:crossBetween val="midCat"/>
      </c:valAx>
      <c:valAx>
        <c:axId val="7857955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8018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47594050743651E-2"/>
          <c:y val="5.0925925925925923E-2"/>
          <c:w val="0.84586351706036744"/>
          <c:h val="0.841674686497521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28095319335083113"/>
                  <c:y val="-2.1773840769903972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'VF '!$C$43:$Q$43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'VF '!$C$55:$Q$55</c:f>
              <c:numCache>
                <c:formatCode>General</c:formatCode>
                <c:ptCount val="15"/>
                <c:pt idx="0">
                  <c:v>1330</c:v>
                </c:pt>
                <c:pt idx="1">
                  <c:v>2540</c:v>
                </c:pt>
                <c:pt idx="2">
                  <c:v>4610</c:v>
                </c:pt>
                <c:pt idx="3">
                  <c:v>6810</c:v>
                </c:pt>
                <c:pt idx="4">
                  <c:v>11100</c:v>
                </c:pt>
                <c:pt idx="5">
                  <c:v>16400</c:v>
                </c:pt>
                <c:pt idx="6">
                  <c:v>21200</c:v>
                </c:pt>
                <c:pt idx="7">
                  <c:v>54000</c:v>
                </c:pt>
                <c:pt idx="8">
                  <c:v>69900</c:v>
                </c:pt>
                <c:pt idx="9">
                  <c:v>105000</c:v>
                </c:pt>
                <c:pt idx="10">
                  <c:v>140000</c:v>
                </c:pt>
                <c:pt idx="11">
                  <c:v>172000</c:v>
                </c:pt>
                <c:pt idx="12">
                  <c:v>211000</c:v>
                </c:pt>
                <c:pt idx="13">
                  <c:v>244000</c:v>
                </c:pt>
                <c:pt idx="14">
                  <c:v>283000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7C-4CD6-80F1-03959DD7D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216207"/>
        <c:axId val="830212463"/>
      </c:scatterChart>
      <c:valAx>
        <c:axId val="830216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212463"/>
        <c:crosses val="autoZero"/>
        <c:crossBetween val="midCat"/>
      </c:valAx>
      <c:valAx>
        <c:axId val="830212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2162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'VF '!$B$64</c:f>
              <c:strCache>
                <c:ptCount val="1"/>
                <c:pt idx="0">
                  <c:v>Excavation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'VF '!$C$63:$Q$63</c:f>
              <c:strCache>
                <c:ptCount val="15"/>
                <c:pt idx="0">
                  <c:v>PE=5</c:v>
                </c:pt>
                <c:pt idx="1">
                  <c:v>PE=10</c:v>
                </c:pt>
                <c:pt idx="2">
                  <c:v>PE=20</c:v>
                </c:pt>
                <c:pt idx="3">
                  <c:v>PE=30</c:v>
                </c:pt>
                <c:pt idx="4">
                  <c:v>PE=50</c:v>
                </c:pt>
                <c:pt idx="5">
                  <c:v>PE=75</c:v>
                </c:pt>
                <c:pt idx="6">
                  <c:v>PE=100</c:v>
                </c:pt>
                <c:pt idx="7">
                  <c:v>PE=150</c:v>
                </c:pt>
                <c:pt idx="8">
                  <c:v>PE=200</c:v>
                </c:pt>
                <c:pt idx="9">
                  <c:v>PE=300</c:v>
                </c:pt>
                <c:pt idx="10">
                  <c:v>PE=400</c:v>
                </c:pt>
                <c:pt idx="11">
                  <c:v>PE=500</c:v>
                </c:pt>
                <c:pt idx="12">
                  <c:v>PE=600</c:v>
                </c:pt>
                <c:pt idx="13">
                  <c:v>PE=800</c:v>
                </c:pt>
                <c:pt idx="14">
                  <c:v>PE=1000</c:v>
                </c:pt>
              </c:strCache>
            </c:strRef>
          </c:cat>
          <c:val>
            <c:numRef>
              <c:f>'VF '!$C$64:$Q$64</c:f>
              <c:numCache>
                <c:formatCode>General</c:formatCode>
                <c:ptCount val="15"/>
                <c:pt idx="0">
                  <c:v>14.6</c:v>
                </c:pt>
                <c:pt idx="1">
                  <c:v>29.4</c:v>
                </c:pt>
                <c:pt idx="2">
                  <c:v>58.3</c:v>
                </c:pt>
                <c:pt idx="3">
                  <c:v>88</c:v>
                </c:pt>
                <c:pt idx="4">
                  <c:v>147</c:v>
                </c:pt>
                <c:pt idx="5">
                  <c:v>220</c:v>
                </c:pt>
                <c:pt idx="6">
                  <c:v>293</c:v>
                </c:pt>
                <c:pt idx="7">
                  <c:v>439</c:v>
                </c:pt>
                <c:pt idx="8">
                  <c:v>585</c:v>
                </c:pt>
                <c:pt idx="9">
                  <c:v>878</c:v>
                </c:pt>
                <c:pt idx="10">
                  <c:v>1170</c:v>
                </c:pt>
                <c:pt idx="11">
                  <c:v>1460</c:v>
                </c:pt>
                <c:pt idx="12">
                  <c:v>1750</c:v>
                </c:pt>
                <c:pt idx="13">
                  <c:v>2050</c:v>
                </c:pt>
                <c:pt idx="14">
                  <c:v>2350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1-4425-92D3-BA5EDE731959}"/>
            </c:ext>
          </c:extLst>
        </c:ser>
        <c:ser>
          <c:idx val="1"/>
          <c:order val="1"/>
          <c:tx>
            <c:strRef>
              <c:f>'VF '!$B$65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'VF '!$C$63:$Q$63</c:f>
              <c:strCache>
                <c:ptCount val="15"/>
                <c:pt idx="0">
                  <c:v>PE=5</c:v>
                </c:pt>
                <c:pt idx="1">
                  <c:v>PE=10</c:v>
                </c:pt>
                <c:pt idx="2">
                  <c:v>PE=20</c:v>
                </c:pt>
                <c:pt idx="3">
                  <c:v>PE=30</c:v>
                </c:pt>
                <c:pt idx="4">
                  <c:v>PE=50</c:v>
                </c:pt>
                <c:pt idx="5">
                  <c:v>PE=75</c:v>
                </c:pt>
                <c:pt idx="6">
                  <c:v>PE=100</c:v>
                </c:pt>
                <c:pt idx="7">
                  <c:v>PE=150</c:v>
                </c:pt>
                <c:pt idx="8">
                  <c:v>PE=200</c:v>
                </c:pt>
                <c:pt idx="9">
                  <c:v>PE=300</c:v>
                </c:pt>
                <c:pt idx="10">
                  <c:v>PE=400</c:v>
                </c:pt>
                <c:pt idx="11">
                  <c:v>PE=500</c:v>
                </c:pt>
                <c:pt idx="12">
                  <c:v>PE=600</c:v>
                </c:pt>
                <c:pt idx="13">
                  <c:v>PE=800</c:v>
                </c:pt>
                <c:pt idx="14">
                  <c:v>PE=1000</c:v>
                </c:pt>
              </c:strCache>
            </c:strRef>
          </c:cat>
          <c:val>
            <c:numRef>
              <c:f>'VF '!$C$65:$Q$65</c:f>
              <c:numCache>
                <c:formatCode>General</c:formatCode>
                <c:ptCount val="15"/>
                <c:pt idx="0">
                  <c:v>167.6</c:v>
                </c:pt>
                <c:pt idx="1">
                  <c:v>344</c:v>
                </c:pt>
                <c:pt idx="2">
                  <c:v>670</c:v>
                </c:pt>
                <c:pt idx="3">
                  <c:v>1018</c:v>
                </c:pt>
                <c:pt idx="4">
                  <c:v>1707</c:v>
                </c:pt>
                <c:pt idx="5">
                  <c:v>2549</c:v>
                </c:pt>
                <c:pt idx="6">
                  <c:v>3367</c:v>
                </c:pt>
                <c:pt idx="7">
                  <c:v>6380</c:v>
                </c:pt>
                <c:pt idx="8">
                  <c:v>8450</c:v>
                </c:pt>
                <c:pt idx="9">
                  <c:v>12660</c:v>
                </c:pt>
                <c:pt idx="10">
                  <c:v>16870</c:v>
                </c:pt>
                <c:pt idx="11">
                  <c:v>20990</c:v>
                </c:pt>
                <c:pt idx="12">
                  <c:v>25350</c:v>
                </c:pt>
                <c:pt idx="13">
                  <c:v>29760</c:v>
                </c:pt>
                <c:pt idx="14">
                  <c:v>34290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1-4425-92D3-BA5EDE731959}"/>
            </c:ext>
          </c:extLst>
        </c:ser>
        <c:ser>
          <c:idx val="2"/>
          <c:order val="2"/>
          <c:tx>
            <c:strRef>
              <c:f>'VF '!$B$66</c:f>
              <c:strCache>
                <c:ptCount val="1"/>
                <c:pt idx="0">
                  <c:v>Lining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'VF '!$C$63:$Q$63</c:f>
              <c:strCache>
                <c:ptCount val="15"/>
                <c:pt idx="0">
                  <c:v>PE=5</c:v>
                </c:pt>
                <c:pt idx="1">
                  <c:v>PE=10</c:v>
                </c:pt>
                <c:pt idx="2">
                  <c:v>PE=20</c:v>
                </c:pt>
                <c:pt idx="3">
                  <c:v>PE=30</c:v>
                </c:pt>
                <c:pt idx="4">
                  <c:v>PE=50</c:v>
                </c:pt>
                <c:pt idx="5">
                  <c:v>PE=75</c:v>
                </c:pt>
                <c:pt idx="6">
                  <c:v>PE=100</c:v>
                </c:pt>
                <c:pt idx="7">
                  <c:v>PE=150</c:v>
                </c:pt>
                <c:pt idx="8">
                  <c:v>PE=200</c:v>
                </c:pt>
                <c:pt idx="9">
                  <c:v>PE=300</c:v>
                </c:pt>
                <c:pt idx="10">
                  <c:v>PE=400</c:v>
                </c:pt>
                <c:pt idx="11">
                  <c:v>PE=500</c:v>
                </c:pt>
                <c:pt idx="12">
                  <c:v>PE=600</c:v>
                </c:pt>
                <c:pt idx="13">
                  <c:v>PE=800</c:v>
                </c:pt>
                <c:pt idx="14">
                  <c:v>PE=1000</c:v>
                </c:pt>
              </c:strCache>
            </c:strRef>
          </c:cat>
          <c:val>
            <c:numRef>
              <c:f>'VF '!$C$66:$Q$66</c:f>
              <c:numCache>
                <c:formatCode>General</c:formatCode>
                <c:ptCount val="15"/>
                <c:pt idx="0">
                  <c:v>208.4</c:v>
                </c:pt>
                <c:pt idx="1">
                  <c:v>395</c:v>
                </c:pt>
                <c:pt idx="2">
                  <c:v>759</c:v>
                </c:pt>
                <c:pt idx="3">
                  <c:v>1119</c:v>
                </c:pt>
                <c:pt idx="4">
                  <c:v>1833</c:v>
                </c:pt>
                <c:pt idx="5">
                  <c:v>2710</c:v>
                </c:pt>
                <c:pt idx="6">
                  <c:v>3590</c:v>
                </c:pt>
                <c:pt idx="7">
                  <c:v>5460</c:v>
                </c:pt>
                <c:pt idx="8">
                  <c:v>7220</c:v>
                </c:pt>
                <c:pt idx="9">
                  <c:v>10820</c:v>
                </c:pt>
                <c:pt idx="10">
                  <c:v>14510</c:v>
                </c:pt>
                <c:pt idx="11">
                  <c:v>17880</c:v>
                </c:pt>
                <c:pt idx="12">
                  <c:v>21510</c:v>
                </c:pt>
                <c:pt idx="13">
                  <c:v>25100</c:v>
                </c:pt>
                <c:pt idx="14">
                  <c:v>28900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21-4425-92D3-BA5EDE731959}"/>
            </c:ext>
          </c:extLst>
        </c:ser>
        <c:ser>
          <c:idx val="3"/>
          <c:order val="3"/>
          <c:tx>
            <c:strRef>
              <c:f>'VF '!$B$67</c:f>
              <c:strCache>
                <c:ptCount val="1"/>
                <c:pt idx="0">
                  <c:v>Piping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'VF '!$C$63:$Q$63</c:f>
              <c:strCache>
                <c:ptCount val="15"/>
                <c:pt idx="0">
                  <c:v>PE=5</c:v>
                </c:pt>
                <c:pt idx="1">
                  <c:v>PE=10</c:v>
                </c:pt>
                <c:pt idx="2">
                  <c:v>PE=20</c:v>
                </c:pt>
                <c:pt idx="3">
                  <c:v>PE=30</c:v>
                </c:pt>
                <c:pt idx="4">
                  <c:v>PE=50</c:v>
                </c:pt>
                <c:pt idx="5">
                  <c:v>PE=75</c:v>
                </c:pt>
                <c:pt idx="6">
                  <c:v>PE=100</c:v>
                </c:pt>
                <c:pt idx="7">
                  <c:v>PE=150</c:v>
                </c:pt>
                <c:pt idx="8">
                  <c:v>PE=200</c:v>
                </c:pt>
                <c:pt idx="9">
                  <c:v>PE=300</c:v>
                </c:pt>
                <c:pt idx="10">
                  <c:v>PE=400</c:v>
                </c:pt>
                <c:pt idx="11">
                  <c:v>PE=500</c:v>
                </c:pt>
                <c:pt idx="12">
                  <c:v>PE=600</c:v>
                </c:pt>
                <c:pt idx="13">
                  <c:v>PE=800</c:v>
                </c:pt>
                <c:pt idx="14">
                  <c:v>PE=1000</c:v>
                </c:pt>
              </c:strCache>
            </c:strRef>
          </c:cat>
          <c:val>
            <c:numRef>
              <c:f>'VF '!$C$67:$Q$67</c:f>
              <c:numCache>
                <c:formatCode>General</c:formatCode>
                <c:ptCount val="15"/>
                <c:pt idx="0">
                  <c:v>936</c:v>
                </c:pt>
                <c:pt idx="1">
                  <c:v>1780</c:v>
                </c:pt>
                <c:pt idx="2">
                  <c:v>3120</c:v>
                </c:pt>
                <c:pt idx="3">
                  <c:v>4600</c:v>
                </c:pt>
                <c:pt idx="4">
                  <c:v>7400</c:v>
                </c:pt>
                <c:pt idx="5">
                  <c:v>10900</c:v>
                </c:pt>
                <c:pt idx="6">
                  <c:v>14000</c:v>
                </c:pt>
                <c:pt idx="7">
                  <c:v>41800</c:v>
                </c:pt>
                <c:pt idx="8">
                  <c:v>53700</c:v>
                </c:pt>
                <c:pt idx="9">
                  <c:v>80600</c:v>
                </c:pt>
                <c:pt idx="10">
                  <c:v>107000</c:v>
                </c:pt>
                <c:pt idx="11">
                  <c:v>132000</c:v>
                </c:pt>
                <c:pt idx="12">
                  <c:v>162000</c:v>
                </c:pt>
                <c:pt idx="13">
                  <c:v>188000</c:v>
                </c:pt>
                <c:pt idx="14">
                  <c:v>217000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21-4425-92D3-BA5EDE731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807885951"/>
        <c:axId val="807886367"/>
      </c:barChart>
      <c:catAx>
        <c:axId val="807885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886367"/>
        <c:crosses val="autoZero"/>
        <c:auto val="1"/>
        <c:lblAlgn val="ctr"/>
        <c:lblOffset val="100"/>
        <c:noMultiLvlLbl val="0"/>
      </c:catAx>
      <c:valAx>
        <c:axId val="807886367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88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'VF '!$B$185</c:f>
              <c:strCache>
                <c:ptCount val="1"/>
                <c:pt idx="0">
                  <c:v>Site 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'VF '!$C$185:$Q$185</c:f>
              <c:numCache>
                <c:formatCode>General</c:formatCode>
                <c:ptCount val="15"/>
                <c:pt idx="0">
                  <c:v>306.24</c:v>
                </c:pt>
                <c:pt idx="1">
                  <c:v>306.24</c:v>
                </c:pt>
                <c:pt idx="2">
                  <c:v>306.24</c:v>
                </c:pt>
                <c:pt idx="3">
                  <c:v>306.24</c:v>
                </c:pt>
                <c:pt idx="4">
                  <c:v>306.24</c:v>
                </c:pt>
                <c:pt idx="5">
                  <c:v>306.24</c:v>
                </c:pt>
                <c:pt idx="6">
                  <c:v>306.24</c:v>
                </c:pt>
                <c:pt idx="7">
                  <c:v>306.24</c:v>
                </c:pt>
                <c:pt idx="8">
                  <c:v>306.24</c:v>
                </c:pt>
                <c:pt idx="9">
                  <c:v>306.24</c:v>
                </c:pt>
                <c:pt idx="10">
                  <c:v>306.24</c:v>
                </c:pt>
                <c:pt idx="11">
                  <c:v>306.24</c:v>
                </c:pt>
                <c:pt idx="12">
                  <c:v>306.24</c:v>
                </c:pt>
                <c:pt idx="13">
                  <c:v>306.24</c:v>
                </c:pt>
                <c:pt idx="14">
                  <c:v>306.24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5-4700-AF09-7FCEC5505CAF}"/>
            </c:ext>
          </c:extLst>
        </c:ser>
        <c:ser>
          <c:idx val="1"/>
          <c:order val="1"/>
          <c:tx>
            <c:strRef>
              <c:f>'VF '!$B$186</c:f>
              <c:strCache>
                <c:ptCount val="1"/>
                <c:pt idx="0">
                  <c:v>Reed Harvesting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'VF '!$C$186:$Q$186</c:f>
              <c:numCache>
                <c:formatCode>General</c:formatCode>
                <c:ptCount val="15"/>
                <c:pt idx="0">
                  <c:v>25.519999999999982</c:v>
                </c:pt>
                <c:pt idx="1">
                  <c:v>25.519999999999982</c:v>
                </c:pt>
                <c:pt idx="2">
                  <c:v>25.519999999999982</c:v>
                </c:pt>
                <c:pt idx="3">
                  <c:v>25.519999999999982</c:v>
                </c:pt>
                <c:pt idx="4">
                  <c:v>25.519999999999982</c:v>
                </c:pt>
                <c:pt idx="5">
                  <c:v>25.519999999999982</c:v>
                </c:pt>
                <c:pt idx="6">
                  <c:v>25.519999999999982</c:v>
                </c:pt>
                <c:pt idx="7">
                  <c:v>25.519999999999982</c:v>
                </c:pt>
                <c:pt idx="8">
                  <c:v>25.519999999999982</c:v>
                </c:pt>
                <c:pt idx="9">
                  <c:v>25.519999999999982</c:v>
                </c:pt>
                <c:pt idx="10">
                  <c:v>25.519999999999982</c:v>
                </c:pt>
                <c:pt idx="11">
                  <c:v>25.519999999999982</c:v>
                </c:pt>
                <c:pt idx="12">
                  <c:v>25.519999999999982</c:v>
                </c:pt>
                <c:pt idx="13">
                  <c:v>25.519999999999982</c:v>
                </c:pt>
                <c:pt idx="14">
                  <c:v>25.519999999999982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C5-4700-AF09-7FCEC5505CAF}"/>
            </c:ext>
          </c:extLst>
        </c:ser>
        <c:ser>
          <c:idx val="2"/>
          <c:order val="2"/>
          <c:tx>
            <c:strRef>
              <c:f>'VF '!$B$187</c:f>
              <c:strCache>
                <c:ptCount val="1"/>
                <c:pt idx="0">
                  <c:v>Process Emissions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'VF '!$C$187:$Q$187</c:f>
              <c:numCache>
                <c:formatCode>General</c:formatCode>
                <c:ptCount val="15"/>
                <c:pt idx="0">
                  <c:v>12.351841874999998</c:v>
                </c:pt>
                <c:pt idx="1">
                  <c:v>24.703683749999996</c:v>
                </c:pt>
                <c:pt idx="2">
                  <c:v>49.407367499999992</c:v>
                </c:pt>
                <c:pt idx="3">
                  <c:v>74.111051250000003</c:v>
                </c:pt>
                <c:pt idx="4">
                  <c:v>123.51841875</c:v>
                </c:pt>
                <c:pt idx="5">
                  <c:v>185.27762812500001</c:v>
                </c:pt>
                <c:pt idx="6">
                  <c:v>247.03683749999999</c:v>
                </c:pt>
                <c:pt idx="7">
                  <c:v>370.55525625000001</c:v>
                </c:pt>
                <c:pt idx="8">
                  <c:v>494.07367499999998</c:v>
                </c:pt>
                <c:pt idx="9">
                  <c:v>741.11051250000003</c:v>
                </c:pt>
                <c:pt idx="10">
                  <c:v>988.14734999999996</c:v>
                </c:pt>
                <c:pt idx="11">
                  <c:v>1235.1841875</c:v>
                </c:pt>
                <c:pt idx="12">
                  <c:v>1482.2210250000001</c:v>
                </c:pt>
                <c:pt idx="13">
                  <c:v>1976.2946999999999</c:v>
                </c:pt>
                <c:pt idx="14">
                  <c:v>2470.368375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C5-4700-AF09-7FCEC5505CAF}"/>
            </c:ext>
          </c:extLst>
        </c:ser>
        <c:ser>
          <c:idx val="3"/>
          <c:order val="3"/>
          <c:tx>
            <c:strRef>
              <c:f>'VF '!$B$188</c:f>
              <c:strCache>
                <c:ptCount val="1"/>
                <c:pt idx="0">
                  <c:v>Refurbishment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'VF '!$C$188:$Q$188</c:f>
              <c:numCache>
                <c:formatCode>General</c:formatCode>
                <c:ptCount val="15"/>
                <c:pt idx="0">
                  <c:v>3.2128571428571431</c:v>
                </c:pt>
                <c:pt idx="1">
                  <c:v>6.4757142857142851</c:v>
                </c:pt>
                <c:pt idx="2">
                  <c:v>12.837142857142856</c:v>
                </c:pt>
                <c:pt idx="3">
                  <c:v>19.421428571428571</c:v>
                </c:pt>
                <c:pt idx="4">
                  <c:v>32.50714285714286</c:v>
                </c:pt>
                <c:pt idx="5">
                  <c:v>48.428571428571431</c:v>
                </c:pt>
                <c:pt idx="6">
                  <c:v>64.428571428571431</c:v>
                </c:pt>
                <c:pt idx="7">
                  <c:v>127.97142857142856</c:v>
                </c:pt>
                <c:pt idx="8">
                  <c:v>170.85714285714286</c:v>
                </c:pt>
                <c:pt idx="9">
                  <c:v>255.87142857142857</c:v>
                </c:pt>
                <c:pt idx="10">
                  <c:v>340.92857142857144</c:v>
                </c:pt>
                <c:pt idx="11">
                  <c:v>424.85714285714283</c:v>
                </c:pt>
                <c:pt idx="12">
                  <c:v>510.71428571428572</c:v>
                </c:pt>
                <c:pt idx="13">
                  <c:v>597.28571428571433</c:v>
                </c:pt>
                <c:pt idx="14">
                  <c:v>687.14285714285711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C5-4700-AF09-7FCEC5505CAF}"/>
            </c:ext>
          </c:extLst>
        </c:ser>
        <c:ser>
          <c:idx val="4"/>
          <c:order val="4"/>
          <c:tx>
            <c:strRef>
              <c:f>'VF '!$B$189</c:f>
              <c:strCache>
                <c:ptCount val="1"/>
                <c:pt idx="0">
                  <c:v>Discharge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'VF '!$C$189:$Q$189</c:f>
              <c:numCache>
                <c:formatCode>General</c:formatCode>
                <c:ptCount val="15"/>
                <c:pt idx="0">
                  <c:v>31.626769218749999</c:v>
                </c:pt>
                <c:pt idx="1">
                  <c:v>63.253538437499998</c:v>
                </c:pt>
                <c:pt idx="2">
                  <c:v>126.507076875</c:v>
                </c:pt>
                <c:pt idx="3">
                  <c:v>189.76061531250002</c:v>
                </c:pt>
                <c:pt idx="4">
                  <c:v>316.26769218750002</c:v>
                </c:pt>
                <c:pt idx="5">
                  <c:v>474.40153828124994</c:v>
                </c:pt>
                <c:pt idx="6">
                  <c:v>632.53538437500004</c:v>
                </c:pt>
                <c:pt idx="7">
                  <c:v>948.80307656249988</c:v>
                </c:pt>
                <c:pt idx="8">
                  <c:v>1265.0707687500001</c:v>
                </c:pt>
                <c:pt idx="9">
                  <c:v>1897.6061531249998</c:v>
                </c:pt>
                <c:pt idx="10">
                  <c:v>2530.1415375000001</c:v>
                </c:pt>
                <c:pt idx="11">
                  <c:v>3162.6769218750001</c:v>
                </c:pt>
                <c:pt idx="12">
                  <c:v>3795.2123062499995</c:v>
                </c:pt>
                <c:pt idx="13">
                  <c:v>5060.2830750000003</c:v>
                </c:pt>
                <c:pt idx="14">
                  <c:v>6325.3538437500001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C5-4700-AF09-7FCEC5505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266780480"/>
        <c:axId val="266776320"/>
      </c:barChart>
      <c:catAx>
        <c:axId val="266780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776320"/>
        <c:crosses val="autoZero"/>
        <c:auto val="1"/>
        <c:lblAlgn val="ctr"/>
        <c:lblOffset val="100"/>
        <c:noMultiLvlLbl val="0"/>
      </c:catAx>
      <c:valAx>
        <c:axId val="266776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78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'VF '!$B$201</c:f>
              <c:strCache>
                <c:ptCount val="1"/>
                <c:pt idx="0">
                  <c:v>Captial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'VF '!$C$201:$Q$201</c:f>
              <c:numCache>
                <c:formatCode>General</c:formatCode>
                <c:ptCount val="15"/>
                <c:pt idx="0">
                  <c:v>1330</c:v>
                </c:pt>
                <c:pt idx="1">
                  <c:v>2540</c:v>
                </c:pt>
                <c:pt idx="2">
                  <c:v>4610</c:v>
                </c:pt>
                <c:pt idx="3">
                  <c:v>6810</c:v>
                </c:pt>
                <c:pt idx="4">
                  <c:v>11100</c:v>
                </c:pt>
                <c:pt idx="5">
                  <c:v>16400</c:v>
                </c:pt>
                <c:pt idx="6">
                  <c:v>21200</c:v>
                </c:pt>
                <c:pt idx="7">
                  <c:v>54000</c:v>
                </c:pt>
                <c:pt idx="8">
                  <c:v>69900</c:v>
                </c:pt>
                <c:pt idx="9">
                  <c:v>105000</c:v>
                </c:pt>
                <c:pt idx="10">
                  <c:v>140000</c:v>
                </c:pt>
                <c:pt idx="11">
                  <c:v>172000</c:v>
                </c:pt>
                <c:pt idx="12">
                  <c:v>211000</c:v>
                </c:pt>
                <c:pt idx="13">
                  <c:v>244000</c:v>
                </c:pt>
                <c:pt idx="14">
                  <c:v>283000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F-4F1E-8AD6-DCA8B9A87A0A}"/>
            </c:ext>
          </c:extLst>
        </c:ser>
        <c:ser>
          <c:idx val="1"/>
          <c:order val="1"/>
          <c:tx>
            <c:strRef>
              <c:f>'VF '!$B$202</c:f>
              <c:strCache>
                <c:ptCount val="1"/>
                <c:pt idx="0">
                  <c:v>Operational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'VF '!$C$202:$Q$202</c:f>
              <c:numCache>
                <c:formatCode>General</c:formatCode>
                <c:ptCount val="15"/>
                <c:pt idx="0">
                  <c:v>9473.7867059151777</c:v>
                </c:pt>
                <c:pt idx="1">
                  <c:v>10654.823411830355</c:v>
                </c:pt>
                <c:pt idx="2">
                  <c:v>13012.789680803569</c:v>
                </c:pt>
                <c:pt idx="3">
                  <c:v>15376.327378348213</c:v>
                </c:pt>
                <c:pt idx="4">
                  <c:v>20101.33134486607</c:v>
                </c:pt>
                <c:pt idx="5">
                  <c:v>25996.693445870533</c:v>
                </c:pt>
                <c:pt idx="6">
                  <c:v>31894.019832589289</c:v>
                </c:pt>
                <c:pt idx="7">
                  <c:v>44477.24403459821</c:v>
                </c:pt>
                <c:pt idx="8">
                  <c:v>56544.03966517857</c:v>
                </c:pt>
                <c:pt idx="9">
                  <c:v>80658.702354910711</c:v>
                </c:pt>
                <c:pt idx="10">
                  <c:v>104774.43647321429</c:v>
                </c:pt>
                <c:pt idx="11">
                  <c:v>128861.95630580357</c:v>
                </c:pt>
                <c:pt idx="12">
                  <c:v>152997.69042410713</c:v>
                </c:pt>
                <c:pt idx="13">
                  <c:v>199140.58723214283</c:v>
                </c:pt>
                <c:pt idx="14">
                  <c:v>245365.62689732146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3F-4F1E-8AD6-DCA8B9A87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6792960"/>
        <c:axId val="266797536"/>
      </c:barChart>
      <c:catAx>
        <c:axId val="266792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797536"/>
        <c:crosses val="autoZero"/>
        <c:auto val="1"/>
        <c:lblAlgn val="ctr"/>
        <c:lblOffset val="100"/>
        <c:noMultiLvlLbl val="0"/>
      </c:catAx>
      <c:valAx>
        <c:axId val="2667975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79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'Capital Carbon (legacy)'!$X$26:$X$35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10</c:v>
                </c:pt>
                <c:pt idx="3">
                  <c:v>10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  <c:pt idx="7">
                  <c:v>50</c:v>
                </c:pt>
                <c:pt idx="8">
                  <c:v>75</c:v>
                </c:pt>
                <c:pt idx="9">
                  <c:v>100</c:v>
                </c:pt>
              </c:numCache>
            </c:numRef>
          </c:xVal>
          <c:yVal>
            <c:numRef>
              <c:f>'Capital Carbon (legacy)'!$Y$26:$Y$35</c:f>
              <c:numCache>
                <c:formatCode>General</c:formatCode>
                <c:ptCount val="10"/>
                <c:pt idx="1">
                  <c:v>7.33</c:v>
                </c:pt>
                <c:pt idx="3">
                  <c:v>11.1</c:v>
                </c:pt>
                <c:pt idx="5">
                  <c:v>20.975000000000001</c:v>
                </c:pt>
                <c:pt idx="6">
                  <c:v>26.2</c:v>
                </c:pt>
                <c:pt idx="7">
                  <c:v>33.799999999999997</c:v>
                </c:pt>
                <c:pt idx="8">
                  <c:v>48.6</c:v>
                </c:pt>
                <c:pt idx="9">
                  <c:v>55.3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9E-4E65-8102-8EE4FFA93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9176511"/>
        <c:axId val="779179007"/>
      </c:scatterChart>
      <c:valAx>
        <c:axId val="779176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179007"/>
        <c:crosses val="autoZero"/>
        <c:crossBetween val="midCat"/>
      </c:valAx>
      <c:valAx>
        <c:axId val="7791790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1765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'Capital Carbon (legacy)'!$D$50:$D$59</c:f>
              <c:numCache>
                <c:formatCode>General</c:formatCode>
                <c:ptCount val="10"/>
                <c:pt idx="0">
                  <c:v>12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'Capital Carbon (legacy)'!$G$50:$G$59</c:f>
              <c:numCache>
                <c:formatCode>0.0</c:formatCode>
                <c:ptCount val="10"/>
                <c:pt idx="0" formatCode="General">
                  <c:v>3.57</c:v>
                </c:pt>
                <c:pt idx="1">
                  <c:v>4.558203538714829</c:v>
                </c:pt>
                <c:pt idx="2">
                  <c:v>4.878487822207199</c:v>
                </c:pt>
                <c:pt idx="3">
                  <c:v>5.198772105699569</c:v>
                </c:pt>
                <c:pt idx="4">
                  <c:v>5.51905638919194</c:v>
                </c:pt>
                <c:pt idx="5">
                  <c:v>5.8393406726843091</c:v>
                </c:pt>
                <c:pt idx="6">
                  <c:v>6.1596249561766809</c:v>
                </c:pt>
                <c:pt idx="7">
                  <c:v>6.479909239669051</c:v>
                </c:pt>
                <c:pt idx="8">
                  <c:v>6.8001935231614219</c:v>
                </c:pt>
                <c:pt idx="9">
                  <c:v>7.120477806653791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D8-4409-9D91-82337B59F5EE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'Capital Carbon (legacy)'!$D$50:$D$59</c:f>
              <c:numCache>
                <c:formatCode>General</c:formatCode>
                <c:ptCount val="10"/>
                <c:pt idx="0">
                  <c:v>12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'Capital Carbon (legacy)'!$H$50:$H$59</c:f>
              <c:numCache>
                <c:formatCode>0.00</c:formatCode>
                <c:ptCount val="10"/>
                <c:pt idx="0" formatCode="General">
                  <c:v>0.33</c:v>
                </c:pt>
                <c:pt idx="1">
                  <c:v>0.50914551990154211</c:v>
                </c:pt>
                <c:pt idx="2">
                  <c:v>0.66823843996909404</c:v>
                </c:pt>
                <c:pt idx="3">
                  <c:v>0.82733136003664598</c:v>
                </c:pt>
                <c:pt idx="4">
                  <c:v>0.98642428010419791</c:v>
                </c:pt>
                <c:pt idx="5">
                  <c:v>1.14551720017175</c:v>
                </c:pt>
                <c:pt idx="6">
                  <c:v>1.3046101202393017</c:v>
                </c:pt>
                <c:pt idx="7">
                  <c:v>1.4637030403068538</c:v>
                </c:pt>
                <c:pt idx="8">
                  <c:v>1.6227959603744058</c:v>
                </c:pt>
                <c:pt idx="9">
                  <c:v>1.7818888804419575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D8-4409-9D91-82337B59F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457008"/>
        <c:axId val="1274458672"/>
      </c:scatterChart>
      <c:valAx>
        <c:axId val="127445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458672"/>
        <c:crosses val="autoZero"/>
        <c:crossBetween val="midCat"/>
      </c:valAx>
      <c:valAx>
        <c:axId val="1274458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457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'Operational Emissions (Legacy)'!$AL$40:$AL$46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'Operational Emissions (Legacy)'!$AN$40:$AN$46</c:f>
              <c:numCache>
                <c:formatCode>General</c:formatCode>
                <c:ptCount val="7"/>
                <c:pt idx="0">
                  <c:v>0.93399999999999994</c:v>
                </c:pt>
                <c:pt idx="1">
                  <c:v>0.68499999999999994</c:v>
                </c:pt>
                <c:pt idx="2">
                  <c:v>0.55000000000000004</c:v>
                </c:pt>
                <c:pt idx="3">
                  <c:v>0.87333333333333329</c:v>
                </c:pt>
                <c:pt idx="4">
                  <c:v>0.67599999999999993</c:v>
                </c:pt>
                <c:pt idx="5">
                  <c:v>0.64800000000000002</c:v>
                </c:pt>
                <c:pt idx="6">
                  <c:v>0.55299999999999994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BF-4E0D-8CB1-D221B558AE39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'Operational Emissions (Legacy)'!$AS$32:$AS$38</c:f>
                <c:numCache>
                  <c:formatCode>General</c:formatCode>
                  <c:ptCount val="7"/>
                  <c:pt idx="0">
                    <c:v>5.4946589011520275E-2</c:v>
                  </c:pt>
                  <c:pt idx="1">
                    <c:v>6.8683236264400427E-2</c:v>
                  </c:pt>
                  <c:pt idx="2">
                    <c:v>7.1877805392977112E-2</c:v>
                  </c:pt>
                  <c:pt idx="3">
                    <c:v>7.4539946333457618E-2</c:v>
                  </c:pt>
                  <c:pt idx="4">
                    <c:v>7.0280520828688853E-2</c:v>
                  </c:pt>
                  <c:pt idx="5">
                    <c:v>7.241023358107368E-2</c:v>
                  </c:pt>
                  <c:pt idx="6">
                    <c:v>0.11468503171590605</c:v>
                  </c:pt>
                </c:numCache>
              </c:numRef>
            </c:plus>
            <c:minus>
              <c:numRef>
                <c:f>'Operational Emissions (Legacy)'!$AR$32:$AR$38</c:f>
                <c:numCache>
                  <c:formatCode>General</c:formatCode>
                  <c:ptCount val="7"/>
                  <c:pt idx="0">
                    <c:v>4.0816779592377117E-2</c:v>
                  </c:pt>
                  <c:pt idx="1">
                    <c:v>5.1020974490471493E-2</c:v>
                  </c:pt>
                  <c:pt idx="2">
                    <c:v>5.3394043071423536E-2</c:v>
                  </c:pt>
                  <c:pt idx="3">
                    <c:v>5.537160022221721E-2</c:v>
                  </c:pt>
                  <c:pt idx="4">
                    <c:v>5.2207508780947431E-2</c:v>
                  </c:pt>
                  <c:pt idx="5">
                    <c:v>5.3789554501582015E-2</c:v>
                  </c:pt>
                  <c:pt idx="6">
                    <c:v>8.5193162056182548E-2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'Operational Emissions (Legacy)'!$AL$40:$AL$46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'Operational Emissions (Legacy)'!$AO$40:$AO$46</c:f>
              <c:numCache>
                <c:formatCode>General</c:formatCode>
                <c:ptCount val="7"/>
                <c:pt idx="0">
                  <c:v>0.32397437585646205</c:v>
                </c:pt>
                <c:pt idx="1">
                  <c:v>0.40496796982057753</c:v>
                </c:pt>
                <c:pt idx="2">
                  <c:v>0.42380368934711599</c:v>
                </c:pt>
                <c:pt idx="3">
                  <c:v>0.43950012228589819</c:v>
                </c:pt>
                <c:pt idx="4">
                  <c:v>0.41438582958384673</c:v>
                </c:pt>
                <c:pt idx="5">
                  <c:v>0.4269429759348724</c:v>
                </c:pt>
                <c:pt idx="6">
                  <c:v>0.67620233100273164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BF-4E0D-8CB1-D221B558A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405360"/>
        <c:axId val="1735402448"/>
      </c:scatterChart>
      <c:valAx>
        <c:axId val="173540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402448"/>
        <c:crosses val="autoZero"/>
        <c:crossBetween val="midCat"/>
      </c:valAx>
      <c:valAx>
        <c:axId val="1735402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405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'Operational Emissions (Legacy)'!$Z$210:$AF$210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'Operational Emissions (Legacy)'!$Z$216:$AF$216</c:f>
              <c:numCache>
                <c:formatCode>General</c:formatCode>
                <c:ptCount val="7"/>
                <c:pt idx="0">
                  <c:v>15204.7440005098</c:v>
                </c:pt>
                <c:pt idx="1">
                  <c:v>22264.692243593498</c:v>
                </c:pt>
                <c:pt idx="2">
                  <c:v>49171.84440678906</c:v>
                </c:pt>
                <c:pt idx="3">
                  <c:v>60322.553344984044</c:v>
                </c:pt>
                <c:pt idx="4">
                  <c:v>93628.723866841639</c:v>
                </c:pt>
                <c:pt idx="5">
                  <c:v>134638.25626931543</c:v>
                </c:pt>
                <c:pt idx="6">
                  <c:v>243691.18185255857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E8-4BEA-8C03-3E5777D44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8244608"/>
        <c:axId val="1908247936"/>
      </c:scatterChart>
      <c:valAx>
        <c:axId val="190824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8247936"/>
        <c:crosses val="autoZero"/>
        <c:crossBetween val="midCat"/>
      </c:valAx>
      <c:valAx>
        <c:axId val="1908247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8244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'Uk Grid Decarbonisation'!$A$47:$A$85</c:f>
              <c:numCache>
                <c:formatCode>General</c:formatCode>
                <c:ptCount val="3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</c:numCache>
            </c:numRef>
          </c:xVal>
          <c:yVal>
            <c:numRef>
              <c:f>'Uk Grid Decarbonisation'!$C$47:$C$85</c:f>
              <c:numCache>
                <c:formatCode>0.00</c:formatCode>
                <c:ptCount val="39"/>
                <c:pt idx="0">
                  <c:v>146.41714746996777</c:v>
                </c:pt>
                <c:pt idx="1">
                  <c:v>140.40199799097709</c:v>
                </c:pt>
                <c:pt idx="2">
                  <c:v>134.63396453548376</c:v>
                </c:pt>
                <c:pt idx="3">
                  <c:v>129.10289501511778</c:v>
                </c:pt>
                <c:pt idx="4">
                  <c:v>123.79905441239288</c:v>
                </c:pt>
                <c:pt idx="5">
                  <c:v>118.71310764648565</c:v>
                </c:pt>
                <c:pt idx="6">
                  <c:v>113.83610314292783</c:v>
                </c:pt>
                <c:pt idx="7">
                  <c:v>109.15945707829279</c:v>
                </c:pt>
                <c:pt idx="8">
                  <c:v>104.67493827214626</c:v>
                </c:pt>
                <c:pt idx="9">
                  <c:v>100.37465369967002</c:v>
                </c:pt>
                <c:pt idx="10">
                  <c:v>96.251034599459899</c:v>
                </c:pt>
                <c:pt idx="11">
                  <c:v>92.296823152047224</c:v>
                </c:pt>
                <c:pt idx="12">
                  <c:v>88.505059705696738</c:v>
                </c:pt>
                <c:pt idx="13">
                  <c:v>84.869070526997859</c:v>
                </c:pt>
                <c:pt idx="14">
                  <c:v>81.382456054689527</c:v>
                </c:pt>
                <c:pt idx="15">
                  <c:v>78.039079636044576</c:v>
                </c:pt>
                <c:pt idx="16">
                  <c:v>74.833056725989252</c:v>
                </c:pt>
                <c:pt idx="17">
                  <c:v>71.758744529947165</c:v>
                </c:pt>
                <c:pt idx="18">
                  <c:v>68.810732072179036</c:v>
                </c:pt>
                <c:pt idx="19">
                  <c:v>65.983830672137543</c:v>
                </c:pt>
                <c:pt idx="20">
                  <c:v>63.273064812075084</c:v>
                </c:pt>
                <c:pt idx="21">
                  <c:v>60.673663379831204</c:v>
                </c:pt>
                <c:pt idx="22">
                  <c:v>58.181051271386011</c:v>
                </c:pt>
                <c:pt idx="23">
                  <c:v>55.7908413383999</c:v>
                </c:pt>
                <c:pt idx="24">
                  <c:v>53.498826666566728</c:v>
                </c:pt>
                <c:pt idx="25">
                  <c:v>51.300973171189639</c:v>
                </c:pt>
                <c:pt idx="26">
                  <c:v>49.19341249694763</c:v>
                </c:pt>
                <c:pt idx="27">
                  <c:v>47.172435209355797</c:v>
                </c:pt>
                <c:pt idx="28">
                  <c:v>45.234484265935876</c:v>
                </c:pt>
                <c:pt idx="29">
                  <c:v>43.376148755605939</c:v>
                </c:pt>
                <c:pt idx="30">
                  <c:v>41.594157895270243</c:v>
                </c:pt>
                <c:pt idx="31">
                  <c:v>39.885375273042818</c:v>
                </c:pt>
                <c:pt idx="32">
                  <c:v>38.246793327972476</c:v>
                </c:pt>
                <c:pt idx="33">
                  <c:v>36.675528056553304</c:v>
                </c:pt>
                <c:pt idx="34">
                  <c:v>35.16881393670382</c:v>
                </c:pt>
                <c:pt idx="35">
                  <c:v>33.723999060280448</c:v>
                </c:pt>
                <c:pt idx="36">
                  <c:v>32.338540465558559</c:v>
                </c:pt>
                <c:pt idx="37">
                  <c:v>31.009999661465773</c:v>
                </c:pt>
                <c:pt idx="38">
                  <c:v>29.736038335689866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35-44A3-A83C-4E544204B48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'Uk Grid Decarbonisation'!$A$47:$A$85</c:f>
              <c:numCache>
                <c:formatCode>General</c:formatCode>
                <c:ptCount val="3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</c:numCache>
            </c:numRef>
          </c:xVal>
          <c:yVal>
            <c:numRef>
              <c:f>'Uk Grid Decarbonisation'!$D$47:$D$85</c:f>
              <c:numCache>
                <c:formatCode>0.00</c:formatCode>
                <c:ptCount val="39"/>
                <c:pt idx="0">
                  <c:v>156.66395415325246</c:v>
                </c:pt>
                <c:pt idx="1">
                  <c:v>151.16774162929528</c:v>
                </c:pt>
                <c:pt idx="2">
                  <c:v>145.86435171263011</c:v>
                </c:pt>
                <c:pt idx="3">
                  <c:v>140.74701964339349</c:v>
                </c:pt>
                <c:pt idx="4">
                  <c:v>135.80921798854101</c:v>
                </c:pt>
                <c:pt idx="5">
                  <c:v>131.04464831575422</c:v>
                </c:pt>
                <c:pt idx="6">
                  <c:v>126.44723315945063</c:v>
                </c:pt>
                <c:pt idx="7">
                  <c:v>122.01110826864866</c:v>
                </c:pt>
                <c:pt idx="8">
                  <c:v>117.73061512679904</c:v>
                </c:pt>
                <c:pt idx="9">
                  <c:v>113.60029373404194</c:v>
                </c:pt>
                <c:pt idx="10">
                  <c:v>109.61487564268266</c:v>
                </c:pt>
                <c:pt idx="11">
                  <c:v>105.76927723700234</c:v>
                </c:pt>
                <c:pt idx="12">
                  <c:v>102.05859324883212</c:v>
                </c:pt>
                <c:pt idx="13">
                  <c:v>98.478090500618833</c:v>
                </c:pt>
                <c:pt idx="14">
                  <c:v>95.023201868001919</c:v>
                </c:pt>
                <c:pt idx="15">
                  <c:v>91.689520454199936</c:v>
                </c:pt>
                <c:pt idx="16">
                  <c:v>88.472793968776045</c:v>
                </c:pt>
                <c:pt idx="17">
                  <c:v>85.36891930361223</c:v>
                </c:pt>
                <c:pt idx="18">
                  <c:v>82.373937299173519</c:v>
                </c:pt>
                <c:pt idx="19">
                  <c:v>79.484027694386597</c:v>
                </c:pt>
                <c:pt idx="20">
                  <c:v>76.695504253690743</c:v>
                </c:pt>
                <c:pt idx="21">
                  <c:v>74.004810065045476</c:v>
                </c:pt>
                <c:pt idx="22">
                  <c:v>71.408513002897507</c:v>
                </c:pt>
                <c:pt idx="23">
                  <c:v>68.903301350319424</c:v>
                </c:pt>
                <c:pt idx="24">
                  <c:v>66.485979574736263</c:v>
                </c:pt>
                <c:pt idx="25">
                  <c:v>64.15346425185119</c:v>
                </c:pt>
                <c:pt idx="26">
                  <c:v>61.90278013257165</c:v>
                </c:pt>
                <c:pt idx="27">
                  <c:v>59.731056347918638</c:v>
                </c:pt>
                <c:pt idx="28">
                  <c:v>57.635522747078497</c:v>
                </c:pt>
                <c:pt idx="29">
                  <c:v>55.613506363926099</c:v>
                </c:pt>
                <c:pt idx="30">
                  <c:v>53.662428007512517</c:v>
                </c:pt>
                <c:pt idx="31">
                  <c:v>51.779798972167704</c:v>
                </c:pt>
                <c:pt idx="32">
                  <c:v>49.963217863022344</c:v>
                </c:pt>
                <c:pt idx="33">
                  <c:v>48.210367532899092</c:v>
                </c:pt>
                <c:pt idx="34">
                  <c:v>46.519012126666368</c:v>
                </c:pt>
                <c:pt idx="35">
                  <c:v>44.886994229284639</c:v>
                </c:pt>
                <c:pt idx="36">
                  <c:v>43.312232113907086</c:v>
                </c:pt>
                <c:pt idx="37">
                  <c:v>41.79271708652481</c:v>
                </c:pt>
                <c:pt idx="38">
                  <c:v>40.326510923769227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C35-44A3-A83C-4E544204B48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'Uk Grid Decarbonisation'!$A$47:$A$85</c:f>
              <c:numCache>
                <c:formatCode>General</c:formatCode>
                <c:ptCount val="3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</c:numCache>
            </c:numRef>
          </c:xVal>
          <c:yVal>
            <c:numRef>
              <c:f>'Uk Grid Decarbonisation'!$E$47:$E$85</c:f>
              <c:numCache>
                <c:formatCode>0.00</c:formatCode>
                <c:ptCount val="39"/>
                <c:pt idx="0">
                  <c:v>136.29170529579355</c:v>
                </c:pt>
                <c:pt idx="1">
                  <c:v>129.87993939613648</c:v>
                </c:pt>
                <c:pt idx="2">
                  <c:v>123.76981138311956</c:v>
                </c:pt>
                <c:pt idx="3">
                  <c:v>117.94713087361266</c:v>
                </c:pt>
                <c:pt idx="4">
                  <c:v>112.39837506300385</c:v>
                </c:pt>
                <c:pt idx="5">
                  <c:v>107.1106573193469</c:v>
                </c:pt>
                <c:pt idx="6">
                  <c:v>102.07169725497943</c:v>
                </c:pt>
                <c:pt idx="7">
                  <c:v>97.269792206104839</c:v>
                </c:pt>
                <c:pt idx="8">
                  <c:v>92.693790054100958</c:v>
                </c:pt>
                <c:pt idx="9">
                  <c:v>88.333063325434807</c:v>
                </c:pt>
                <c:pt idx="10">
                  <c:v>84.177484510032386</c:v>
                </c:pt>
                <c:pt idx="11">
                  <c:v>80.217402540781421</c:v>
                </c:pt>
                <c:pt idx="12">
                  <c:v>76.443620379542878</c:v>
                </c:pt>
                <c:pt idx="13">
                  <c:v>72.847373657615535</c:v>
                </c:pt>
                <c:pt idx="14">
                  <c:v>69.420310321048049</c:v>
                </c:pt>
                <c:pt idx="15">
                  <c:v>66.154471233525484</c:v>
                </c:pt>
                <c:pt idx="16">
                  <c:v>63.042271691782325</c:v>
                </c:pt>
                <c:pt idx="17">
                  <c:v>60.07648381061211</c:v>
                </c:pt>
                <c:pt idx="18">
                  <c:v>57.250219736564517</c:v>
                </c:pt>
                <c:pt idx="19">
                  <c:v>54.556915651344397</c:v>
                </c:pt>
                <c:pt idx="20">
                  <c:v>51.990316527761827</c:v>
                </c:pt>
                <c:pt idx="21">
                  <c:v>49.544461602829948</c:v>
                </c:pt>
                <c:pt idx="22">
                  <c:v>47.213670534272538</c:v>
                </c:pt>
                <c:pt idx="23">
                  <c:v>44.992530208290908</c:v>
                </c:pt>
                <c:pt idx="24">
                  <c:v>42.875882167951843</c:v>
                </c:pt>
                <c:pt idx="25">
                  <c:v>40.858810633000012</c:v>
                </c:pt>
                <c:pt idx="26">
                  <c:v>38.936631083271379</c:v>
                </c:pt>
                <c:pt idx="27">
                  <c:v>37.10487937919352</c:v>
                </c:pt>
                <c:pt idx="28">
                  <c:v>35.359301394105792</c:v>
                </c:pt>
                <c:pt idx="29">
                  <c:v>33.695843134321137</c:v>
                </c:pt>
                <c:pt idx="30">
                  <c:v>32.110641323983948</c:v>
                </c:pt>
                <c:pt idx="31">
                  <c:v>30.600014432858</c:v>
                </c:pt>
                <c:pt idx="32">
                  <c:v>29.160454126206904</c:v>
                </c:pt>
                <c:pt idx="33">
                  <c:v>27.78861711691021</c:v>
                </c:pt>
                <c:pt idx="34">
                  <c:v>26.481317400891978</c:v>
                </c:pt>
                <c:pt idx="35">
                  <c:v>25.235518857829248</c:v>
                </c:pt>
                <c:pt idx="36">
                  <c:v>24.048328199955982</c:v>
                </c:pt>
                <c:pt idx="37">
                  <c:v>22.916988252586499</c:v>
                </c:pt>
                <c:pt idx="38">
                  <c:v>21.83887155075292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C35-44A3-A83C-4E544204B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3328624"/>
        <c:axId val="1593326960"/>
      </c:scatterChart>
      <c:valAx>
        <c:axId val="159332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326960"/>
        <c:crosses val="autoZero"/>
        <c:crossBetween val="midCat"/>
      </c:valAx>
      <c:valAx>
        <c:axId val="159332696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328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'Operational Emissions (Legacy)'!$Y$211</c:f>
              <c:strCache>
                <c:ptCount val="1"/>
                <c:pt idx="0">
                  <c:v>Process (kg Co2 eq / yr)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'Operational Emissions (Legacy)'!$Z$211:$AF$211</c:f>
              <c:numCache>
                <c:formatCode>General</c:formatCode>
                <c:ptCount val="7"/>
                <c:pt idx="0">
                  <c:v>17.4333825</c:v>
                </c:pt>
                <c:pt idx="1">
                  <c:v>34.866765000000001</c:v>
                </c:pt>
                <c:pt idx="2">
                  <c:v>69.733530000000002</c:v>
                </c:pt>
                <c:pt idx="3">
                  <c:v>104.600295</c:v>
                </c:pt>
                <c:pt idx="4">
                  <c:v>174.33382499999999</c:v>
                </c:pt>
                <c:pt idx="5">
                  <c:v>261.50073750000001</c:v>
                </c:pt>
                <c:pt idx="6">
                  <c:v>348.66764999999998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2-460D-BBF2-624B425987AF}"/>
            </c:ext>
          </c:extLst>
        </c:ser>
        <c:ser>
          <c:idx val="1"/>
          <c:order val="1"/>
          <c:tx>
            <c:strRef>
              <c:f>'Operational Emissions (Legacy)'!$Y$212</c:f>
              <c:strCache>
                <c:ptCount val="1"/>
                <c:pt idx="0">
                  <c:v>Desludging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'Operational Emissions (Legacy)'!$Z$212:$AF$212</c:f>
              <c:numCache>
                <c:formatCode>General</c:formatCode>
                <c:ptCount val="7"/>
                <c:pt idx="0">
                  <c:v>193.42065866615997</c:v>
                </c:pt>
                <c:pt idx="1">
                  <c:v>360.02162760815992</c:v>
                </c:pt>
                <c:pt idx="2">
                  <c:v>1222.2514848249996</c:v>
                </c:pt>
                <c:pt idx="3">
                  <c:v>1442.7859876602645</c:v>
                </c:pt>
                <c:pt idx="4">
                  <c:v>2400.2959350265119</c:v>
                </c:pt>
                <c:pt idx="5">
                  <c:v>3496.0053033633799</c:v>
                </c:pt>
                <c:pt idx="6">
                  <c:v>6329.8146161175409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12-460D-BBF2-624B425987AF}"/>
            </c:ext>
          </c:extLst>
        </c:ser>
        <c:ser>
          <c:idx val="2"/>
          <c:order val="2"/>
          <c:tx>
            <c:strRef>
              <c:f>'Operational Emissions (Legacy)'!$Y$213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'Operational Emissions (Legacy)'!$Z$213:$AF$213</c:f>
              <c:numCache>
                <c:formatCode>General</c:formatCode>
                <c:ptCount val="7"/>
                <c:pt idx="0">
                  <c:v>65.575718854232008</c:v>
                </c:pt>
                <c:pt idx="1">
                  <c:v>163.93929713558001</c:v>
                </c:pt>
                <c:pt idx="2">
                  <c:v>343.12876144656281</c:v>
                </c:pt>
                <c:pt idx="3">
                  <c:v>533.75585113909767</c:v>
                </c:pt>
                <c:pt idx="4">
                  <c:v>838.75919464715344</c:v>
                </c:pt>
                <c:pt idx="5">
                  <c:v>1296.2642099092375</c:v>
                </c:pt>
                <c:pt idx="6">
                  <c:v>2737.4050079848012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12-460D-BBF2-624B425987AF}"/>
            </c:ext>
          </c:extLst>
        </c:ser>
        <c:ser>
          <c:idx val="3"/>
          <c:order val="3"/>
          <c:tx>
            <c:strRef>
              <c:f>'Operational Emissions (Legacy)'!$Y$214</c:f>
              <c:strCache>
                <c:ptCount val="1"/>
                <c:pt idx="0">
                  <c:v>Site Visits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'Operational Emissions (Legacy)'!$Z$214:$AF$214</c:f>
              <c:numCache>
                <c:formatCode>General</c:formatCode>
                <c:ptCount val="7"/>
                <c:pt idx="0">
                  <c:v>331.76</c:v>
                </c:pt>
                <c:pt idx="1">
                  <c:v>331.76</c:v>
                </c:pt>
                <c:pt idx="2">
                  <c:v>331.76</c:v>
                </c:pt>
                <c:pt idx="3">
                  <c:v>331.76</c:v>
                </c:pt>
                <c:pt idx="4">
                  <c:v>331.76</c:v>
                </c:pt>
                <c:pt idx="5">
                  <c:v>331.76</c:v>
                </c:pt>
                <c:pt idx="6">
                  <c:v>331.76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12-460D-BBF2-624B42598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8246688"/>
        <c:axId val="1908259168"/>
      </c:barChart>
      <c:catAx>
        <c:axId val="19082466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8259168"/>
        <c:crosses val="autoZero"/>
        <c:auto val="1"/>
        <c:lblAlgn val="ctr"/>
        <c:lblOffset val="100"/>
        <c:noMultiLvlLbl val="0"/>
      </c:catAx>
      <c:valAx>
        <c:axId val="1908259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82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'Initial Comparison'!$C$7:$I$7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Comparison'!$C$31:$I$31</c:f>
              <c:numCache>
                <c:formatCode>General</c:formatCode>
                <c:ptCount val="7"/>
                <c:pt idx="0">
                  <c:v>2.2366700307705916</c:v>
                </c:pt>
                <c:pt idx="1">
                  <c:v>3.6288075263746893</c:v>
                </c:pt>
                <c:pt idx="2">
                  <c:v>6.5616238652031464</c:v>
                </c:pt>
                <c:pt idx="3">
                  <c:v>8.9331154012533016</c:v>
                </c:pt>
                <c:pt idx="4">
                  <c:v>13.483206937303459</c:v>
                </c:pt>
                <c:pt idx="5">
                  <c:v>19.825340828979876</c:v>
                </c:pt>
                <c:pt idx="6">
                  <c:v>25.029464772641848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68-401D-8D0C-D27B48DB8D41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'Initial Comparison'!$C$7:$I$7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Comparison'!$C$32:$I$32</c:f>
              <c:numCache>
                <c:formatCode>General</c:formatCode>
                <c:ptCount val="7"/>
                <c:pt idx="0">
                  <c:v>1.9236800307705917</c:v>
                </c:pt>
                <c:pt idx="1">
                  <c:v>2.4666075263746889</c:v>
                </c:pt>
                <c:pt idx="2">
                  <c:v>4.0087238652031463</c:v>
                </c:pt>
                <c:pt idx="3">
                  <c:v>4.7168154012533021</c:v>
                </c:pt>
                <c:pt idx="4">
                  <c:v>5.9728069373034591</c:v>
                </c:pt>
                <c:pt idx="5">
                  <c:v>10.205540828979876</c:v>
                </c:pt>
                <c:pt idx="6">
                  <c:v>11.890064772641846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68-401D-8D0C-D27B48DB8D41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'Initial Comparison'!$C$7:$I$7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Comparison'!$C$33:$I$33</c:f>
              <c:numCache>
                <c:formatCode>General</c:formatCode>
                <c:ptCount val="7"/>
                <c:pt idx="0">
                  <c:v>3.11</c:v>
                </c:pt>
                <c:pt idx="1">
                  <c:v>4.9799999999999995</c:v>
                </c:pt>
                <c:pt idx="2">
                  <c:v>8.66</c:v>
                </c:pt>
                <c:pt idx="3">
                  <c:v>24.33</c:v>
                </c:pt>
                <c:pt idx="4">
                  <c:v>31.309999999999995</c:v>
                </c:pt>
                <c:pt idx="5">
                  <c:v>45.800000000000004</c:v>
                </c:pt>
                <c:pt idx="6">
                  <c:v>52.5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68-401D-8D0C-D27B48DB8D41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'Initial Comparison'!$C$7:$I$7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Comparison'!$C$34:$I$34</c:f>
              <c:numCache>
                <c:formatCode>General</c:formatCode>
                <c:ptCount val="7"/>
                <c:pt idx="0">
                  <c:v>0.93100000000000005</c:v>
                </c:pt>
                <c:pt idx="1">
                  <c:v>2.0840000000000001</c:v>
                </c:pt>
                <c:pt idx="2">
                  <c:v>1.849</c:v>
                </c:pt>
                <c:pt idx="3">
                  <c:v>0.94799999999999995</c:v>
                </c:pt>
                <c:pt idx="4">
                  <c:v>3.762</c:v>
                </c:pt>
                <c:pt idx="5">
                  <c:v>4.6890000000000001</c:v>
                </c:pt>
                <c:pt idx="6">
                  <c:v>6.29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68-401D-8D0C-D27B48DB8D41}"/>
            </c:ext>
          </c:extLst>
        </c:ser>
        <c:ser>
          <c:idx val="4"/>
          <c:order val="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'Initial Comparison'!$C$7:$I$7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Comparison'!$C$35:$I$35</c:f>
              <c:numCache>
                <c:formatCode>General</c:formatCode>
                <c:ptCount val="7"/>
                <c:pt idx="0">
                  <c:v>1.4670000000000001</c:v>
                </c:pt>
                <c:pt idx="1">
                  <c:v>2.93</c:v>
                </c:pt>
                <c:pt idx="2">
                  <c:v>3.39</c:v>
                </c:pt>
                <c:pt idx="3">
                  <c:v>3.1789999999999998</c:v>
                </c:pt>
                <c:pt idx="4">
                  <c:v>7.46</c:v>
                </c:pt>
                <c:pt idx="5">
                  <c:v>10.25</c:v>
                </c:pt>
                <c:pt idx="6">
                  <c:v>13.68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68-401D-8D0C-D27B48DB8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530080"/>
        <c:axId val="2077537568"/>
      </c:scatterChart>
      <c:valAx>
        <c:axId val="207753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537568"/>
        <c:crosses val="autoZero"/>
        <c:crossBetween val="midCat"/>
      </c:valAx>
      <c:valAx>
        <c:axId val="2077537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5300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'Initial Comparison'!$B$68</c:f>
              <c:strCache>
                <c:ptCount val="1"/>
                <c:pt idx="0">
                  <c:v>ST - Low Soil Permiability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'Initial Comparison'!$C$67:$I$67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Comparison'!$C$68:$I$68</c:f>
              <c:numCache>
                <c:formatCode>General</c:formatCode>
                <c:ptCount val="7"/>
                <c:pt idx="0">
                  <c:v>0.59049148352000003</c:v>
                </c:pt>
                <c:pt idx="1">
                  <c:v>0.52070321845999989</c:v>
                </c:pt>
                <c:pt idx="2">
                  <c:v>0.35620385634499996</c:v>
                </c:pt>
                <c:pt idx="3">
                  <c:v>0.26287455880000005</c:v>
                </c:pt>
                <c:pt idx="4">
                  <c:v>0.24427172496000002</c:v>
                </c:pt>
                <c:pt idx="5">
                  <c:v>0.22306406580000002</c:v>
                </c:pt>
                <c:pt idx="6">
                  <c:v>0.22344406579999998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AF-491A-896F-218E7D3AFD8D}"/>
            </c:ext>
          </c:extLst>
        </c:ser>
        <c:ser>
          <c:idx val="1"/>
          <c:order val="1"/>
          <c:tx>
            <c:strRef>
              <c:f>'Initial Comparison'!$B$69</c:f>
              <c:strCache>
                <c:ptCount val="1"/>
                <c:pt idx="0">
                  <c:v>ST - High Soil Permiability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'Initial Comparison'!$C$67:$I$67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Comparison'!$C$69:$I$69</c:f>
              <c:numCache>
                <c:formatCode>General</c:formatCode>
                <c:ptCount val="7"/>
                <c:pt idx="0">
                  <c:v>0.6976914835200001</c:v>
                </c:pt>
                <c:pt idx="1">
                  <c:v>0.6053032184599999</c:v>
                </c:pt>
                <c:pt idx="2">
                  <c:v>0.43325385634500002</c:v>
                </c:pt>
                <c:pt idx="3">
                  <c:v>0.33724122546666668</c:v>
                </c:pt>
                <c:pt idx="4">
                  <c:v>0.31823172495999996</c:v>
                </c:pt>
                <c:pt idx="5">
                  <c:v>0.29721073246666668</c:v>
                </c:pt>
                <c:pt idx="6">
                  <c:v>0.2973440658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AF-491A-896F-218E7D3AFD8D}"/>
            </c:ext>
          </c:extLst>
        </c:ser>
        <c:ser>
          <c:idx val="2"/>
          <c:order val="2"/>
          <c:tx>
            <c:strRef>
              <c:f>'Initial Comparison'!$B$70</c:f>
              <c:strCache>
                <c:ptCount val="1"/>
                <c:pt idx="0">
                  <c:v>SAF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'Initial Comparison'!$C$67:$I$67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Comparison'!$C$70:$I$70</c:f>
              <c:numCache>
                <c:formatCode>General</c:formatCode>
                <c:ptCount val="7"/>
                <c:pt idx="0">
                  <c:v>3.5353488001019597</c:v>
                </c:pt>
                <c:pt idx="1">
                  <c:v>2.6606692243593497</c:v>
                </c:pt>
                <c:pt idx="2">
                  <c:v>2.8596922203394528</c:v>
                </c:pt>
                <c:pt idx="3">
                  <c:v>2.8004851114994684</c:v>
                </c:pt>
                <c:pt idx="4">
                  <c:v>2.4860144773368322</c:v>
                </c:pt>
                <c:pt idx="5">
                  <c:v>2.3973367502575393</c:v>
                </c:pt>
                <c:pt idx="6">
                  <c:v>2.9555318185255857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AF-491A-896F-218E7D3AFD8D}"/>
            </c:ext>
          </c:extLst>
        </c:ser>
        <c:ser>
          <c:idx val="3"/>
          <c:order val="3"/>
          <c:tx>
            <c:strRef>
              <c:f>'Initial Comparison'!$B$71</c:f>
              <c:strCache>
                <c:ptCount val="1"/>
                <c:pt idx="0">
                  <c:v>ABR VF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'Initial Comparison'!$C$67:$I$67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Comparison'!$C$71:$I$71</c:f>
              <c:numCache>
                <c:formatCode>General</c:formatCode>
                <c:ptCount val="7"/>
                <c:pt idx="0">
                  <c:v>2.2207528072674041</c:v>
                </c:pt>
                <c:pt idx="1">
                  <c:v>1.2793311132772547</c:v>
                </c:pt>
                <c:pt idx="2">
                  <c:v>0.81424889441333581</c:v>
                </c:pt>
                <c:pt idx="3">
                  <c:v>0.63727234386780063</c:v>
                </c:pt>
                <c:pt idx="4">
                  <c:v>0.49206070119114059</c:v>
                </c:pt>
                <c:pt idx="5">
                  <c:v>0.4268013838582555</c:v>
                </c:pt>
                <c:pt idx="6">
                  <c:v>0.38157608438131135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AF-491A-896F-218E7D3AFD8D}"/>
            </c:ext>
          </c:extLst>
        </c:ser>
        <c:ser>
          <c:idx val="4"/>
          <c:order val="4"/>
          <c:tx>
            <c:strRef>
              <c:f>'Initial Comparison'!$B$72</c:f>
              <c:strCache>
                <c:ptCount val="1"/>
                <c:pt idx="0">
                  <c:v>ABR AHF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'Initial Comparison'!$C$67:$I$67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Comparison'!$C$72:$I$72</c:f>
              <c:numCache>
                <c:formatCode>General</c:formatCode>
                <c:ptCount val="7"/>
                <c:pt idx="0">
                  <c:v>2.373572840752161</c:v>
                </c:pt>
                <c:pt idx="1">
                  <c:v>1.317498817699511</c:v>
                </c:pt>
                <c:pt idx="2">
                  <c:v>1.0814489887824437</c:v>
                </c:pt>
                <c:pt idx="3">
                  <c:v>0.75977749341967604</c:v>
                </c:pt>
                <c:pt idx="4">
                  <c:v>0.50197569183565871</c:v>
                </c:pt>
                <c:pt idx="5">
                  <c:v>0.40857805066516639</c:v>
                </c:pt>
                <c:pt idx="6">
                  <c:v>0.33639713059977583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AF-491A-896F-218E7D3AF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91424"/>
        <c:axId val="86895168"/>
      </c:scatterChart>
      <c:valAx>
        <c:axId val="86891424"/>
        <c:scaling>
          <c:orientation val="minMax"/>
          <c:max val="1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895168"/>
        <c:crosses val="autoZero"/>
        <c:crossBetween val="midCat"/>
      </c:valAx>
      <c:valAx>
        <c:axId val="86895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891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88860340669144"/>
          <c:y val="0.92263404425626971"/>
          <c:w val="0.70437998857936646"/>
          <c:h val="5.3508096721738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442038495188104E-2"/>
          <c:y val="5.0925925925925923E-2"/>
          <c:w val="0.87755796150481191"/>
          <c:h val="0.735771361913094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'Initial Comparison'!$B$85</c:f>
              <c:strCache>
                <c:ptCount val="1"/>
                <c:pt idx="0">
                  <c:v>ST - Low Soil Permiability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'Initial Comparison'!$C$84:$I$84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Comparison'!$C$85:$I$85</c:f>
              <c:numCache>
                <c:formatCode>General</c:formatCode>
                <c:ptCount val="7"/>
                <c:pt idx="0">
                  <c:v>0.59049148351999992</c:v>
                </c:pt>
                <c:pt idx="1">
                  <c:v>0.52070321845999989</c:v>
                </c:pt>
                <c:pt idx="2">
                  <c:v>0.35620385634499996</c:v>
                </c:pt>
                <c:pt idx="3">
                  <c:v>0.26287455880000005</c:v>
                </c:pt>
                <c:pt idx="4">
                  <c:v>0.24427172496000002</c:v>
                </c:pt>
                <c:pt idx="5">
                  <c:v>0.22306406580000002</c:v>
                </c:pt>
                <c:pt idx="6">
                  <c:v>0.22344406579999998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F1-4E0F-91E9-955BEF40B123}"/>
            </c:ext>
          </c:extLst>
        </c:ser>
        <c:ser>
          <c:idx val="1"/>
          <c:order val="1"/>
          <c:tx>
            <c:strRef>
              <c:f>'Initial Comparison'!$B$86</c:f>
              <c:strCache>
                <c:ptCount val="1"/>
                <c:pt idx="0">
                  <c:v>ST - High Soil Permiability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'Initial Comparison'!$C$84:$I$84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Comparison'!$C$86:$I$86</c:f>
              <c:numCache>
                <c:formatCode>General</c:formatCode>
                <c:ptCount val="7"/>
                <c:pt idx="0">
                  <c:v>0.69769148351999999</c:v>
                </c:pt>
                <c:pt idx="1">
                  <c:v>0.6053032184599999</c:v>
                </c:pt>
                <c:pt idx="2">
                  <c:v>0.43325385634500002</c:v>
                </c:pt>
                <c:pt idx="3">
                  <c:v>0.33724122546666668</c:v>
                </c:pt>
                <c:pt idx="4">
                  <c:v>0.31823172495999996</c:v>
                </c:pt>
                <c:pt idx="5">
                  <c:v>0.29721073246666668</c:v>
                </c:pt>
                <c:pt idx="6">
                  <c:v>0.2973440658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F1-4E0F-91E9-955BEF40B123}"/>
            </c:ext>
          </c:extLst>
        </c:ser>
        <c:ser>
          <c:idx val="2"/>
          <c:order val="2"/>
          <c:tx>
            <c:strRef>
              <c:f>'Initial Comparison'!$B$87</c:f>
              <c:strCache>
                <c:ptCount val="1"/>
                <c:pt idx="0">
                  <c:v>SAF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'Initial Comparison'!$C$84:$I$84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Comparison'!$C$87:$I$87</c:f>
              <c:numCache>
                <c:formatCode>General</c:formatCode>
                <c:ptCount val="7"/>
                <c:pt idx="0">
                  <c:v>2.0041488001019601</c:v>
                </c:pt>
                <c:pt idx="1">
                  <c:v>1.8950692243593497</c:v>
                </c:pt>
                <c:pt idx="2">
                  <c:v>2.4768922203394528</c:v>
                </c:pt>
                <c:pt idx="3">
                  <c:v>2.5452851114994681</c:v>
                </c:pt>
                <c:pt idx="4">
                  <c:v>2.3328944773368323</c:v>
                </c:pt>
                <c:pt idx="5">
                  <c:v>2.2952567502575389</c:v>
                </c:pt>
                <c:pt idx="6">
                  <c:v>2.8789718185255855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7F1-4E0F-91E9-955BEF40B123}"/>
            </c:ext>
          </c:extLst>
        </c:ser>
        <c:ser>
          <c:idx val="3"/>
          <c:order val="3"/>
          <c:tx>
            <c:strRef>
              <c:f>'Initial Comparison'!$B$88</c:f>
              <c:strCache>
                <c:ptCount val="1"/>
                <c:pt idx="0">
                  <c:v>ABR VF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'Initial Comparison'!$C$84:$I$84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Comparison'!$C$88:$I$88</c:f>
              <c:numCache>
                <c:formatCode>General</c:formatCode>
                <c:ptCount val="7"/>
                <c:pt idx="0">
                  <c:v>0.6895528072674042</c:v>
                </c:pt>
                <c:pt idx="1">
                  <c:v>0.51373111327725463</c:v>
                </c:pt>
                <c:pt idx="2">
                  <c:v>0.43144889441333589</c:v>
                </c:pt>
                <c:pt idx="3">
                  <c:v>0.38207234386780065</c:v>
                </c:pt>
                <c:pt idx="4">
                  <c:v>0.33894070119114061</c:v>
                </c:pt>
                <c:pt idx="5">
                  <c:v>0.3247213838582555</c:v>
                </c:pt>
                <c:pt idx="6">
                  <c:v>0.30501608438131134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7F1-4E0F-91E9-955BEF40B123}"/>
            </c:ext>
          </c:extLst>
        </c:ser>
        <c:ser>
          <c:idx val="4"/>
          <c:order val="4"/>
          <c:tx>
            <c:strRef>
              <c:f>'Initial Comparison'!$B$89</c:f>
              <c:strCache>
                <c:ptCount val="1"/>
                <c:pt idx="0">
                  <c:v>ABR AHF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'Initial Comparison'!$C$84:$I$84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Comparison'!$C$89:$I$89</c:f>
              <c:numCache>
                <c:formatCode>General</c:formatCode>
                <c:ptCount val="7"/>
                <c:pt idx="0">
                  <c:v>0.84237284075216101</c:v>
                </c:pt>
                <c:pt idx="1">
                  <c:v>0.5518988176995111</c:v>
                </c:pt>
                <c:pt idx="2">
                  <c:v>0.69864898878244364</c:v>
                </c:pt>
                <c:pt idx="3">
                  <c:v>0.50457749341967606</c:v>
                </c:pt>
                <c:pt idx="4">
                  <c:v>0.34885569183565879</c:v>
                </c:pt>
                <c:pt idx="5">
                  <c:v>0.30649805066516639</c:v>
                </c:pt>
                <c:pt idx="6">
                  <c:v>0.25983713059977581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7F1-4E0F-91E9-955BEF40B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21280"/>
        <c:axId val="86437088"/>
      </c:scatterChart>
      <c:valAx>
        <c:axId val="86421280"/>
        <c:scaling>
          <c:orientation val="minMax"/>
          <c:max val="1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37088"/>
        <c:crosses val="autoZero"/>
        <c:crossBetween val="midCat"/>
      </c:valAx>
      <c:valAx>
        <c:axId val="86437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21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'Initial Comparison'!$B$85</c:f>
              <c:strCache>
                <c:ptCount val="1"/>
                <c:pt idx="0">
                  <c:v>ST - Low Soil Permiability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'Initial Comparison'!$C$84:$I$84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Comparison'!$C$85:$I$85</c:f>
              <c:numCache>
                <c:formatCode>General</c:formatCode>
                <c:ptCount val="7"/>
                <c:pt idx="0">
                  <c:v>0.59049148351999992</c:v>
                </c:pt>
                <c:pt idx="1">
                  <c:v>0.52070321845999989</c:v>
                </c:pt>
                <c:pt idx="2">
                  <c:v>0.35620385634499996</c:v>
                </c:pt>
                <c:pt idx="3">
                  <c:v>0.26287455880000005</c:v>
                </c:pt>
                <c:pt idx="4">
                  <c:v>0.24427172496000002</c:v>
                </c:pt>
                <c:pt idx="5">
                  <c:v>0.22306406580000002</c:v>
                </c:pt>
                <c:pt idx="6">
                  <c:v>0.22344406579999998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BC-4CF0-845A-48283364144D}"/>
            </c:ext>
          </c:extLst>
        </c:ser>
        <c:ser>
          <c:idx val="1"/>
          <c:order val="1"/>
          <c:tx>
            <c:strRef>
              <c:f>'Initial Comparison'!$B$86</c:f>
              <c:strCache>
                <c:ptCount val="1"/>
                <c:pt idx="0">
                  <c:v>ST - High Soil Permiability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'Initial Comparison'!$C$84:$I$84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Comparison'!$C$86:$I$86</c:f>
              <c:numCache>
                <c:formatCode>General</c:formatCode>
                <c:ptCount val="7"/>
                <c:pt idx="0">
                  <c:v>0.69769148351999999</c:v>
                </c:pt>
                <c:pt idx="1">
                  <c:v>0.6053032184599999</c:v>
                </c:pt>
                <c:pt idx="2">
                  <c:v>0.43325385634500002</c:v>
                </c:pt>
                <c:pt idx="3">
                  <c:v>0.33724122546666668</c:v>
                </c:pt>
                <c:pt idx="4">
                  <c:v>0.31823172495999996</c:v>
                </c:pt>
                <c:pt idx="5">
                  <c:v>0.29721073246666668</c:v>
                </c:pt>
                <c:pt idx="6">
                  <c:v>0.2973440658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BC-4CF0-845A-48283364144D}"/>
            </c:ext>
          </c:extLst>
        </c:ser>
        <c:ser>
          <c:idx val="2"/>
          <c:order val="2"/>
          <c:tx>
            <c:strRef>
              <c:f>'Initial Comparison'!$B$88</c:f>
              <c:strCache>
                <c:ptCount val="1"/>
                <c:pt idx="0">
                  <c:v>ABR VF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'Initial Comparison'!$C$84:$I$84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Comparison'!$C$88:$I$88</c:f>
              <c:numCache>
                <c:formatCode>General</c:formatCode>
                <c:ptCount val="7"/>
                <c:pt idx="0">
                  <c:v>0.6895528072674042</c:v>
                </c:pt>
                <c:pt idx="1">
                  <c:v>0.51373111327725463</c:v>
                </c:pt>
                <c:pt idx="2">
                  <c:v>0.43144889441333589</c:v>
                </c:pt>
                <c:pt idx="3">
                  <c:v>0.38207234386780065</c:v>
                </c:pt>
                <c:pt idx="4">
                  <c:v>0.33894070119114061</c:v>
                </c:pt>
                <c:pt idx="5">
                  <c:v>0.3247213838582555</c:v>
                </c:pt>
                <c:pt idx="6">
                  <c:v>0.30501608438131134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8BC-4CF0-845A-48283364144D}"/>
            </c:ext>
          </c:extLst>
        </c:ser>
        <c:ser>
          <c:idx val="3"/>
          <c:order val="3"/>
          <c:tx>
            <c:strRef>
              <c:f>'Initial Comparison'!$B$89</c:f>
              <c:strCache>
                <c:ptCount val="1"/>
                <c:pt idx="0">
                  <c:v>ABR AHF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'Initial Comparison'!$C$84:$I$84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Comparison'!$C$89:$I$89</c:f>
              <c:numCache>
                <c:formatCode>General</c:formatCode>
                <c:ptCount val="7"/>
                <c:pt idx="0">
                  <c:v>0.84237284075216101</c:v>
                </c:pt>
                <c:pt idx="1">
                  <c:v>0.5518988176995111</c:v>
                </c:pt>
                <c:pt idx="2">
                  <c:v>0.69864898878244364</c:v>
                </c:pt>
                <c:pt idx="3">
                  <c:v>0.50457749341967606</c:v>
                </c:pt>
                <c:pt idx="4">
                  <c:v>0.34885569183565879</c:v>
                </c:pt>
                <c:pt idx="5">
                  <c:v>0.30649805066516639</c:v>
                </c:pt>
                <c:pt idx="6">
                  <c:v>0.25983713059977581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8BC-4CF0-845A-482833641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746080"/>
        <c:axId val="2139761472"/>
      </c:scatterChart>
      <c:valAx>
        <c:axId val="21397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761472"/>
        <c:crosses val="autoZero"/>
        <c:crossBetween val="midCat"/>
      </c:valAx>
      <c:valAx>
        <c:axId val="2139761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74608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'Initial Comparison'!$B$133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Comparison'!$C$133:$I$133</c:f>
              <c:numCache>
                <c:formatCode>General</c:formatCode>
                <c:ptCount val="7"/>
                <c:pt idx="0">
                  <c:v>1.9236800307705917</c:v>
                </c:pt>
                <c:pt idx="1">
                  <c:v>2.4666075263746889</c:v>
                </c:pt>
                <c:pt idx="2">
                  <c:v>4.0087238652031463</c:v>
                </c:pt>
                <c:pt idx="3">
                  <c:v>4.7168154012533021</c:v>
                </c:pt>
                <c:pt idx="4">
                  <c:v>5.9728069373034591</c:v>
                </c:pt>
                <c:pt idx="5">
                  <c:v>10.205540828979876</c:v>
                </c:pt>
                <c:pt idx="6">
                  <c:v>11.890064772641846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E-4DCA-A4C4-3DADA5EB0D16}"/>
            </c:ext>
          </c:extLst>
        </c:ser>
        <c:ser>
          <c:idx val="1"/>
          <c:order val="1"/>
          <c:tx>
            <c:strRef>
              <c:f>'Initial Comparison'!$B$134</c:f>
              <c:strCache>
                <c:ptCount val="1"/>
                <c:pt idx="0">
                  <c:v>Process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Comparison'!$C$134:$I$134</c:f>
              <c:numCache>
                <c:formatCode>General</c:formatCode>
                <c:ptCount val="7"/>
                <c:pt idx="0">
                  <c:v>0.20309828976562505</c:v>
                </c:pt>
                <c:pt idx="1">
                  <c:v>0.4061965795312501</c:v>
                </c:pt>
                <c:pt idx="2">
                  <c:v>0.8123931590625002</c:v>
                </c:pt>
                <c:pt idx="3">
                  <c:v>1.2185897385937499</c:v>
                </c:pt>
                <c:pt idx="4">
                  <c:v>2.0309828976562501</c:v>
                </c:pt>
                <c:pt idx="5">
                  <c:v>3.0464743464843753</c:v>
                </c:pt>
                <c:pt idx="6">
                  <c:v>4.0619657953125001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DE-4DCA-A4C4-3DADA5EB0D16}"/>
            </c:ext>
          </c:extLst>
        </c:ser>
        <c:ser>
          <c:idx val="2"/>
          <c:order val="2"/>
          <c:tx>
            <c:strRef>
              <c:f>'Initial Comparison'!$B$135</c:f>
              <c:strCache>
                <c:ptCount val="1"/>
                <c:pt idx="0">
                  <c:v>Desludging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Comparison'!$C$135:$I$135</c:f>
              <c:numCache>
                <c:formatCode>General</c:formatCode>
                <c:ptCount val="7"/>
                <c:pt idx="0">
                  <c:v>0.18397653012000001</c:v>
                </c:pt>
                <c:pt idx="1">
                  <c:v>0.15277786488</c:v>
                </c:pt>
                <c:pt idx="2">
                  <c:v>0.30555572975999995</c:v>
                </c:pt>
                <c:pt idx="3">
                  <c:v>0.35561264111999991</c:v>
                </c:pt>
                <c:pt idx="4">
                  <c:v>0.59268773520000007</c:v>
                </c:pt>
                <c:pt idx="5">
                  <c:v>0.88903160279999993</c:v>
                </c:pt>
                <c:pt idx="6">
                  <c:v>1.1853754704000001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DE-4DCA-A4C4-3DADA5EB0D16}"/>
            </c:ext>
          </c:extLst>
        </c:ser>
        <c:ser>
          <c:idx val="3"/>
          <c:order val="3"/>
          <c:tx>
            <c:strRef>
              <c:f>'Initial Comparison'!$B$136</c:f>
              <c:strCache>
                <c:ptCount val="1"/>
                <c:pt idx="0">
                  <c:v>Maintanence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Comparison'!$C$136:$I$136</c:f>
              <c:numCache>
                <c:formatCode>General</c:formatCode>
                <c:ptCount val="7"/>
                <c:pt idx="0">
                  <c:v>1.194779761904762</c:v>
                </c:pt>
                <c:pt idx="1">
                  <c:v>1.4981279761904762</c:v>
                </c:pt>
                <c:pt idx="2">
                  <c:v>2.5321904761904763</c:v>
                </c:pt>
                <c:pt idx="3">
                  <c:v>3.002904761904762</c:v>
                </c:pt>
                <c:pt idx="4">
                  <c:v>3.862190476190476</c:v>
                </c:pt>
                <c:pt idx="5">
                  <c:v>5.6679047619047616</c:v>
                </c:pt>
                <c:pt idx="6">
                  <c:v>6.8500476190476185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DE-4DCA-A4C4-3DADA5EB0D16}"/>
            </c:ext>
          </c:extLst>
        </c:ser>
        <c:ser>
          <c:idx val="4"/>
          <c:order val="4"/>
          <c:tx>
            <c:strRef>
              <c:f>'Initial Comparison'!$B$137</c:f>
              <c:strCache>
                <c:ptCount val="1"/>
                <c:pt idx="0">
                  <c:v>Site Visits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Comparison'!$C$137:$I$137</c:f>
              <c:numCache>
                <c:formatCode>General</c:formatCode>
                <c:ptCount val="7"/>
                <c:pt idx="0">
                  <c:v>7.6559999999999997</c:v>
                </c:pt>
                <c:pt idx="1">
                  <c:v>7.6559999999999997</c:v>
                </c:pt>
                <c:pt idx="2">
                  <c:v>7.6559999999999997</c:v>
                </c:pt>
                <c:pt idx="3">
                  <c:v>7.6559999999999997</c:v>
                </c:pt>
                <c:pt idx="4">
                  <c:v>7.6559999999999997</c:v>
                </c:pt>
                <c:pt idx="5">
                  <c:v>7.6559999999999997</c:v>
                </c:pt>
                <c:pt idx="6">
                  <c:v>7.6559999999999997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DE-4DCA-A4C4-3DADA5EB0D16}"/>
            </c:ext>
          </c:extLst>
        </c:ser>
        <c:ser>
          <c:idx val="5"/>
          <c:order val="5"/>
          <c:tx>
            <c:strRef>
              <c:f>'Initial Comparison'!$B$138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Comparison'!$C$138:$I$138</c:f>
              <c:numCache>
                <c:formatCode>General</c:formatCode>
                <c:ptCount val="7"/>
                <c:pt idx="0">
                  <c:v>0.55948435310458589</c:v>
                </c:pt>
                <c:pt idx="1">
                  <c:v>1.1189687062091718</c:v>
                </c:pt>
                <c:pt idx="2">
                  <c:v>6.9003070216232274</c:v>
                </c:pt>
                <c:pt idx="3">
                  <c:v>6.9003070216232274</c:v>
                </c:pt>
                <c:pt idx="4">
                  <c:v>6.9003070216232274</c:v>
                </c:pt>
                <c:pt idx="5">
                  <c:v>6.9003070216232274</c:v>
                </c:pt>
                <c:pt idx="6">
                  <c:v>6.9003070216232274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DE-4DCA-A4C4-3DADA5EB0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1970450864"/>
        <c:axId val="1970452944"/>
      </c:barChart>
      <c:catAx>
        <c:axId val="1970450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Population Equivalent (PE)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0452944"/>
        <c:crosses val="autoZero"/>
        <c:auto val="1"/>
        <c:lblAlgn val="ctr"/>
        <c:lblOffset val="100"/>
        <c:noMultiLvlLbl val="0"/>
      </c:catAx>
      <c:valAx>
        <c:axId val="19704529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Contribution to</a:t>
                </a:r>
                <a:r>
                  <a:rPr lang="en-GB" baseline="0">
                    <a:solidFill>
                      <a:sysClr val="windowText" lastClr="000000"/>
                    </a:solidFill>
                  </a:rPr>
                  <a:t> emissions (%)</a:t>
                </a:r>
                <a:endParaRPr lang="en-GB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3.6111111111111108E-2"/>
              <c:y val="7.781605424321959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045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380336832895888"/>
          <c:y val="6.4814814814814811E-2"/>
          <c:w val="0.53564107611548561"/>
          <c:h val="1.7229512977544388E-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'Initial Comparison'!$B$104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Comparison'!$C$104:$I$104</c:f>
              <c:numCache>
                <c:formatCode>0.0</c:formatCode>
                <c:ptCount val="7"/>
                <c:pt idx="0">
                  <c:v>1.4670000000000001</c:v>
                </c:pt>
                <c:pt idx="1">
                  <c:v>2.93</c:v>
                </c:pt>
                <c:pt idx="2">
                  <c:v>3.39</c:v>
                </c:pt>
                <c:pt idx="3">
                  <c:v>3.1789999999999998</c:v>
                </c:pt>
                <c:pt idx="4">
                  <c:v>7.46</c:v>
                </c:pt>
                <c:pt idx="5">
                  <c:v>10.25</c:v>
                </c:pt>
                <c:pt idx="6">
                  <c:v>13.68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CD-4E29-82C2-078F71EA082A}"/>
            </c:ext>
          </c:extLst>
        </c:ser>
        <c:ser>
          <c:idx val="1"/>
          <c:order val="1"/>
          <c:tx>
            <c:strRef>
              <c:f>'Initial Comparison'!$B$105</c:f>
              <c:strCache>
                <c:ptCount val="1"/>
                <c:pt idx="0">
                  <c:v>Process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Comparison'!$C$105:$I$105</c:f>
              <c:numCache>
                <c:formatCode>General</c:formatCode>
                <c:ptCount val="7"/>
                <c:pt idx="0">
                  <c:v>0.56454550000000003</c:v>
                </c:pt>
                <c:pt idx="1">
                  <c:v>1.1290910000000001</c:v>
                </c:pt>
                <c:pt idx="2">
                  <c:v>2.2581820000000001</c:v>
                </c:pt>
                <c:pt idx="3">
                  <c:v>3.3872730000000004</c:v>
                </c:pt>
                <c:pt idx="4">
                  <c:v>5.6454550000000001</c:v>
                </c:pt>
                <c:pt idx="5">
                  <c:v>8.4681824999999993</c:v>
                </c:pt>
                <c:pt idx="6">
                  <c:v>11.29091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CD-4E29-82C2-078F71EA082A}"/>
            </c:ext>
          </c:extLst>
        </c:ser>
        <c:ser>
          <c:idx val="2"/>
          <c:order val="2"/>
          <c:tx>
            <c:strRef>
              <c:f>'Initial Comparison'!$B$106</c:f>
              <c:strCache>
                <c:ptCount val="1"/>
                <c:pt idx="0">
                  <c:v>Desludging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Comparison'!$C$106:$I$106</c:f>
              <c:numCache>
                <c:formatCode>General</c:formatCode>
                <c:ptCount val="7"/>
                <c:pt idx="0">
                  <c:v>1.4569119175999996</c:v>
                </c:pt>
                <c:pt idx="1">
                  <c:v>1.9939411845999995</c:v>
                </c:pt>
                <c:pt idx="2">
                  <c:v>3.0168951268999993</c:v>
                </c:pt>
                <c:pt idx="3">
                  <c:v>3.550963764</c:v>
                </c:pt>
                <c:pt idx="4">
                  <c:v>2.8061312479999998</c:v>
                </c:pt>
                <c:pt idx="5">
                  <c:v>3.572622435</c:v>
                </c:pt>
                <c:pt idx="6">
                  <c:v>4.76349658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CD-4E29-82C2-078F71EA082A}"/>
            </c:ext>
          </c:extLst>
        </c:ser>
        <c:ser>
          <c:idx val="3"/>
          <c:order val="3"/>
          <c:tx>
            <c:strRef>
              <c:f>'Initial Comparison'!$B$107</c:f>
              <c:strCache>
                <c:ptCount val="1"/>
                <c:pt idx="0">
                  <c:v>Maintanence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Comparison'!$C$107:$I$107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CD-4E29-82C2-078F71EA082A}"/>
            </c:ext>
          </c:extLst>
        </c:ser>
        <c:ser>
          <c:idx val="4"/>
          <c:order val="4"/>
          <c:tx>
            <c:strRef>
              <c:f>'Initial Comparison'!$B$108</c:f>
              <c:strCache>
                <c:ptCount val="1"/>
                <c:pt idx="0">
                  <c:v>Site Visits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Comparison'!$C$108:$I$108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CD-4E29-82C2-078F71EA082A}"/>
            </c:ext>
          </c:extLst>
        </c:ser>
        <c:ser>
          <c:idx val="5"/>
          <c:order val="5"/>
          <c:tx>
            <c:strRef>
              <c:f>'Initial Comparison'!$B$109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Comparison'!$C$109:$I$109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CD-4E29-82C2-078F71EA0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1970450864"/>
        <c:axId val="1970452944"/>
      </c:barChart>
      <c:catAx>
        <c:axId val="1970450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70452944"/>
        <c:crosses val="autoZero"/>
        <c:auto val="1"/>
        <c:lblAlgn val="ctr"/>
        <c:lblOffset val="100"/>
        <c:noMultiLvlLbl val="0"/>
      </c:catAx>
      <c:valAx>
        <c:axId val="19704529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9704508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5.0602409638554224E-2"/>
          <c:y val="0.37526731885787001"/>
          <c:w val="0.9"/>
          <c:h val="0.464731726715978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'Initial Comparison'!$B$95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Comparison'!$C$95:$I$95</c:f>
              <c:numCache>
                <c:formatCode>General</c:formatCode>
                <c:ptCount val="7"/>
                <c:pt idx="0">
                  <c:v>0.93100000000000005</c:v>
                </c:pt>
                <c:pt idx="1">
                  <c:v>2.0840000000000001</c:v>
                </c:pt>
                <c:pt idx="2">
                  <c:v>1.849</c:v>
                </c:pt>
                <c:pt idx="3">
                  <c:v>0.94799999999999995</c:v>
                </c:pt>
                <c:pt idx="4">
                  <c:v>3.762</c:v>
                </c:pt>
                <c:pt idx="5">
                  <c:v>4.6890000000000001</c:v>
                </c:pt>
                <c:pt idx="6">
                  <c:v>6.29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F03-B628-ECE994874475}"/>
            </c:ext>
          </c:extLst>
        </c:ser>
        <c:ser>
          <c:idx val="1"/>
          <c:order val="1"/>
          <c:tx>
            <c:strRef>
              <c:f>'Initial Comparison'!$B$96</c:f>
              <c:strCache>
                <c:ptCount val="1"/>
                <c:pt idx="0">
                  <c:v>Process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Comparison'!$C$96:$I$96</c:f>
              <c:numCache>
                <c:formatCode>General</c:formatCode>
                <c:ptCount val="7"/>
                <c:pt idx="0">
                  <c:v>0.56454550000000003</c:v>
                </c:pt>
                <c:pt idx="1">
                  <c:v>1.1290910000000001</c:v>
                </c:pt>
                <c:pt idx="2">
                  <c:v>2.2581820000000001</c:v>
                </c:pt>
                <c:pt idx="3">
                  <c:v>3.3872730000000004</c:v>
                </c:pt>
                <c:pt idx="4">
                  <c:v>5.6454550000000001</c:v>
                </c:pt>
                <c:pt idx="5">
                  <c:v>8.4681824999999993</c:v>
                </c:pt>
                <c:pt idx="6">
                  <c:v>11.29091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F03-B628-ECE994874475}"/>
            </c:ext>
          </c:extLst>
        </c:ser>
        <c:ser>
          <c:idx val="2"/>
          <c:order val="2"/>
          <c:tx>
            <c:strRef>
              <c:f>'Initial Comparison'!$B$97</c:f>
              <c:strCache>
                <c:ptCount val="1"/>
                <c:pt idx="0">
                  <c:v>Desludging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Comparison'!$C$97:$I$97</c:f>
              <c:numCache>
                <c:formatCode>General</c:formatCode>
                <c:ptCount val="7"/>
                <c:pt idx="0">
                  <c:v>1.4569119175999996</c:v>
                </c:pt>
                <c:pt idx="1">
                  <c:v>1.9939411845999995</c:v>
                </c:pt>
                <c:pt idx="2">
                  <c:v>3.0168951268999993</c:v>
                </c:pt>
                <c:pt idx="3">
                  <c:v>3.550963764</c:v>
                </c:pt>
                <c:pt idx="4">
                  <c:v>2.8061312479999998</c:v>
                </c:pt>
                <c:pt idx="5">
                  <c:v>3.572622435</c:v>
                </c:pt>
                <c:pt idx="6">
                  <c:v>4.76349658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18-4F03-B628-ECE994874475}"/>
            </c:ext>
          </c:extLst>
        </c:ser>
        <c:ser>
          <c:idx val="3"/>
          <c:order val="3"/>
          <c:tx>
            <c:strRef>
              <c:f>'Initial Comparison'!$B$98</c:f>
              <c:strCache>
                <c:ptCount val="1"/>
                <c:pt idx="0">
                  <c:v>Maintanence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Comparison'!$C$98:$I$98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18-4F03-B628-ECE994874475}"/>
            </c:ext>
          </c:extLst>
        </c:ser>
        <c:ser>
          <c:idx val="4"/>
          <c:order val="4"/>
          <c:tx>
            <c:strRef>
              <c:f>'Initial Comparison'!$B$99</c:f>
              <c:strCache>
                <c:ptCount val="1"/>
                <c:pt idx="0">
                  <c:v>Site Visits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Comparison'!$C$99:$I$99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18-4F03-B628-ECE994874475}"/>
            </c:ext>
          </c:extLst>
        </c:ser>
        <c:ser>
          <c:idx val="5"/>
          <c:order val="5"/>
          <c:tx>
            <c:strRef>
              <c:f>'Initial Comparison'!$B$100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Comparison'!$C$100:$I$100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18-4F03-B628-ECE994874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1970450864"/>
        <c:axId val="1970452944"/>
      </c:barChart>
      <c:catAx>
        <c:axId val="1970450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Population Equivalent (PE)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0452944"/>
        <c:crosses val="autoZero"/>
        <c:auto val="1"/>
        <c:lblAlgn val="ctr"/>
        <c:lblOffset val="100"/>
        <c:noMultiLvlLbl val="0"/>
      </c:catAx>
      <c:valAx>
        <c:axId val="19704529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Contribution to</a:t>
                </a:r>
                <a:r>
                  <a:rPr lang="en-GB" baseline="0">
                    <a:solidFill>
                      <a:sysClr val="windowText" lastClr="000000"/>
                    </a:solidFill>
                  </a:rPr>
                  <a:t> emissions (%)</a:t>
                </a:r>
                <a:endParaRPr lang="en-GB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3.6111111111111108E-2"/>
              <c:y val="7.781605424321959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045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'Initial Comparison'!$B$104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Comparison'!$C$104:$I$104</c:f>
              <c:numCache>
                <c:formatCode>0.0</c:formatCode>
                <c:ptCount val="7"/>
                <c:pt idx="0">
                  <c:v>1.4670000000000001</c:v>
                </c:pt>
                <c:pt idx="1">
                  <c:v>2.93</c:v>
                </c:pt>
                <c:pt idx="2">
                  <c:v>3.39</c:v>
                </c:pt>
                <c:pt idx="3">
                  <c:v>3.1789999999999998</c:v>
                </c:pt>
                <c:pt idx="4">
                  <c:v>7.46</c:v>
                </c:pt>
                <c:pt idx="5">
                  <c:v>10.25</c:v>
                </c:pt>
                <c:pt idx="6">
                  <c:v>13.68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A-44C5-92FA-F797F150F27E}"/>
            </c:ext>
          </c:extLst>
        </c:ser>
        <c:ser>
          <c:idx val="1"/>
          <c:order val="1"/>
          <c:tx>
            <c:strRef>
              <c:f>'Initial Comparison'!$B$105</c:f>
              <c:strCache>
                <c:ptCount val="1"/>
                <c:pt idx="0">
                  <c:v>Process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Comparison'!$C$105:$I$105</c:f>
              <c:numCache>
                <c:formatCode>General</c:formatCode>
                <c:ptCount val="7"/>
                <c:pt idx="0">
                  <c:v>0.56454550000000003</c:v>
                </c:pt>
                <c:pt idx="1">
                  <c:v>1.1290910000000001</c:v>
                </c:pt>
                <c:pt idx="2">
                  <c:v>2.2581820000000001</c:v>
                </c:pt>
                <c:pt idx="3">
                  <c:v>3.3872730000000004</c:v>
                </c:pt>
                <c:pt idx="4">
                  <c:v>5.6454550000000001</c:v>
                </c:pt>
                <c:pt idx="5">
                  <c:v>8.4681824999999993</c:v>
                </c:pt>
                <c:pt idx="6">
                  <c:v>11.29091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6A-44C5-92FA-F797F150F27E}"/>
            </c:ext>
          </c:extLst>
        </c:ser>
        <c:ser>
          <c:idx val="2"/>
          <c:order val="2"/>
          <c:tx>
            <c:strRef>
              <c:f>'Initial Comparison'!$B$106</c:f>
              <c:strCache>
                <c:ptCount val="1"/>
                <c:pt idx="0">
                  <c:v>Desludging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Comparison'!$C$106:$I$106</c:f>
              <c:numCache>
                <c:formatCode>General</c:formatCode>
                <c:ptCount val="7"/>
                <c:pt idx="0">
                  <c:v>1.4569119175999996</c:v>
                </c:pt>
                <c:pt idx="1">
                  <c:v>1.9939411845999995</c:v>
                </c:pt>
                <c:pt idx="2">
                  <c:v>3.0168951268999993</c:v>
                </c:pt>
                <c:pt idx="3">
                  <c:v>3.550963764</c:v>
                </c:pt>
                <c:pt idx="4">
                  <c:v>2.8061312479999998</c:v>
                </c:pt>
                <c:pt idx="5">
                  <c:v>3.572622435</c:v>
                </c:pt>
                <c:pt idx="6">
                  <c:v>4.76349658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6A-44C5-92FA-F797F150F27E}"/>
            </c:ext>
          </c:extLst>
        </c:ser>
        <c:ser>
          <c:idx val="3"/>
          <c:order val="3"/>
          <c:tx>
            <c:strRef>
              <c:f>'Initial Comparison'!$B$107</c:f>
              <c:strCache>
                <c:ptCount val="1"/>
                <c:pt idx="0">
                  <c:v>Maintanence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Comparison'!$C$107:$I$107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6A-44C5-92FA-F797F150F27E}"/>
            </c:ext>
          </c:extLst>
        </c:ser>
        <c:ser>
          <c:idx val="4"/>
          <c:order val="4"/>
          <c:tx>
            <c:strRef>
              <c:f>'Initial Comparison'!$B$108</c:f>
              <c:strCache>
                <c:ptCount val="1"/>
                <c:pt idx="0">
                  <c:v>Site Visits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Comparison'!$C$108:$I$108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6A-44C5-92FA-F797F150F27E}"/>
            </c:ext>
          </c:extLst>
        </c:ser>
        <c:ser>
          <c:idx val="5"/>
          <c:order val="5"/>
          <c:tx>
            <c:strRef>
              <c:f>'Initial Comparison'!$B$109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Comparison'!$C$109:$I$109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6A-44C5-92FA-F797F150F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1970450864"/>
        <c:axId val="1970452944"/>
      </c:barChart>
      <c:catAx>
        <c:axId val="1970450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Population Equivalent (PE)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0452944"/>
        <c:crosses val="autoZero"/>
        <c:auto val="1"/>
        <c:lblAlgn val="ctr"/>
        <c:lblOffset val="100"/>
        <c:noMultiLvlLbl val="0"/>
      </c:catAx>
      <c:valAx>
        <c:axId val="19704529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Contribution to</a:t>
                </a:r>
                <a:r>
                  <a:rPr lang="en-GB" baseline="0">
                    <a:solidFill>
                      <a:sysClr val="windowText" lastClr="000000"/>
                    </a:solidFill>
                  </a:rPr>
                  <a:t> emissions (%)</a:t>
                </a:r>
                <a:endParaRPr lang="en-GB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3.6111111111111108E-2"/>
              <c:y val="7.781605424321959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045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'Initial Comparison'!$B$114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Comparison'!$C$114:$I$114</c:f>
              <c:numCache>
                <c:formatCode>General</c:formatCode>
                <c:ptCount val="7"/>
                <c:pt idx="0">
                  <c:v>3.11</c:v>
                </c:pt>
                <c:pt idx="1">
                  <c:v>4.9799999999999995</c:v>
                </c:pt>
                <c:pt idx="2">
                  <c:v>8.66</c:v>
                </c:pt>
                <c:pt idx="3">
                  <c:v>24.33</c:v>
                </c:pt>
                <c:pt idx="4">
                  <c:v>31.309999999999995</c:v>
                </c:pt>
                <c:pt idx="5">
                  <c:v>45.800000000000004</c:v>
                </c:pt>
                <c:pt idx="6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8-4351-AD5F-E0C7A5CAA17E}"/>
            </c:ext>
          </c:extLst>
        </c:ser>
        <c:ser>
          <c:idx val="1"/>
          <c:order val="1"/>
          <c:tx>
            <c:strRef>
              <c:f>'Initial Comparison'!$B$115</c:f>
              <c:strCache>
                <c:ptCount val="1"/>
                <c:pt idx="0">
                  <c:v>Process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Comparison'!$C$115:$I$115</c:f>
              <c:numCache>
                <c:formatCode>General</c:formatCode>
                <c:ptCount val="7"/>
                <c:pt idx="0">
                  <c:v>0.43583456250000002</c:v>
                </c:pt>
                <c:pt idx="1">
                  <c:v>0.87166912500000004</c:v>
                </c:pt>
                <c:pt idx="2">
                  <c:v>1.7433382500000001</c:v>
                </c:pt>
                <c:pt idx="3">
                  <c:v>2.6150073750000002</c:v>
                </c:pt>
                <c:pt idx="4">
                  <c:v>4.3583456250000001</c:v>
                </c:pt>
                <c:pt idx="5">
                  <c:v>6.5375184375000011</c:v>
                </c:pt>
                <c:pt idx="6">
                  <c:v>8.7166912500000002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28-4351-AD5F-E0C7A5CAA17E}"/>
            </c:ext>
          </c:extLst>
        </c:ser>
        <c:ser>
          <c:idx val="2"/>
          <c:order val="2"/>
          <c:tx>
            <c:strRef>
              <c:f>'Initial Comparison'!$B$116</c:f>
              <c:strCache>
                <c:ptCount val="1"/>
                <c:pt idx="0">
                  <c:v>Desludging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Comparison'!$C$116:$I$116</c:f>
              <c:numCache>
                <c:formatCode>General</c:formatCode>
                <c:ptCount val="7"/>
                <c:pt idx="0">
                  <c:v>4.8355164666539991</c:v>
                </c:pt>
                <c:pt idx="1">
                  <c:v>9.0005406902039979</c:v>
                </c:pt>
                <c:pt idx="2">
                  <c:v>30.55628712062499</c:v>
                </c:pt>
                <c:pt idx="3">
                  <c:v>36.069649691506612</c:v>
                </c:pt>
                <c:pt idx="4">
                  <c:v>60.007398375662802</c:v>
                </c:pt>
                <c:pt idx="5">
                  <c:v>87.400132584084488</c:v>
                </c:pt>
                <c:pt idx="6">
                  <c:v>158.24536540293855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28-4351-AD5F-E0C7A5CAA17E}"/>
            </c:ext>
          </c:extLst>
        </c:ser>
        <c:ser>
          <c:idx val="3"/>
          <c:order val="3"/>
          <c:tx>
            <c:strRef>
              <c:f>'Initial Comparison'!$B$117</c:f>
              <c:strCache>
                <c:ptCount val="1"/>
                <c:pt idx="0">
                  <c:v>Maintanence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Comparison'!$C$117:$I$117</c:f>
              <c:numCache>
                <c:formatCode>General</c:formatCode>
                <c:ptCount val="7"/>
                <c:pt idx="0">
                  <c:v>0.63800000000000001</c:v>
                </c:pt>
                <c:pt idx="1">
                  <c:v>0.63800000000000001</c:v>
                </c:pt>
                <c:pt idx="2">
                  <c:v>0.63800000000000001</c:v>
                </c:pt>
                <c:pt idx="3">
                  <c:v>0.63800000000000001</c:v>
                </c:pt>
                <c:pt idx="4">
                  <c:v>0.63800000000000001</c:v>
                </c:pt>
                <c:pt idx="5">
                  <c:v>0.63800000000000001</c:v>
                </c:pt>
                <c:pt idx="6">
                  <c:v>0.63800000000000001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28-4351-AD5F-E0C7A5CAA17E}"/>
            </c:ext>
          </c:extLst>
        </c:ser>
        <c:ser>
          <c:idx val="4"/>
          <c:order val="4"/>
          <c:tx>
            <c:strRef>
              <c:f>'Initial Comparison'!$B$118</c:f>
              <c:strCache>
                <c:ptCount val="1"/>
                <c:pt idx="0">
                  <c:v>Site Visits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Comparison'!$C$118:$I$118</c:f>
              <c:numCache>
                <c:formatCode>General</c:formatCode>
                <c:ptCount val="7"/>
                <c:pt idx="0">
                  <c:v>7.6559999999999997</c:v>
                </c:pt>
                <c:pt idx="1">
                  <c:v>7.6559999999999997</c:v>
                </c:pt>
                <c:pt idx="2">
                  <c:v>7.6559999999999997</c:v>
                </c:pt>
                <c:pt idx="3">
                  <c:v>7.6559999999999997</c:v>
                </c:pt>
                <c:pt idx="4">
                  <c:v>7.6559999999999997</c:v>
                </c:pt>
                <c:pt idx="5">
                  <c:v>7.6559999999999997</c:v>
                </c:pt>
                <c:pt idx="6">
                  <c:v>7.6559999999999997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28-4351-AD5F-E0C7A5CAA17E}"/>
            </c:ext>
          </c:extLst>
        </c:ser>
        <c:ser>
          <c:idx val="5"/>
          <c:order val="5"/>
          <c:tx>
            <c:strRef>
              <c:f>'Initial Comparison'!$B$119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Comparison'!$C$119:$I$119</c:f>
              <c:numCache>
                <c:formatCode>General</c:formatCode>
                <c:ptCount val="7"/>
                <c:pt idx="0">
                  <c:v>1.6393929713557998</c:v>
                </c:pt>
                <c:pt idx="1">
                  <c:v>4.0984824283894996</c:v>
                </c:pt>
                <c:pt idx="2">
                  <c:v>8.5782190361640698</c:v>
                </c:pt>
                <c:pt idx="3">
                  <c:v>13.343896278477441</c:v>
                </c:pt>
                <c:pt idx="4">
                  <c:v>20.968979866178834</c:v>
                </c:pt>
                <c:pt idx="5">
                  <c:v>32.406605247730937</c:v>
                </c:pt>
                <c:pt idx="6">
                  <c:v>68.435125199620018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28-4351-AD5F-E0C7A5CAA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1970450864"/>
        <c:axId val="1970452944"/>
      </c:barChart>
      <c:catAx>
        <c:axId val="1970450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Population Equivalent (PE)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0452944"/>
        <c:crosses val="autoZero"/>
        <c:auto val="1"/>
        <c:lblAlgn val="ctr"/>
        <c:lblOffset val="100"/>
        <c:noMultiLvlLbl val="0"/>
      </c:catAx>
      <c:valAx>
        <c:axId val="19704529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Contribution to</a:t>
                </a:r>
                <a:r>
                  <a:rPr lang="en-GB" baseline="0">
                    <a:solidFill>
                      <a:sysClr val="windowText" lastClr="000000"/>
                    </a:solidFill>
                  </a:rPr>
                  <a:t> emissions (%)</a:t>
                </a:r>
                <a:endParaRPr lang="en-GB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3.6111111111111108E-2"/>
              <c:y val="7.781605424321959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045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'Uk Grid Decarbonisation'!$A$47:$A$85</c:f>
              <c:numCache>
                <c:formatCode>General</c:formatCode>
                <c:ptCount val="3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</c:numCache>
            </c:numRef>
          </c:xVal>
          <c:yVal>
            <c:numRef>
              <c:f>'Uk Grid Decarbonisation'!$G$47:$G$85</c:f>
              <c:numCache>
                <c:formatCode>#,##0</c:formatCode>
                <c:ptCount val="39"/>
                <c:pt idx="0">
                  <c:v>156.00368460000001</c:v>
                </c:pt>
                <c:pt idx="1">
                  <c:v>146.94332610000001</c:v>
                </c:pt>
                <c:pt idx="2">
                  <c:v>137.19807069999999</c:v>
                </c:pt>
                <c:pt idx="3">
                  <c:v>127.27722199999999</c:v>
                </c:pt>
                <c:pt idx="4">
                  <c:v>119.1275091</c:v>
                </c:pt>
                <c:pt idx="5">
                  <c:v>128.4439879</c:v>
                </c:pt>
                <c:pt idx="6">
                  <c:v>108.2024037</c:v>
                </c:pt>
                <c:pt idx="7">
                  <c:v>90.164698819999998</c:v>
                </c:pt>
                <c:pt idx="8">
                  <c:v>85.440193519999994</c:v>
                </c:pt>
                <c:pt idx="9">
                  <c:v>91.252890870000002</c:v>
                </c:pt>
                <c:pt idx="10">
                  <c:v>98.374024410000004</c:v>
                </c:pt>
                <c:pt idx="11">
                  <c:v>89.430933350000004</c:v>
                </c:pt>
                <c:pt idx="12">
                  <c:v>82.671395329999996</c:v>
                </c:pt>
                <c:pt idx="13">
                  <c:v>83.624771969999998</c:v>
                </c:pt>
                <c:pt idx="14">
                  <c:v>84.756043939999998</c:v>
                </c:pt>
                <c:pt idx="15">
                  <c:v>86.765956680000002</c:v>
                </c:pt>
                <c:pt idx="16">
                  <c:v>78.285649039999996</c:v>
                </c:pt>
                <c:pt idx="17">
                  <c:v>71.208615530000003</c:v>
                </c:pt>
                <c:pt idx="18">
                  <c:v>67.352100280000002</c:v>
                </c:pt>
                <c:pt idx="19">
                  <c:v>69.828067779999998</c:v>
                </c:pt>
                <c:pt idx="20">
                  <c:v>68.82799593</c:v>
                </c:pt>
                <c:pt idx="21">
                  <c:v>66.82622198</c:v>
                </c:pt>
                <c:pt idx="22" formatCode="0.00">
                  <c:v>58.181051271386011</c:v>
                </c:pt>
                <c:pt idx="23" formatCode="0.00">
                  <c:v>55.7908413383999</c:v>
                </c:pt>
                <c:pt idx="24" formatCode="0.00">
                  <c:v>53.498826666566728</c:v>
                </c:pt>
                <c:pt idx="25" formatCode="0.00">
                  <c:v>51.300973171189639</c:v>
                </c:pt>
                <c:pt idx="26" formatCode="0.00">
                  <c:v>49.19341249694763</c:v>
                </c:pt>
                <c:pt idx="27" formatCode="0.00">
                  <c:v>47.172435209355797</c:v>
                </c:pt>
                <c:pt idx="28" formatCode="0.00">
                  <c:v>45.234484265935876</c:v>
                </c:pt>
                <c:pt idx="29" formatCode="0.00">
                  <c:v>43.376148755605939</c:v>
                </c:pt>
                <c:pt idx="30" formatCode="0.00">
                  <c:v>41.594157895270243</c:v>
                </c:pt>
                <c:pt idx="31" formatCode="0.00">
                  <c:v>39.885375273042818</c:v>
                </c:pt>
                <c:pt idx="32" formatCode="0.00">
                  <c:v>38.246793327972476</c:v>
                </c:pt>
                <c:pt idx="33" formatCode="0.00">
                  <c:v>36.675528056553304</c:v>
                </c:pt>
                <c:pt idx="34" formatCode="0.00">
                  <c:v>35.16881393670382</c:v>
                </c:pt>
                <c:pt idx="35" formatCode="0.00">
                  <c:v>33.723999060280448</c:v>
                </c:pt>
                <c:pt idx="36" formatCode="0.00">
                  <c:v>32.338540465558559</c:v>
                </c:pt>
                <c:pt idx="37" formatCode="0.00">
                  <c:v>31.009999661465773</c:v>
                </c:pt>
                <c:pt idx="38" formatCode="0.00">
                  <c:v>29.736038335689866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52-4A98-B8A9-986D04BB1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134960"/>
        <c:axId val="283151600"/>
      </c:scatterChart>
      <c:valAx>
        <c:axId val="28313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151600"/>
        <c:crosses val="autoZero"/>
        <c:crossBetween val="midCat"/>
      </c:valAx>
      <c:valAx>
        <c:axId val="28315160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134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'Initial Comparison'!$B$123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Comparison'!$C$123:$I$123</c:f>
              <c:numCache>
                <c:formatCode>General</c:formatCode>
                <c:ptCount val="7"/>
                <c:pt idx="0">
                  <c:v>2.2366700307705916</c:v>
                </c:pt>
                <c:pt idx="1">
                  <c:v>3.6288075263746893</c:v>
                </c:pt>
                <c:pt idx="2">
                  <c:v>6.5616238652031464</c:v>
                </c:pt>
                <c:pt idx="3">
                  <c:v>8.9331154012533016</c:v>
                </c:pt>
                <c:pt idx="4">
                  <c:v>13.483206937303459</c:v>
                </c:pt>
                <c:pt idx="5">
                  <c:v>19.825340828979876</c:v>
                </c:pt>
                <c:pt idx="6">
                  <c:v>25.029464772641848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6-4930-ACE2-E7C7951E367C}"/>
            </c:ext>
          </c:extLst>
        </c:ser>
        <c:ser>
          <c:idx val="1"/>
          <c:order val="1"/>
          <c:tx>
            <c:strRef>
              <c:f>'Initial Comparison'!$B$124</c:f>
              <c:strCache>
                <c:ptCount val="1"/>
                <c:pt idx="0">
                  <c:v>Process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Comparison'!$C$124:$I$124</c:f>
              <c:numCache>
                <c:formatCode>General</c:formatCode>
                <c:ptCount val="7"/>
                <c:pt idx="0">
                  <c:v>0.30879604687499995</c:v>
                </c:pt>
                <c:pt idx="1">
                  <c:v>0.55583288437499989</c:v>
                </c:pt>
                <c:pt idx="2">
                  <c:v>0.80286972187500005</c:v>
                </c:pt>
                <c:pt idx="3">
                  <c:v>1.0499065593749999</c:v>
                </c:pt>
                <c:pt idx="4">
                  <c:v>1.420461815625</c:v>
                </c:pt>
                <c:pt idx="5">
                  <c:v>1.7910170718749998</c:v>
                </c:pt>
                <c:pt idx="6">
                  <c:v>2.0380539093749999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D6-4930-ACE2-E7C7951E367C}"/>
            </c:ext>
          </c:extLst>
        </c:ser>
        <c:ser>
          <c:idx val="2"/>
          <c:order val="2"/>
          <c:tx>
            <c:strRef>
              <c:f>'Initial Comparison'!$B$125</c:f>
              <c:strCache>
                <c:ptCount val="1"/>
                <c:pt idx="0">
                  <c:v>Desludging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Comparison'!$C$125:$I$125</c:f>
              <c:numCache>
                <c:formatCode>General</c:formatCode>
                <c:ptCount val="7"/>
                <c:pt idx="0">
                  <c:v>0.18397653012000001</c:v>
                </c:pt>
                <c:pt idx="1">
                  <c:v>0.15277786488</c:v>
                </c:pt>
                <c:pt idx="2">
                  <c:v>0.30555572975999995</c:v>
                </c:pt>
                <c:pt idx="3">
                  <c:v>0.35561264111999991</c:v>
                </c:pt>
                <c:pt idx="4">
                  <c:v>0.59268773520000007</c:v>
                </c:pt>
                <c:pt idx="5">
                  <c:v>0.88903160279999993</c:v>
                </c:pt>
                <c:pt idx="6">
                  <c:v>1.1853754704000001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D6-4930-ACE2-E7C7951E367C}"/>
            </c:ext>
          </c:extLst>
        </c:ser>
        <c:ser>
          <c:idx val="3"/>
          <c:order val="3"/>
          <c:tx>
            <c:strRef>
              <c:f>'Initial Comparison'!$B$126</c:f>
              <c:strCache>
                <c:ptCount val="1"/>
                <c:pt idx="0">
                  <c:v>Maintanence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Comparison'!$C$126:$I$126</c:f>
              <c:numCache>
                <c:formatCode>General</c:formatCode>
                <c:ptCount val="7"/>
                <c:pt idx="0">
                  <c:v>0.71832142857142811</c:v>
                </c:pt>
                <c:pt idx="1">
                  <c:v>0.79989285714285663</c:v>
                </c:pt>
                <c:pt idx="2">
                  <c:v>0.95892857142857102</c:v>
                </c:pt>
                <c:pt idx="3">
                  <c:v>1.1235357142857139</c:v>
                </c:pt>
                <c:pt idx="4">
                  <c:v>1.450678571428571</c:v>
                </c:pt>
                <c:pt idx="5">
                  <c:v>1.8487142857142853</c:v>
                </c:pt>
                <c:pt idx="6">
                  <c:v>2.2487142857142852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D6-4930-ACE2-E7C7951E367C}"/>
            </c:ext>
          </c:extLst>
        </c:ser>
        <c:ser>
          <c:idx val="4"/>
          <c:order val="4"/>
          <c:tx>
            <c:strRef>
              <c:f>'Initial Comparison'!$B$127</c:f>
              <c:strCache>
                <c:ptCount val="1"/>
                <c:pt idx="0">
                  <c:v>Site Visits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Comparison'!$C$127:$I$127</c:f>
              <c:numCache>
                <c:formatCode>General</c:formatCode>
                <c:ptCount val="7"/>
                <c:pt idx="0">
                  <c:v>7.6559999999999997</c:v>
                </c:pt>
                <c:pt idx="1">
                  <c:v>7.6559999999999997</c:v>
                </c:pt>
                <c:pt idx="2">
                  <c:v>7.6559999999999997</c:v>
                </c:pt>
                <c:pt idx="3">
                  <c:v>7.6559999999999997</c:v>
                </c:pt>
                <c:pt idx="4">
                  <c:v>7.6559999999999997</c:v>
                </c:pt>
                <c:pt idx="5">
                  <c:v>7.6559999999999997</c:v>
                </c:pt>
                <c:pt idx="6">
                  <c:v>7.6559999999999997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D6-4930-ACE2-E7C7951E367C}"/>
            </c:ext>
          </c:extLst>
        </c:ser>
        <c:ser>
          <c:idx val="5"/>
          <c:order val="5"/>
          <c:tx>
            <c:strRef>
              <c:f>'Initial Comparison'!$B$128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'Initial Comparison'!$C$94:$I$94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Comparison'!$C$128:$I$128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D6-4930-ACE2-E7C7951E3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1970450864"/>
        <c:axId val="1970452944"/>
      </c:barChart>
      <c:catAx>
        <c:axId val="1970450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Population Equivalent (PE)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0452944"/>
        <c:crosses val="autoZero"/>
        <c:auto val="1"/>
        <c:lblAlgn val="ctr"/>
        <c:lblOffset val="100"/>
        <c:noMultiLvlLbl val="0"/>
      </c:catAx>
      <c:valAx>
        <c:axId val="19704529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Contribution to</a:t>
                </a:r>
                <a:r>
                  <a:rPr lang="en-GB" baseline="0">
                    <a:solidFill>
                      <a:sysClr val="windowText" lastClr="000000"/>
                    </a:solidFill>
                  </a:rPr>
                  <a:t> emissions (%)</a:t>
                </a:r>
                <a:endParaRPr lang="en-GB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3.6111111111111108E-2"/>
              <c:y val="7.781605424321959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045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'Initial Comparison'!$L$69</c:f>
              <c:strCache>
                <c:ptCount val="1"/>
                <c:pt idx="0">
                  <c:v>ST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'Initial Comparison'!$M$68:$S$68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Comparison'!$M$69:$S$69</c:f>
              <c:numCache>
                <c:formatCode>General</c:formatCode>
                <c:ptCount val="7"/>
                <c:pt idx="0">
                  <c:v>0.64409148352000001</c:v>
                </c:pt>
                <c:pt idx="1">
                  <c:v>0.5630032184599999</c:v>
                </c:pt>
                <c:pt idx="2">
                  <c:v>0.39472885634499999</c:v>
                </c:pt>
                <c:pt idx="3">
                  <c:v>0.30005789213333334</c:v>
                </c:pt>
                <c:pt idx="4">
                  <c:v>0.28125172496</c:v>
                </c:pt>
                <c:pt idx="5">
                  <c:v>0.26013739913333334</c:v>
                </c:pt>
                <c:pt idx="6">
                  <c:v>0.26039406580000002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E1-451C-8769-18E04C817B6F}"/>
            </c:ext>
          </c:extLst>
        </c:ser>
        <c:ser>
          <c:idx val="1"/>
          <c:order val="1"/>
          <c:tx>
            <c:strRef>
              <c:f>'Initial Comparison'!$L$70</c:f>
              <c:strCache>
                <c:ptCount val="1"/>
                <c:pt idx="0">
                  <c:v>SAF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'Initial Comparison'!$M$68:$S$68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Comparison'!$M$70:$S$70</c:f>
              <c:numCache>
                <c:formatCode>General</c:formatCode>
                <c:ptCount val="7"/>
                <c:pt idx="0">
                  <c:v>3.5353488001019597</c:v>
                </c:pt>
                <c:pt idx="1">
                  <c:v>2.6606692243593497</c:v>
                </c:pt>
                <c:pt idx="2">
                  <c:v>2.8596922203394528</c:v>
                </c:pt>
                <c:pt idx="3">
                  <c:v>2.8004851114994684</c:v>
                </c:pt>
                <c:pt idx="4">
                  <c:v>2.4860144773368322</c:v>
                </c:pt>
                <c:pt idx="5">
                  <c:v>2.3973367502575393</c:v>
                </c:pt>
                <c:pt idx="6">
                  <c:v>2.9555318185255857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E1-451C-8769-18E04C817B6F}"/>
            </c:ext>
          </c:extLst>
        </c:ser>
        <c:ser>
          <c:idx val="2"/>
          <c:order val="2"/>
          <c:tx>
            <c:strRef>
              <c:f>'Initial Comparison'!$L$71</c:f>
              <c:strCache>
                <c:ptCount val="1"/>
                <c:pt idx="0">
                  <c:v>ABR VF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'Initial Comparison'!$M$68:$S$68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Comparison'!$M$71:$S$71</c:f>
              <c:numCache>
                <c:formatCode>General</c:formatCode>
                <c:ptCount val="7"/>
                <c:pt idx="0">
                  <c:v>2.2207528072674041</c:v>
                </c:pt>
                <c:pt idx="1">
                  <c:v>1.2793311132772547</c:v>
                </c:pt>
                <c:pt idx="2">
                  <c:v>0.81424889441333581</c:v>
                </c:pt>
                <c:pt idx="3">
                  <c:v>0.63727234386780063</c:v>
                </c:pt>
                <c:pt idx="4">
                  <c:v>0.49206070119114059</c:v>
                </c:pt>
                <c:pt idx="5">
                  <c:v>0.4268013838582555</c:v>
                </c:pt>
                <c:pt idx="6">
                  <c:v>0.38157608438131135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AE1-451C-8769-18E04C817B6F}"/>
            </c:ext>
          </c:extLst>
        </c:ser>
        <c:ser>
          <c:idx val="3"/>
          <c:order val="3"/>
          <c:tx>
            <c:strRef>
              <c:f>'Initial Comparison'!$L$72</c:f>
              <c:strCache>
                <c:ptCount val="1"/>
                <c:pt idx="0">
                  <c:v>ABR AHF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'Initial Comparison'!$M$68:$S$68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Comparison'!$M$72:$S$72</c:f>
              <c:numCache>
                <c:formatCode>General</c:formatCode>
                <c:ptCount val="7"/>
                <c:pt idx="0">
                  <c:v>2.373572840752161</c:v>
                </c:pt>
                <c:pt idx="1">
                  <c:v>1.317498817699511</c:v>
                </c:pt>
                <c:pt idx="2">
                  <c:v>1.0814489887824437</c:v>
                </c:pt>
                <c:pt idx="3">
                  <c:v>0.75977749341967604</c:v>
                </c:pt>
                <c:pt idx="4">
                  <c:v>0.50197569183565871</c:v>
                </c:pt>
                <c:pt idx="5">
                  <c:v>0.40857805066516639</c:v>
                </c:pt>
                <c:pt idx="6">
                  <c:v>0.33639713059977583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AE1-451C-8769-18E04C817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125455"/>
        <c:axId val="1982144591"/>
      </c:scatterChart>
      <c:valAx>
        <c:axId val="1982125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144591"/>
        <c:crosses val="autoZero"/>
        <c:crossBetween val="midCat"/>
      </c:valAx>
      <c:valAx>
        <c:axId val="1982144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1254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'Initial Comparison'!$D$198</c:f>
              <c:strCache>
                <c:ptCount val="1"/>
                <c:pt idx="0">
                  <c:v>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'Initial Comparison'!$E$197:$K$197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Comparison'!$E$198:$K$198</c:f>
              <c:numCache>
                <c:formatCode>General</c:formatCode>
                <c:ptCount val="7"/>
                <c:pt idx="0">
                  <c:v>16.171659340799998</c:v>
                </c:pt>
                <c:pt idx="1">
                  <c:v>12.492128738399998</c:v>
                </c:pt>
                <c:pt idx="2">
                  <c:v>10.550154253799999</c:v>
                </c:pt>
                <c:pt idx="3">
                  <c:v>9.2509823520000012</c:v>
                </c:pt>
                <c:pt idx="4">
                  <c:v>6.7612689983999994</c:v>
                </c:pt>
                <c:pt idx="5">
                  <c:v>6.4217626320000001</c:v>
                </c:pt>
                <c:pt idx="6">
                  <c:v>6.4217626319999992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B-4527-ABB9-E881BDF0DC36}"/>
            </c:ext>
          </c:extLst>
        </c:ser>
        <c:ser>
          <c:idx val="1"/>
          <c:order val="1"/>
          <c:tx>
            <c:strRef>
              <c:f>'Initial Comparison'!$D$199</c:f>
              <c:strCache>
                <c:ptCount val="1"/>
                <c:pt idx="0">
                  <c:v>SAF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'Initial Comparison'!$E$197:$K$197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Comparison'!$E$199:$K$199</c:f>
              <c:numCache>
                <c:formatCode>General</c:formatCode>
                <c:ptCount val="7"/>
                <c:pt idx="0">
                  <c:v>116.5339520040784</c:v>
                </c:pt>
                <c:pt idx="1">
                  <c:v>86.506768974373983</c:v>
                </c:pt>
                <c:pt idx="2">
                  <c:v>97.067688813578116</c:v>
                </c:pt>
                <c:pt idx="3">
                  <c:v>79.579404459978747</c:v>
                </c:pt>
                <c:pt idx="4">
                  <c:v>74.392579093473302</c:v>
                </c:pt>
                <c:pt idx="5">
                  <c:v>71.466803343634894</c:v>
                </c:pt>
                <c:pt idx="6">
                  <c:v>97.221272741023427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B-4527-ABB9-E881BDF0DC36}"/>
            </c:ext>
          </c:extLst>
        </c:ser>
        <c:ser>
          <c:idx val="2"/>
          <c:order val="2"/>
          <c:tx>
            <c:strRef>
              <c:f>'Initial Comparison'!$D$200</c:f>
              <c:strCache>
                <c:ptCount val="1"/>
                <c:pt idx="0">
                  <c:v>ABR VF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'Initial Comparison'!$E$197:$K$197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Comparison'!$E$200:$K$200</c:f>
              <c:numCache>
                <c:formatCode>General</c:formatCode>
                <c:ptCount val="7"/>
                <c:pt idx="0">
                  <c:v>70.936752044531431</c:v>
                </c:pt>
                <c:pt idx="1">
                  <c:v>36.658014425591425</c:v>
                </c:pt>
                <c:pt idx="2">
                  <c:v>19.446708046127142</c:v>
                </c:pt>
                <c:pt idx="3">
                  <c:v>13.58007321970762</c:v>
                </c:pt>
                <c:pt idx="4">
                  <c:v>8.8958624978028595</c:v>
                </c:pt>
                <c:pt idx="5">
                  <c:v>6.4985402455409522</c:v>
                </c:pt>
                <c:pt idx="6">
                  <c:v>5.2512574661957148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AB-4527-ABB9-E881BDF0DC36}"/>
            </c:ext>
          </c:extLst>
        </c:ser>
        <c:ser>
          <c:idx val="3"/>
          <c:order val="3"/>
          <c:tx>
            <c:strRef>
              <c:f>'Initial Comparison'!$D$201</c:f>
              <c:strCache>
                <c:ptCount val="1"/>
                <c:pt idx="0">
                  <c:v>ABR AHF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'Initial Comparison'!$E$197:$K$197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Comparison'!$E$201:$K$201</c:f>
              <c:numCache>
                <c:formatCode>General</c:formatCode>
                <c:ptCount val="7"/>
                <c:pt idx="0">
                  <c:v>79.553473383921698</c:v>
                </c:pt>
                <c:pt idx="1">
                  <c:v>42.833522602481686</c:v>
                </c:pt>
                <c:pt idx="2">
                  <c:v>35.240511820891456</c:v>
                </c:pt>
                <c:pt idx="3">
                  <c:v>24.102012535115971</c:v>
                </c:pt>
                <c:pt idx="4">
                  <c:v>15.300782123583582</c:v>
                </c:pt>
                <c:pt idx="5">
                  <c:v>10.900166917817389</c:v>
                </c:pt>
                <c:pt idx="6">
                  <c:v>8.6998593149342938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AB-4527-ABB9-E881BDF0D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930735"/>
        <c:axId val="31929903"/>
      </c:barChart>
      <c:catAx>
        <c:axId val="31930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29903"/>
        <c:crosses val="autoZero"/>
        <c:auto val="1"/>
        <c:lblAlgn val="ctr"/>
        <c:lblOffset val="100"/>
        <c:noMultiLvlLbl val="0"/>
      </c:catAx>
      <c:valAx>
        <c:axId val="31929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30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'Initial Comparison'!$N$225</c:f>
              <c:strCache>
                <c:ptCount val="1"/>
                <c:pt idx="0">
                  <c:v>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'Initial Comparison'!$O$224:$U$224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Comparison'!$O$225:$U$225</c:f>
              <c:numCache>
                <c:formatCode>General</c:formatCode>
                <c:ptCount val="7"/>
                <c:pt idx="0">
                  <c:v>16.171659340800002</c:v>
                </c:pt>
                <c:pt idx="1">
                  <c:v>12.492128738399998</c:v>
                </c:pt>
                <c:pt idx="2">
                  <c:v>10.550154253799999</c:v>
                </c:pt>
                <c:pt idx="3">
                  <c:v>9.2509823520000012</c:v>
                </c:pt>
                <c:pt idx="4">
                  <c:v>6.7612689983999994</c:v>
                </c:pt>
                <c:pt idx="5">
                  <c:v>6.4217626320000001</c:v>
                </c:pt>
                <c:pt idx="6">
                  <c:v>6.4217626319999992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2-4A08-BE5E-E054299572DA}"/>
            </c:ext>
          </c:extLst>
        </c:ser>
        <c:ser>
          <c:idx val="1"/>
          <c:order val="1"/>
          <c:tx>
            <c:strRef>
              <c:f>'Initial Comparison'!$N$226</c:f>
              <c:strCache>
                <c:ptCount val="1"/>
                <c:pt idx="0">
                  <c:v>SAF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'Initial Comparison'!$O$224:$U$224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Comparison'!$O$226:$U$226</c:f>
              <c:numCache>
                <c:formatCode>General</c:formatCode>
                <c:ptCount val="7"/>
                <c:pt idx="0">
                  <c:v>55.285952004078403</c:v>
                </c:pt>
                <c:pt idx="1">
                  <c:v>55.882768974373988</c:v>
                </c:pt>
                <c:pt idx="2">
                  <c:v>81.755688813578118</c:v>
                </c:pt>
                <c:pt idx="3">
                  <c:v>69.371404459978748</c:v>
                </c:pt>
                <c:pt idx="4">
                  <c:v>68.26777909347328</c:v>
                </c:pt>
                <c:pt idx="5">
                  <c:v>67.383603343634903</c:v>
                </c:pt>
                <c:pt idx="6">
                  <c:v>94.15887274102343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C2-4A08-BE5E-E054299572DA}"/>
            </c:ext>
          </c:extLst>
        </c:ser>
        <c:ser>
          <c:idx val="2"/>
          <c:order val="2"/>
          <c:tx>
            <c:strRef>
              <c:f>'Initial Comparison'!$N$227</c:f>
              <c:strCache>
                <c:ptCount val="1"/>
                <c:pt idx="0">
                  <c:v>ABR VF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'Initial Comparison'!$O$224:$U$224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Comparison'!$O$227:$U$227</c:f>
              <c:numCache>
                <c:formatCode>General</c:formatCode>
                <c:ptCount val="7"/>
                <c:pt idx="0">
                  <c:v>9.6887520445314337</c:v>
                </c:pt>
                <c:pt idx="1">
                  <c:v>6.0340144255914261</c:v>
                </c:pt>
                <c:pt idx="2">
                  <c:v>4.1347080461271428</c:v>
                </c:pt>
                <c:pt idx="3">
                  <c:v>3.3720732197076195</c:v>
                </c:pt>
                <c:pt idx="4">
                  <c:v>2.7710624978028582</c:v>
                </c:pt>
                <c:pt idx="5">
                  <c:v>2.4153402455409525</c:v>
                </c:pt>
                <c:pt idx="6">
                  <c:v>2.1888574661957145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C2-4A08-BE5E-E054299572DA}"/>
            </c:ext>
          </c:extLst>
        </c:ser>
        <c:ser>
          <c:idx val="3"/>
          <c:order val="3"/>
          <c:tx>
            <c:strRef>
              <c:f>'Initial Comparison'!$N$228</c:f>
              <c:strCache>
                <c:ptCount val="1"/>
                <c:pt idx="0">
                  <c:v>ABR AHF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'Initial Comparison'!$O$224:$U$224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'Initial Comparison'!$O$228:$U$228</c:f>
              <c:numCache>
                <c:formatCode>General</c:formatCode>
                <c:ptCount val="7"/>
                <c:pt idx="0">
                  <c:v>18.305473383921701</c:v>
                </c:pt>
                <c:pt idx="1">
                  <c:v>12.209522602481687</c:v>
                </c:pt>
                <c:pt idx="2">
                  <c:v>19.928511820891458</c:v>
                </c:pt>
                <c:pt idx="3">
                  <c:v>13.894012535115971</c:v>
                </c:pt>
                <c:pt idx="4">
                  <c:v>9.1759821235835837</c:v>
                </c:pt>
                <c:pt idx="5">
                  <c:v>6.8169669178173899</c:v>
                </c:pt>
                <c:pt idx="6">
                  <c:v>5.6374593149342935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C2-4A08-BE5E-E05429957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2179951"/>
        <c:axId val="1982182447"/>
      </c:barChart>
      <c:catAx>
        <c:axId val="198217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182447"/>
        <c:crosses val="autoZero"/>
        <c:auto val="1"/>
        <c:lblAlgn val="ctr"/>
        <c:lblOffset val="100"/>
        <c:noMultiLvlLbl val="0"/>
      </c:catAx>
      <c:valAx>
        <c:axId val="19821824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179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8381452318461"/>
          <c:y val="5.0925925925925923E-2"/>
          <c:w val="0.82496062992125985"/>
          <c:h val="0.73019247594050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'Initial Comparison'!$D$245</c:f>
              <c:strCache>
                <c:ptCount val="1"/>
                <c:pt idx="0">
                  <c:v>ABR VF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'Initial Comparison'!$E$244:$K$244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Comparison'!$E$245:$K$245</c:f>
              <c:numCache>
                <c:formatCode>General</c:formatCode>
                <c:ptCount val="7"/>
                <c:pt idx="0">
                  <c:v>32.012490179147051</c:v>
                </c:pt>
                <c:pt idx="1">
                  <c:v>17.370512072692406</c:v>
                </c:pt>
                <c:pt idx="2">
                  <c:v>30.723691989564006</c:v>
                </c:pt>
                <c:pt idx="3">
                  <c:v>38.950624153036884</c:v>
                </c:pt>
                <c:pt idx="4">
                  <c:v>39.457641784330562</c:v>
                </c:pt>
                <c:pt idx="5">
                  <c:v>41.120113781114007</c:v>
                </c:pt>
                <c:pt idx="6">
                  <c:v>35.541700518545127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B6-4ECE-8E5B-1368E6270B55}"/>
            </c:ext>
          </c:extLst>
        </c:ser>
        <c:ser>
          <c:idx val="1"/>
          <c:order val="1"/>
          <c:tx>
            <c:strRef>
              <c:f>'Initial Comparison'!$D$246</c:f>
              <c:strCache>
                <c:ptCount val="1"/>
                <c:pt idx="0">
                  <c:v>ABR AHF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'Initial Comparison'!$E$244:$K$244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Comparison'!$E$246:$K$246</c:f>
              <c:numCache>
                <c:formatCode>General</c:formatCode>
                <c:ptCount val="7"/>
                <c:pt idx="6">
                  <c:v>24.289898196136868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B6-4ECE-8E5B-1368E6270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5655951"/>
        <c:axId val="2075633903"/>
      </c:scatterChart>
      <c:valAx>
        <c:axId val="2075655951"/>
        <c:scaling>
          <c:orientation val="minMax"/>
          <c:max val="100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5633903"/>
        <c:crosses val="autoZero"/>
        <c:crossBetween val="midCat"/>
      </c:valAx>
      <c:valAx>
        <c:axId val="2075633903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56559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16441382327209"/>
          <c:y val="0.63946704578594338"/>
          <c:w val="0.2600448381452318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'Initial Comparison'!$E$262:$K$262</c:f>
              <c:numCache>
                <c:formatCode>General</c:formatCode>
                <c:ptCount val="7"/>
                <c:pt idx="0">
                  <c:v>0.11661135865931005</c:v>
                </c:pt>
                <c:pt idx="1">
                  <c:v>0.21072496300295959</c:v>
                </c:pt>
                <c:pt idx="2">
                  <c:v>0.12366611712348545</c:v>
                </c:pt>
                <c:pt idx="3">
                  <c:v>6.4958276572842338E-2</c:v>
                </c:pt>
                <c:pt idx="4">
                  <c:v>4.2066186283787915E-2</c:v>
                </c:pt>
                <c:pt idx="5">
                  <c:v>3.5576574936554028E-2</c:v>
                </c:pt>
                <c:pt idx="6">
                  <c:v>6.1200610563795763E-2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D-481E-87F9-28B0E69E149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'Initial Comparison'!$E$263:$K$263</c:f>
              <c:numCache>
                <c:formatCode>General</c:formatCode>
                <c:ptCount val="7"/>
                <c:pt idx="0">
                  <c:v>-0.25162670831020328</c:v>
                </c:pt>
                <c:pt idx="1">
                  <c:v>1.8169554158446566E-2</c:v>
                </c:pt>
                <c:pt idx="2">
                  <c:v>-0.5383790716147302</c:v>
                </c:pt>
                <c:pt idx="3">
                  <c:v>-0.32059535586424198</c:v>
                </c:pt>
                <c:pt idx="4">
                  <c:v>-0.12797179500524833</c:v>
                </c:pt>
                <c:pt idx="5">
                  <c:v>-5.6240758677267827E-2</c:v>
                </c:pt>
                <c:pt idx="6">
                  <c:v>2.0164518126866825E-2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8D-481E-87F9-28B0E69E1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24543"/>
        <c:axId val="11429119"/>
      </c:barChart>
      <c:catAx>
        <c:axId val="1142454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9119"/>
        <c:crosses val="autoZero"/>
        <c:auto val="1"/>
        <c:lblAlgn val="ctr"/>
        <c:lblOffset val="100"/>
        <c:noMultiLvlLbl val="0"/>
      </c:catAx>
      <c:valAx>
        <c:axId val="11429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4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'Initial Comparison'!$E$261:$K$261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Comparison'!$E$262:$K$262</c:f>
              <c:numCache>
                <c:formatCode>General</c:formatCode>
                <c:ptCount val="7"/>
                <c:pt idx="0">
                  <c:v>0.11661135865931005</c:v>
                </c:pt>
                <c:pt idx="1">
                  <c:v>0.21072496300295959</c:v>
                </c:pt>
                <c:pt idx="2">
                  <c:v>0.12366611712348545</c:v>
                </c:pt>
                <c:pt idx="3">
                  <c:v>6.4958276572842338E-2</c:v>
                </c:pt>
                <c:pt idx="4">
                  <c:v>4.2066186283787915E-2</c:v>
                </c:pt>
                <c:pt idx="5">
                  <c:v>3.5576574936554028E-2</c:v>
                </c:pt>
                <c:pt idx="6">
                  <c:v>6.1200610563795763E-2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3D-472D-A3F4-ABC5A5D4DD6E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'Initial Comparison'!$E$261:$K$261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'Initial Comparison'!$E$263:$K$263</c:f>
              <c:numCache>
                <c:formatCode>General</c:formatCode>
                <c:ptCount val="7"/>
                <c:pt idx="0">
                  <c:v>-0.25162670831020328</c:v>
                </c:pt>
                <c:pt idx="1">
                  <c:v>1.8169554158446566E-2</c:v>
                </c:pt>
                <c:pt idx="2">
                  <c:v>-0.5383790716147302</c:v>
                </c:pt>
                <c:pt idx="3">
                  <c:v>-0.32059535586424198</c:v>
                </c:pt>
                <c:pt idx="4">
                  <c:v>-0.12797179500524833</c:v>
                </c:pt>
                <c:pt idx="5">
                  <c:v>-5.6240758677267827E-2</c:v>
                </c:pt>
                <c:pt idx="6">
                  <c:v>2.0164518126866825E-2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3D-472D-A3F4-ABC5A5D4D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64479"/>
        <c:axId val="32963647"/>
      </c:scatterChart>
      <c:valAx>
        <c:axId val="32964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63647"/>
        <c:crosses val="autoZero"/>
        <c:crossBetween val="midCat"/>
      </c:valAx>
      <c:valAx>
        <c:axId val="329636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644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'Initial Comparison'!$AB$10</c:f>
              <c:strCache>
                <c:ptCount val="1"/>
                <c:pt idx="0">
                  <c:v>ST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'Initial Comparison'!$AA$11:$AA$19</c:f>
              <c:numCache>
                <c:formatCode>General</c:formatCode>
                <c:ptCount val="9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xVal>
          <c:yVal>
            <c:numRef>
              <c:f>'Initial Comparison'!$AB$11:$AB$19</c:f>
              <c:numCache>
                <c:formatCode>General</c:formatCode>
                <c:ptCount val="9"/>
                <c:pt idx="0">
                  <c:v>257.43068790000001</c:v>
                </c:pt>
                <c:pt idx="1">
                  <c:v>278.64983580000001</c:v>
                </c:pt>
                <c:pt idx="2">
                  <c:v>321.0881316</c:v>
                </c:pt>
                <c:pt idx="3">
                  <c:v>363.52642739999999</c:v>
                </c:pt>
                <c:pt idx="4">
                  <c:v>405.96472319999998</c:v>
                </c:pt>
                <c:pt idx="5">
                  <c:v>448.40301899999997</c:v>
                </c:pt>
                <c:pt idx="6">
                  <c:v>490.84131479999996</c:v>
                </c:pt>
                <c:pt idx="7">
                  <c:v>533.27961059999996</c:v>
                </c:pt>
                <c:pt idx="8">
                  <c:v>575.71790639999995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ED-4FFB-AB91-C992F100CBE4}"/>
            </c:ext>
          </c:extLst>
        </c:ser>
        <c:ser>
          <c:idx val="1"/>
          <c:order val="1"/>
          <c:tx>
            <c:strRef>
              <c:f>'Initial Comparison'!$AC$10</c:f>
              <c:strCache>
                <c:ptCount val="1"/>
                <c:pt idx="0">
                  <c:v>SAF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'Initial Comparison'!$AA$11:$AA$19</c:f>
              <c:numCache>
                <c:formatCode>General</c:formatCode>
                <c:ptCount val="9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xVal>
          <c:yVal>
            <c:numRef>
              <c:f>'Initial Comparison'!$AC$11:$AC$19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ED-4FFB-AB91-C992F100C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3871"/>
        <c:axId val="13400111"/>
      </c:scatterChart>
      <c:valAx>
        <c:axId val="13393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00111"/>
        <c:crosses val="autoZero"/>
        <c:crossBetween val="midCat"/>
      </c:valAx>
      <c:valAx>
        <c:axId val="134001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938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'Initial Comparison'!$Y$210:$Y$223</c:f>
              <c:numCache>
                <c:formatCode>General</c:formatCode>
                <c:ptCount val="14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500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'Initial Comparison'!$AB$210:$AB$223</c:f>
              <c:numCache>
                <c:formatCode>General</c:formatCode>
                <c:ptCount val="14"/>
                <c:pt idx="0">
                  <c:v>8.1555495505714273</c:v>
                </c:pt>
                <c:pt idx="1">
                  <c:v>3.386267385428571</c:v>
                </c:pt>
                <c:pt idx="2">
                  <c:v>1.8750121032857141</c:v>
                </c:pt>
                <c:pt idx="3">
                  <c:v>1.949866449142857</c:v>
                </c:pt>
                <c:pt idx="4">
                  <c:v>1.2828127714285713</c:v>
                </c:pt>
                <c:pt idx="5">
                  <c:v>1.2837834198095237</c:v>
                </c:pt>
                <c:pt idx="6">
                  <c:v>1.0333956285714285</c:v>
                </c:pt>
                <c:pt idx="7">
                  <c:v>1.2828127714285713</c:v>
                </c:pt>
                <c:pt idx="8">
                  <c:v>1.2828127714285715</c:v>
                </c:pt>
                <c:pt idx="9">
                  <c:v>1.2828127714285713</c:v>
                </c:pt>
                <c:pt idx="10">
                  <c:v>1.2828127714285713</c:v>
                </c:pt>
                <c:pt idx="11">
                  <c:v>1.2828127714285715</c:v>
                </c:pt>
                <c:pt idx="12">
                  <c:v>1.2828127714285713</c:v>
                </c:pt>
                <c:pt idx="13">
                  <c:v>1.2828127714285713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75-41EF-AB9E-622C78170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3892192"/>
        <c:axId val="1303892608"/>
      </c:scatterChart>
      <c:valAx>
        <c:axId val="1303892192"/>
        <c:scaling>
          <c:orientation val="minMax"/>
          <c:max val="10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892608"/>
        <c:crosses val="autoZero"/>
        <c:crossBetween val="midCat"/>
      </c:valAx>
      <c:valAx>
        <c:axId val="130389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892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3719920508091"/>
          <c:y val="3.1805037171141151E-2"/>
          <c:w val="0.83271585953555372"/>
          <c:h val="0.82571294963602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'Operational Emission Summary'!$AZ$7</c:f>
              <c:strCache>
                <c:ptCount val="1"/>
                <c:pt idx="0">
                  <c:v>STS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'Operational Emission Summary'!$AY$8:$AY$22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'Operational Emission Summary'!$AZ$8:$AZ$22</c:f>
              <c:numCache>
                <c:formatCode>General</c:formatCode>
                <c:ptCount val="15"/>
                <c:pt idx="0">
                  <c:v>0.14983245869999998</c:v>
                </c:pt>
                <c:pt idx="1">
                  <c:v>0.13956130394999999</c:v>
                </c:pt>
                <c:pt idx="2">
                  <c:v>0.13442572657499999</c:v>
                </c:pt>
                <c:pt idx="3">
                  <c:v>0.1312176729</c:v>
                </c:pt>
                <c:pt idx="4">
                  <c:v>0.13032900389999999</c:v>
                </c:pt>
                <c:pt idx="5">
                  <c:v>0.12988466940000004</c:v>
                </c:pt>
                <c:pt idx="6">
                  <c:v>0.12966250215</c:v>
                </c:pt>
                <c:pt idx="7">
                  <c:v>0.12944033490000004</c:v>
                </c:pt>
                <c:pt idx="8">
                  <c:v>0.12946909543999999</c:v>
                </c:pt>
                <c:pt idx="9">
                  <c:v>0.12929579469333335</c:v>
                </c:pt>
                <c:pt idx="10">
                  <c:v>0.12963113863999998</c:v>
                </c:pt>
                <c:pt idx="11">
                  <c:v>0.129527158192</c:v>
                </c:pt>
                <c:pt idx="12">
                  <c:v>0.12945783789333337</c:v>
                </c:pt>
                <c:pt idx="13">
                  <c:v>0.12966320628</c:v>
                </c:pt>
                <c:pt idx="14">
                  <c:v>0.12985124459200001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86-4052-AAA0-367F8B7A4E3C}"/>
            </c:ext>
          </c:extLst>
        </c:ser>
        <c:ser>
          <c:idx val="1"/>
          <c:order val="1"/>
          <c:tx>
            <c:strRef>
              <c:f>'Operational Emission Summary'!$BA$7</c:f>
              <c:strCache>
                <c:ptCount val="1"/>
                <c:pt idx="0">
                  <c:v>SAF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'Operational Emission Summary'!$AY$8:$AY$22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'Operational Emission Summary'!$BA$8:$BA$22</c:f>
              <c:numCache>
                <c:formatCode>General</c:formatCode>
                <c:ptCount val="15"/>
                <c:pt idx="0">
                  <c:v>0.12139444733315663</c:v>
                </c:pt>
                <c:pt idx="1">
                  <c:v>8.556632236050829E-2</c:v>
                </c:pt>
                <c:pt idx="2">
                  <c:v>6.8158466568264506E-2</c:v>
                </c:pt>
                <c:pt idx="3">
                  <c:v>5.6048126393185856E-2</c:v>
                </c:pt>
                <c:pt idx="4">
                  <c:v>4.7483128202351378E-2</c:v>
                </c:pt>
                <c:pt idx="5">
                  <c:v>4.6857841882839604E-2</c:v>
                </c:pt>
                <c:pt idx="6">
                  <c:v>6.2255823527958498E-2</c:v>
                </c:pt>
                <c:pt idx="7">
                  <c:v>3.4088471557969013E-2</c:v>
                </c:pt>
                <c:pt idx="8">
                  <c:v>3.2090670324635681E-2</c:v>
                </c:pt>
                <c:pt idx="9">
                  <c:v>3.0092869091302352E-2</c:v>
                </c:pt>
                <c:pt idx="10">
                  <c:v>2.8197539424635681E-2</c:v>
                </c:pt>
                <c:pt idx="11">
                  <c:v>2.7729945664635682E-2</c:v>
                </c:pt>
                <c:pt idx="12">
                  <c:v>2.7422904491302347E-2</c:v>
                </c:pt>
                <c:pt idx="13">
                  <c:v>2.7032071024635673E-2</c:v>
                </c:pt>
                <c:pt idx="14">
                  <c:v>3.7397238112842693E-2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86-4052-AAA0-367F8B7A4E3C}"/>
            </c:ext>
          </c:extLst>
        </c:ser>
        <c:ser>
          <c:idx val="2"/>
          <c:order val="2"/>
          <c:tx>
            <c:strRef>
              <c:f>'Operational Emission Summary'!$BB$7</c:f>
              <c:strCache>
                <c:ptCount val="1"/>
                <c:pt idx="0">
                  <c:v>ABR-VF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'Operational Emission Summary'!$AY$8:$AY$22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'Operational Emission Summary'!$BB$8:$BB$22</c:f>
              <c:numCache>
                <c:formatCode>General</c:formatCode>
                <c:ptCount val="15"/>
                <c:pt idx="0">
                  <c:v>8.5216408917264244E-2</c:v>
                </c:pt>
                <c:pt idx="1">
                  <c:v>4.5921216575572243E-2</c:v>
                </c:pt>
                <c:pt idx="2">
                  <c:v>2.7719403941607067E-2</c:v>
                </c:pt>
                <c:pt idx="3">
                  <c:v>2.1690679404346033E-2</c:v>
                </c:pt>
                <c:pt idx="4">
                  <c:v>1.6815975323724315E-2</c:v>
                </c:pt>
                <c:pt idx="5">
                  <c:v>1.4348753459877361E-2</c:v>
                </c:pt>
                <c:pt idx="6">
                  <c:v>1.3127958392102887E-2</c:v>
                </c:pt>
                <c:pt idx="7">
                  <c:v>1.2194480184419555E-2</c:v>
                </c:pt>
                <c:pt idx="8">
                  <c:v>1.158192974343503E-2</c:v>
                </c:pt>
                <c:pt idx="9">
                  <c:v>1.095268028530765E-2</c:v>
                </c:pt>
                <c:pt idx="10">
                  <c:v>1.0648794104815387E-2</c:v>
                </c:pt>
                <c:pt idx="11">
                  <c:v>1.046420525366289E-2</c:v>
                </c:pt>
                <c:pt idx="12">
                  <c:v>1.0344360305275508E-2</c:v>
                </c:pt>
                <c:pt idx="13">
                  <c:v>1.0088125548362709E-2</c:v>
                </c:pt>
                <c:pt idx="14">
                  <c:v>9.9376704085007463E-3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86-4052-AAA0-367F8B7A4E3C}"/>
            </c:ext>
          </c:extLst>
        </c:ser>
        <c:ser>
          <c:idx val="3"/>
          <c:order val="3"/>
          <c:tx>
            <c:strRef>
              <c:f>'Operational Emission Summary'!$BC$7</c:f>
              <c:strCache>
                <c:ptCount val="1"/>
                <c:pt idx="0">
                  <c:v>ABR-AHF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'Operational Emission Summary'!$AY$8:$AY$22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'Operational Emission Summary'!$BC$8:$BC$22</c:f>
              <c:numCache>
                <c:formatCode>General</c:formatCode>
                <c:ptCount val="15"/>
                <c:pt idx="0">
                  <c:v>9.5258854703040935E-2</c:v>
                </c:pt>
                <c:pt idx="1">
                  <c:v>5.4944936170872746E-2</c:v>
                </c:pt>
                <c:pt idx="2">
                  <c:v>5.1839125986876372E-2</c:v>
                </c:pt>
                <c:pt idx="3">
                  <c:v>3.7896776272710091E-2</c:v>
                </c:pt>
                <c:pt idx="4">
                  <c:v>2.6627114907707042E-2</c:v>
                </c:pt>
                <c:pt idx="5">
                  <c:v>2.1358414401669416E-2</c:v>
                </c:pt>
                <c:pt idx="6">
                  <c:v>1.8486665727085322E-2</c:v>
                </c:pt>
                <c:pt idx="7">
                  <c:v>1.5900160237506154E-2</c:v>
                </c:pt>
                <c:pt idx="8">
                  <c:v>1.4476079983316946E-2</c:v>
                </c:pt>
                <c:pt idx="9">
                  <c:v>1.3713610683919724E-2</c:v>
                </c:pt>
                <c:pt idx="10">
                  <c:v>1.2831524960984267E-2</c:v>
                </c:pt>
                <c:pt idx="11">
                  <c:v>1.2239987812937276E-2</c:v>
                </c:pt>
                <c:pt idx="12">
                  <c:v>1.278032075058641E-2</c:v>
                </c:pt>
                <c:pt idx="13">
                  <c:v>1.3495344149528467E-2</c:v>
                </c:pt>
                <c:pt idx="14">
                  <c:v>1.2583614592344064E-2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786-4052-AAA0-367F8B7A4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3476400"/>
        <c:axId val="2056701312"/>
      </c:scatterChart>
      <c:valAx>
        <c:axId val="1973476400"/>
        <c:scaling>
          <c:orientation val="minMax"/>
          <c:max val="1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Population Equivalent,</a:t>
                </a:r>
                <a:r>
                  <a:rPr lang="en-GB" baseline="0"/>
                  <a:t> PE (-)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6701312"/>
        <c:crosses val="autoZero"/>
        <c:crossBetween val="midCat"/>
      </c:valAx>
      <c:valAx>
        <c:axId val="20567013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Yearly carbon emissions per population equivalent (tCO2</a:t>
                </a:r>
                <a:r>
                  <a:rPr lang="en-GB" baseline="0"/>
                  <a:t> eq yr-1 PE-1)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3476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774868517052299"/>
          <c:y val="7.8015001413810126E-2"/>
          <c:w val="0.2984167377234031"/>
          <c:h val="4.8792159887587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v>EEP 2019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'Uk Grid Decarbonisation'!$A$47:$A$85</c:f>
              <c:numCache>
                <c:formatCode>General</c:formatCode>
                <c:ptCount val="3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</c:numCache>
            </c:numRef>
          </c:xVal>
          <c:yVal>
            <c:numRef>
              <c:f>'Uk Grid Decarbonisation'!$G$47:$G$68</c:f>
              <c:numCache>
                <c:formatCode>#,##0</c:formatCode>
                <c:ptCount val="22"/>
                <c:pt idx="0">
                  <c:v>156.00368460000001</c:v>
                </c:pt>
                <c:pt idx="1">
                  <c:v>146.94332610000001</c:v>
                </c:pt>
                <c:pt idx="2">
                  <c:v>137.19807069999999</c:v>
                </c:pt>
                <c:pt idx="3">
                  <c:v>127.27722199999999</c:v>
                </c:pt>
                <c:pt idx="4">
                  <c:v>119.1275091</c:v>
                </c:pt>
                <c:pt idx="5">
                  <c:v>128.4439879</c:v>
                </c:pt>
                <c:pt idx="6">
                  <c:v>108.2024037</c:v>
                </c:pt>
                <c:pt idx="7">
                  <c:v>90.164698819999998</c:v>
                </c:pt>
                <c:pt idx="8">
                  <c:v>85.440193519999994</c:v>
                </c:pt>
                <c:pt idx="9">
                  <c:v>91.252890870000002</c:v>
                </c:pt>
                <c:pt idx="10">
                  <c:v>98.374024410000004</c:v>
                </c:pt>
                <c:pt idx="11">
                  <c:v>89.430933350000004</c:v>
                </c:pt>
                <c:pt idx="12">
                  <c:v>82.671395329999996</c:v>
                </c:pt>
                <c:pt idx="13">
                  <c:v>83.624771969999998</c:v>
                </c:pt>
                <c:pt idx="14">
                  <c:v>84.756043939999998</c:v>
                </c:pt>
                <c:pt idx="15">
                  <c:v>86.765956680000002</c:v>
                </c:pt>
                <c:pt idx="16">
                  <c:v>78.285649039999996</c:v>
                </c:pt>
                <c:pt idx="17">
                  <c:v>71.208615530000003</c:v>
                </c:pt>
                <c:pt idx="18">
                  <c:v>67.352100280000002</c:v>
                </c:pt>
                <c:pt idx="19">
                  <c:v>69.828067779999998</c:v>
                </c:pt>
                <c:pt idx="20">
                  <c:v>68.82799593</c:v>
                </c:pt>
                <c:pt idx="21">
                  <c:v>66.82622198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CA3-4D4A-9939-180712900987}"/>
            </c:ext>
          </c:extLst>
        </c:ser>
        <c:ser>
          <c:idx val="0"/>
          <c:order val="1"/>
          <c:tx>
            <c:v>Grid Carbon Projection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'Uk Grid Decarbonisation'!$A$47:$A$85</c:f>
              <c:numCache>
                <c:formatCode>General</c:formatCode>
                <c:ptCount val="3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</c:numCache>
            </c:numRef>
          </c:xVal>
          <c:yVal>
            <c:numRef>
              <c:f>'Uk Grid Decarbonisation'!$C$47:$C$85</c:f>
              <c:numCache>
                <c:formatCode>0.00</c:formatCode>
                <c:ptCount val="39"/>
                <c:pt idx="0">
                  <c:v>146.41714746996777</c:v>
                </c:pt>
                <c:pt idx="1">
                  <c:v>140.40199799097709</c:v>
                </c:pt>
                <c:pt idx="2">
                  <c:v>134.63396453548376</c:v>
                </c:pt>
                <c:pt idx="3">
                  <c:v>129.10289501511778</c:v>
                </c:pt>
                <c:pt idx="4">
                  <c:v>123.79905441239288</c:v>
                </c:pt>
                <c:pt idx="5">
                  <c:v>118.71310764648565</c:v>
                </c:pt>
                <c:pt idx="6">
                  <c:v>113.83610314292783</c:v>
                </c:pt>
                <c:pt idx="7">
                  <c:v>109.15945707829279</c:v>
                </c:pt>
                <c:pt idx="8">
                  <c:v>104.67493827214626</c:v>
                </c:pt>
                <c:pt idx="9">
                  <c:v>100.37465369967002</c:v>
                </c:pt>
                <c:pt idx="10">
                  <c:v>96.251034599459899</c:v>
                </c:pt>
                <c:pt idx="11">
                  <c:v>92.296823152047224</c:v>
                </c:pt>
                <c:pt idx="12">
                  <c:v>88.505059705696738</c:v>
                </c:pt>
                <c:pt idx="13">
                  <c:v>84.869070526997859</c:v>
                </c:pt>
                <c:pt idx="14">
                  <c:v>81.382456054689527</c:v>
                </c:pt>
                <c:pt idx="15">
                  <c:v>78.039079636044576</c:v>
                </c:pt>
                <c:pt idx="16">
                  <c:v>74.833056725989252</c:v>
                </c:pt>
                <c:pt idx="17">
                  <c:v>71.758744529947165</c:v>
                </c:pt>
                <c:pt idx="18">
                  <c:v>68.810732072179036</c:v>
                </c:pt>
                <c:pt idx="19">
                  <c:v>65.983830672137543</c:v>
                </c:pt>
                <c:pt idx="20">
                  <c:v>63.273064812075084</c:v>
                </c:pt>
                <c:pt idx="21">
                  <c:v>60.673663379831204</c:v>
                </c:pt>
                <c:pt idx="22">
                  <c:v>58.181051271386011</c:v>
                </c:pt>
                <c:pt idx="23">
                  <c:v>55.7908413383999</c:v>
                </c:pt>
                <c:pt idx="24">
                  <c:v>53.498826666566728</c:v>
                </c:pt>
                <c:pt idx="25">
                  <c:v>51.300973171189639</c:v>
                </c:pt>
                <c:pt idx="26">
                  <c:v>49.19341249694763</c:v>
                </c:pt>
                <c:pt idx="27">
                  <c:v>47.172435209355797</c:v>
                </c:pt>
                <c:pt idx="28">
                  <c:v>45.234484265935876</c:v>
                </c:pt>
                <c:pt idx="29">
                  <c:v>43.376148755605939</c:v>
                </c:pt>
                <c:pt idx="30">
                  <c:v>41.594157895270243</c:v>
                </c:pt>
                <c:pt idx="31">
                  <c:v>39.885375273042818</c:v>
                </c:pt>
                <c:pt idx="32">
                  <c:v>38.246793327972476</c:v>
                </c:pt>
                <c:pt idx="33">
                  <c:v>36.675528056553304</c:v>
                </c:pt>
                <c:pt idx="34">
                  <c:v>35.16881393670382</c:v>
                </c:pt>
                <c:pt idx="35">
                  <c:v>33.723999060280448</c:v>
                </c:pt>
                <c:pt idx="36">
                  <c:v>32.338540465558559</c:v>
                </c:pt>
                <c:pt idx="37">
                  <c:v>31.009999661465773</c:v>
                </c:pt>
                <c:pt idx="38">
                  <c:v>29.736038335689866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A3-4D4A-9939-180712900987}"/>
            </c:ext>
          </c:extLst>
        </c:ser>
        <c:ser>
          <c:idx val="1"/>
          <c:order val="2"/>
          <c:tx>
            <c:v>Grid Carbon Projection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'Uk Grid Decarbonisation'!$A$47:$A$85</c:f>
              <c:numCache>
                <c:formatCode>General</c:formatCode>
                <c:ptCount val="3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</c:numCache>
            </c:numRef>
          </c:xVal>
          <c:yVal>
            <c:numRef>
              <c:f>'Uk Grid Decarbonisation'!$D$47:$D$85</c:f>
              <c:numCache>
                <c:formatCode>0.00</c:formatCode>
                <c:ptCount val="39"/>
                <c:pt idx="0">
                  <c:v>156.66395415325246</c:v>
                </c:pt>
                <c:pt idx="1">
                  <c:v>151.16774162929528</c:v>
                </c:pt>
                <c:pt idx="2">
                  <c:v>145.86435171263011</c:v>
                </c:pt>
                <c:pt idx="3">
                  <c:v>140.74701964339349</c:v>
                </c:pt>
                <c:pt idx="4">
                  <c:v>135.80921798854101</c:v>
                </c:pt>
                <c:pt idx="5">
                  <c:v>131.04464831575422</c:v>
                </c:pt>
                <c:pt idx="6">
                  <c:v>126.44723315945063</c:v>
                </c:pt>
                <c:pt idx="7">
                  <c:v>122.01110826864866</c:v>
                </c:pt>
                <c:pt idx="8">
                  <c:v>117.73061512679904</c:v>
                </c:pt>
                <c:pt idx="9">
                  <c:v>113.60029373404194</c:v>
                </c:pt>
                <c:pt idx="10">
                  <c:v>109.61487564268266</c:v>
                </c:pt>
                <c:pt idx="11">
                  <c:v>105.76927723700234</c:v>
                </c:pt>
                <c:pt idx="12">
                  <c:v>102.05859324883212</c:v>
                </c:pt>
                <c:pt idx="13">
                  <c:v>98.478090500618833</c:v>
                </c:pt>
                <c:pt idx="14">
                  <c:v>95.023201868001919</c:v>
                </c:pt>
                <c:pt idx="15">
                  <c:v>91.689520454199936</c:v>
                </c:pt>
                <c:pt idx="16">
                  <c:v>88.472793968776045</c:v>
                </c:pt>
                <c:pt idx="17">
                  <c:v>85.36891930361223</c:v>
                </c:pt>
                <c:pt idx="18">
                  <c:v>82.373937299173519</c:v>
                </c:pt>
                <c:pt idx="19">
                  <c:v>79.484027694386597</c:v>
                </c:pt>
                <c:pt idx="20">
                  <c:v>76.695504253690743</c:v>
                </c:pt>
                <c:pt idx="21">
                  <c:v>74.004810065045476</c:v>
                </c:pt>
                <c:pt idx="22">
                  <c:v>71.408513002897507</c:v>
                </c:pt>
                <c:pt idx="23">
                  <c:v>68.903301350319424</c:v>
                </c:pt>
                <c:pt idx="24">
                  <c:v>66.485979574736263</c:v>
                </c:pt>
                <c:pt idx="25">
                  <c:v>64.15346425185119</c:v>
                </c:pt>
                <c:pt idx="26">
                  <c:v>61.90278013257165</c:v>
                </c:pt>
                <c:pt idx="27">
                  <c:v>59.731056347918638</c:v>
                </c:pt>
                <c:pt idx="28">
                  <c:v>57.635522747078497</c:v>
                </c:pt>
                <c:pt idx="29">
                  <c:v>55.613506363926099</c:v>
                </c:pt>
                <c:pt idx="30">
                  <c:v>53.662428007512517</c:v>
                </c:pt>
                <c:pt idx="31">
                  <c:v>51.779798972167704</c:v>
                </c:pt>
                <c:pt idx="32">
                  <c:v>49.963217863022344</c:v>
                </c:pt>
                <c:pt idx="33">
                  <c:v>48.210367532899092</c:v>
                </c:pt>
                <c:pt idx="34">
                  <c:v>46.519012126666368</c:v>
                </c:pt>
                <c:pt idx="35">
                  <c:v>44.886994229284639</c:v>
                </c:pt>
                <c:pt idx="36">
                  <c:v>43.312232113907086</c:v>
                </c:pt>
                <c:pt idx="37">
                  <c:v>41.79271708652481</c:v>
                </c:pt>
                <c:pt idx="38">
                  <c:v>40.326510923769227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A3-4D4A-9939-180712900987}"/>
            </c:ext>
          </c:extLst>
        </c:ser>
        <c:ser>
          <c:idx val="2"/>
          <c:order val="3"/>
          <c:tx>
            <c:v>95% Confidence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'Uk Grid Decarbonisation'!$A$47:$A$85</c:f>
              <c:numCache>
                <c:formatCode>General</c:formatCode>
                <c:ptCount val="3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</c:numCache>
            </c:numRef>
          </c:xVal>
          <c:yVal>
            <c:numRef>
              <c:f>'Uk Grid Decarbonisation'!$E$47:$E$85</c:f>
              <c:numCache>
                <c:formatCode>0.00</c:formatCode>
                <c:ptCount val="39"/>
                <c:pt idx="0">
                  <c:v>136.29170529579355</c:v>
                </c:pt>
                <c:pt idx="1">
                  <c:v>129.87993939613648</c:v>
                </c:pt>
                <c:pt idx="2">
                  <c:v>123.76981138311956</c:v>
                </c:pt>
                <c:pt idx="3">
                  <c:v>117.94713087361266</c:v>
                </c:pt>
                <c:pt idx="4">
                  <c:v>112.39837506300385</c:v>
                </c:pt>
                <c:pt idx="5">
                  <c:v>107.1106573193469</c:v>
                </c:pt>
                <c:pt idx="6">
                  <c:v>102.07169725497943</c:v>
                </c:pt>
                <c:pt idx="7">
                  <c:v>97.269792206104839</c:v>
                </c:pt>
                <c:pt idx="8">
                  <c:v>92.693790054100958</c:v>
                </c:pt>
                <c:pt idx="9">
                  <c:v>88.333063325434807</c:v>
                </c:pt>
                <c:pt idx="10">
                  <c:v>84.177484510032386</c:v>
                </c:pt>
                <c:pt idx="11">
                  <c:v>80.217402540781421</c:v>
                </c:pt>
                <c:pt idx="12">
                  <c:v>76.443620379542878</c:v>
                </c:pt>
                <c:pt idx="13">
                  <c:v>72.847373657615535</c:v>
                </c:pt>
                <c:pt idx="14">
                  <c:v>69.420310321048049</c:v>
                </c:pt>
                <c:pt idx="15">
                  <c:v>66.154471233525484</c:v>
                </c:pt>
                <c:pt idx="16">
                  <c:v>63.042271691782325</c:v>
                </c:pt>
                <c:pt idx="17">
                  <c:v>60.07648381061211</c:v>
                </c:pt>
                <c:pt idx="18">
                  <c:v>57.250219736564517</c:v>
                </c:pt>
                <c:pt idx="19">
                  <c:v>54.556915651344397</c:v>
                </c:pt>
                <c:pt idx="20">
                  <c:v>51.990316527761827</c:v>
                </c:pt>
                <c:pt idx="21">
                  <c:v>49.544461602829948</c:v>
                </c:pt>
                <c:pt idx="22">
                  <c:v>47.213670534272538</c:v>
                </c:pt>
                <c:pt idx="23">
                  <c:v>44.992530208290908</c:v>
                </c:pt>
                <c:pt idx="24">
                  <c:v>42.875882167951843</c:v>
                </c:pt>
                <c:pt idx="25">
                  <c:v>40.858810633000012</c:v>
                </c:pt>
                <c:pt idx="26">
                  <c:v>38.936631083271379</c:v>
                </c:pt>
                <c:pt idx="27">
                  <c:v>37.10487937919352</c:v>
                </c:pt>
                <c:pt idx="28">
                  <c:v>35.359301394105792</c:v>
                </c:pt>
                <c:pt idx="29">
                  <c:v>33.695843134321137</c:v>
                </c:pt>
                <c:pt idx="30">
                  <c:v>32.110641323983948</c:v>
                </c:pt>
                <c:pt idx="31">
                  <c:v>30.600014432858</c:v>
                </c:pt>
                <c:pt idx="32">
                  <c:v>29.160454126206904</c:v>
                </c:pt>
                <c:pt idx="33">
                  <c:v>27.78861711691021</c:v>
                </c:pt>
                <c:pt idx="34">
                  <c:v>26.481317400891978</c:v>
                </c:pt>
                <c:pt idx="35">
                  <c:v>25.235518857829248</c:v>
                </c:pt>
                <c:pt idx="36">
                  <c:v>24.048328199955982</c:v>
                </c:pt>
                <c:pt idx="37">
                  <c:v>22.916988252586499</c:v>
                </c:pt>
                <c:pt idx="38">
                  <c:v>21.83887155075292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CA3-4D4A-9939-180712900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1826928"/>
        <c:axId val="741827344"/>
      </c:scatterChart>
      <c:valAx>
        <c:axId val="741826928"/>
        <c:scaling>
          <c:orientation val="minMax"/>
          <c:min val="20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827344"/>
        <c:crosses val="autoZero"/>
        <c:crossBetween val="midCat"/>
      </c:valAx>
      <c:valAx>
        <c:axId val="7418273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Carbon Emission from Grid Electricity</a:t>
                </a:r>
                <a:r>
                  <a:rPr lang="en-GB" baseline="0"/>
                  <a:t> (kg CO2 eq kWh-1)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826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'Operational Emission Summary'!$C$7</c:f>
              <c:strCache>
                <c:ptCount val="1"/>
                <c:pt idx="0">
                  <c:v>Process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'Operational Emission Summary'!$L$8:$L$22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cat>
          <c:val>
            <c:numRef>
              <c:f>'Operational Emission Summary'!$C$8:$C$22</c:f>
              <c:numCache>
                <c:formatCode>General</c:formatCode>
                <c:ptCount val="15"/>
                <c:pt idx="0">
                  <c:v>643.93574999999998</c:v>
                </c:pt>
                <c:pt idx="1">
                  <c:v>1287.8715</c:v>
                </c:pt>
                <c:pt idx="2">
                  <c:v>2575.7429999999999</c:v>
                </c:pt>
                <c:pt idx="3">
                  <c:v>3863.6145000000001</c:v>
                </c:pt>
                <c:pt idx="4">
                  <c:v>6439.3575000000001</c:v>
                </c:pt>
                <c:pt idx="5">
                  <c:v>9659.036250000001</c:v>
                </c:pt>
                <c:pt idx="6">
                  <c:v>12878.715</c:v>
                </c:pt>
                <c:pt idx="7">
                  <c:v>19318.072500000002</c:v>
                </c:pt>
                <c:pt idx="8">
                  <c:v>25757.43</c:v>
                </c:pt>
                <c:pt idx="9">
                  <c:v>38636.145000000004</c:v>
                </c:pt>
                <c:pt idx="10">
                  <c:v>51514.86</c:v>
                </c:pt>
                <c:pt idx="11">
                  <c:v>64393.575000000004</c:v>
                </c:pt>
                <c:pt idx="12">
                  <c:v>77272.290000000008</c:v>
                </c:pt>
                <c:pt idx="13">
                  <c:v>103029.72</c:v>
                </c:pt>
                <c:pt idx="14">
                  <c:v>128787.15000000001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1-4B5A-B318-870B37E1AEC0}"/>
            </c:ext>
          </c:extLst>
        </c:ser>
        <c:ser>
          <c:idx val="1"/>
          <c:order val="1"/>
          <c:tx>
            <c:strRef>
              <c:f>'Operational Emission Summary'!$D$7</c:f>
              <c:strCache>
                <c:ptCount val="1"/>
                <c:pt idx="0">
                  <c:v>Tankering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'Operational Emission Summary'!$L$8:$L$22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cat>
          <c:val>
            <c:numRef>
              <c:f>'Operational Emission Summary'!$D$8:$D$22</c:f>
              <c:numCache>
                <c:formatCode>General</c:formatCode>
                <c:ptCount val="15"/>
                <c:pt idx="0">
                  <c:v>105.22654350000001</c:v>
                </c:pt>
                <c:pt idx="1">
                  <c:v>107.74153949999999</c:v>
                </c:pt>
                <c:pt idx="2">
                  <c:v>112.77153149999998</c:v>
                </c:pt>
                <c:pt idx="3">
                  <c:v>72.915687000000005</c:v>
                </c:pt>
                <c:pt idx="4">
                  <c:v>77.092694999999992</c:v>
                </c:pt>
                <c:pt idx="5">
                  <c:v>82.313955000000007</c:v>
                </c:pt>
                <c:pt idx="6">
                  <c:v>87.535215000000008</c:v>
                </c:pt>
                <c:pt idx="7">
                  <c:v>97.97773500000001</c:v>
                </c:pt>
                <c:pt idx="8">
                  <c:v>136.38908800000002</c:v>
                </c:pt>
                <c:pt idx="9">
                  <c:v>152.59340800000004</c:v>
                </c:pt>
                <c:pt idx="10">
                  <c:v>337.59545600000007</c:v>
                </c:pt>
                <c:pt idx="11">
                  <c:v>370.00409600000006</c:v>
                </c:pt>
                <c:pt idx="12">
                  <c:v>402.41273600000011</c:v>
                </c:pt>
                <c:pt idx="13">
                  <c:v>700.84502400000008</c:v>
                </c:pt>
                <c:pt idx="14">
                  <c:v>1064.0945920000001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1-4B5A-B318-870B37E1A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062546672"/>
        <c:axId val="2062551248"/>
      </c:barChart>
      <c:catAx>
        <c:axId val="2062546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Population</a:t>
                </a:r>
                <a:r>
                  <a:rPr lang="en-GB" baseline="0">
                    <a:solidFill>
                      <a:sysClr val="windowText" lastClr="000000"/>
                    </a:solidFill>
                  </a:rPr>
                  <a:t> Equivalent, PE (-)</a:t>
                </a:r>
                <a:endParaRPr lang="en-GB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551248"/>
        <c:crosses val="autoZero"/>
        <c:auto val="1"/>
        <c:lblAlgn val="ctr"/>
        <c:lblOffset val="100"/>
        <c:noMultiLvlLbl val="0"/>
      </c:catAx>
      <c:valAx>
        <c:axId val="2062551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Operational Emissions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54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'Operational Emission Summary'!$M$7</c:f>
              <c:strCache>
                <c:ptCount val="1"/>
                <c:pt idx="0">
                  <c:v>Process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'Operational Emission Summary'!$L$8:$L$22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cat>
          <c:val>
            <c:numRef>
              <c:f>'Operational Emission Summary'!$M$8:$M$22</c:f>
              <c:numCache>
                <c:formatCode>General</c:formatCode>
                <c:ptCount val="15"/>
                <c:pt idx="0">
                  <c:v>17.4333825</c:v>
                </c:pt>
                <c:pt idx="1">
                  <c:v>34.866765000000001</c:v>
                </c:pt>
                <c:pt idx="2">
                  <c:v>69.733530000000002</c:v>
                </c:pt>
                <c:pt idx="3">
                  <c:v>104.600295</c:v>
                </c:pt>
                <c:pt idx="4">
                  <c:v>174.33382499999999</c:v>
                </c:pt>
                <c:pt idx="5">
                  <c:v>261.50073750000001</c:v>
                </c:pt>
                <c:pt idx="6">
                  <c:v>348.66764999999998</c:v>
                </c:pt>
                <c:pt idx="7">
                  <c:v>523.00147500000003</c:v>
                </c:pt>
                <c:pt idx="8">
                  <c:v>697.33530000000007</c:v>
                </c:pt>
                <c:pt idx="9">
                  <c:v>1046.0029500000001</c:v>
                </c:pt>
                <c:pt idx="10">
                  <c:v>1394.6706000000001</c:v>
                </c:pt>
                <c:pt idx="11">
                  <c:v>1743.33825</c:v>
                </c:pt>
                <c:pt idx="12">
                  <c:v>2092.0059000000001</c:v>
                </c:pt>
                <c:pt idx="13">
                  <c:v>2789.3412000000003</c:v>
                </c:pt>
                <c:pt idx="14">
                  <c:v>3486.6765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C-489F-9384-34B6DAB3EBF5}"/>
            </c:ext>
          </c:extLst>
        </c:ser>
        <c:ser>
          <c:idx val="1"/>
          <c:order val="1"/>
          <c:tx>
            <c:strRef>
              <c:f>'Operational Emission Summary'!$N$7</c:f>
              <c:strCache>
                <c:ptCount val="1"/>
                <c:pt idx="0">
                  <c:v>Tankering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'Operational Emission Summary'!$L$8:$L$22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cat>
          <c:val>
            <c:numRef>
              <c:f>'Operational Emission Summary'!$N$8:$N$22</c:f>
              <c:numCache>
                <c:formatCode>General</c:formatCode>
                <c:ptCount val="15"/>
                <c:pt idx="0">
                  <c:v>67.419252199999988</c:v>
                </c:pt>
                <c:pt idx="1">
                  <c:v>104.57958829999998</c:v>
                </c:pt>
                <c:pt idx="2">
                  <c:v>218.548495</c:v>
                </c:pt>
                <c:pt idx="3">
                  <c:v>147.53308005373586</c:v>
                </c:pt>
                <c:pt idx="4">
                  <c:v>160.05877639824908</c:v>
                </c:pt>
                <c:pt idx="5">
                  <c:v>326.83277624618052</c:v>
                </c:pt>
                <c:pt idx="6">
                  <c:v>511.8392653760929</c:v>
                </c:pt>
                <c:pt idx="7">
                  <c:v>844.72533999999996</c:v>
                </c:pt>
                <c:pt idx="8">
                  <c:v>865.04854</c:v>
                </c:pt>
                <c:pt idx="9">
                  <c:v>905.69493999999997</c:v>
                </c:pt>
                <c:pt idx="10">
                  <c:v>587.76972000000001</c:v>
                </c:pt>
                <c:pt idx="11">
                  <c:v>604.64652000000001</c:v>
                </c:pt>
                <c:pt idx="12">
                  <c:v>624.33611999999994</c:v>
                </c:pt>
                <c:pt idx="13">
                  <c:v>658.08972000000006</c:v>
                </c:pt>
                <c:pt idx="14">
                  <c:v>697.46892000000003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C-489F-9384-34B6DAB3EBF5}"/>
            </c:ext>
          </c:extLst>
        </c:ser>
        <c:ser>
          <c:idx val="2"/>
          <c:order val="2"/>
          <c:tx>
            <c:strRef>
              <c:f>'Operational Emission Summary'!$O$7</c:f>
              <c:strCache>
                <c:ptCount val="1"/>
                <c:pt idx="0">
                  <c:v>Discharge to Surface Waters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'Operational Emission Summary'!$L$8:$L$22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cat>
          <c:val>
            <c:numRef>
              <c:f>'Operational Emission Summary'!$O$8:$O$22</c:f>
              <c:numCache>
                <c:formatCode>General</c:formatCode>
                <c:ptCount val="15"/>
                <c:pt idx="0">
                  <c:v>31.626769218749999</c:v>
                </c:pt>
                <c:pt idx="1">
                  <c:v>63.253538437499998</c:v>
                </c:pt>
                <c:pt idx="2">
                  <c:v>126.507076875</c:v>
                </c:pt>
                <c:pt idx="3">
                  <c:v>189.76061531250002</c:v>
                </c:pt>
                <c:pt idx="4">
                  <c:v>316.26769218750002</c:v>
                </c:pt>
                <c:pt idx="5">
                  <c:v>474.40153828124994</c:v>
                </c:pt>
                <c:pt idx="6">
                  <c:v>632.53538437500004</c:v>
                </c:pt>
                <c:pt idx="7">
                  <c:v>948.80307656249988</c:v>
                </c:pt>
                <c:pt idx="8">
                  <c:v>1265.0707687500001</c:v>
                </c:pt>
                <c:pt idx="9">
                  <c:v>1897.6061531249998</c:v>
                </c:pt>
                <c:pt idx="10">
                  <c:v>2530.1415375000001</c:v>
                </c:pt>
                <c:pt idx="11">
                  <c:v>3162.6769218750001</c:v>
                </c:pt>
                <c:pt idx="12">
                  <c:v>3795.2123062499995</c:v>
                </c:pt>
                <c:pt idx="13">
                  <c:v>5060.2830750000003</c:v>
                </c:pt>
                <c:pt idx="14">
                  <c:v>6325.3538437500001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EC-489F-9384-34B6DAB3EBF5}"/>
            </c:ext>
          </c:extLst>
        </c:ser>
        <c:ser>
          <c:idx val="3"/>
          <c:order val="3"/>
          <c:tx>
            <c:strRef>
              <c:f>'Operational Emission Summary'!$P$7</c:f>
              <c:strCache>
                <c:ptCount val="1"/>
                <c:pt idx="0">
                  <c:v>Electrical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'Operational Emission Summary'!$L$8:$L$22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cat>
          <c:val>
            <c:numRef>
              <c:f>'Operational Emission Summary'!$P$8:$P$22</c:f>
              <c:numCache>
                <c:formatCode>General</c:formatCode>
                <c:ptCount val="15"/>
                <c:pt idx="0">
                  <c:v>103.43033274703319</c:v>
                </c:pt>
                <c:pt idx="1">
                  <c:v>258.57583186758296</c:v>
                </c:pt>
                <c:pt idx="2">
                  <c:v>541.20522949029009</c:v>
                </c:pt>
                <c:pt idx="3">
                  <c:v>841.87480142933987</c:v>
                </c:pt>
                <c:pt idx="4">
                  <c:v>1322.9461165318201</c:v>
                </c:pt>
                <c:pt idx="5">
                  <c:v>2044.5530891855396</c:v>
                </c:pt>
                <c:pt idx="6">
                  <c:v>4317.6150530447576</c:v>
                </c:pt>
                <c:pt idx="7">
                  <c:v>2381.8158421328526</c:v>
                </c:pt>
                <c:pt idx="8">
                  <c:v>3175.7544561771356</c:v>
                </c:pt>
                <c:pt idx="9">
                  <c:v>4763.6316842657052</c:v>
                </c:pt>
                <c:pt idx="10">
                  <c:v>6351.5089123542712</c:v>
                </c:pt>
                <c:pt idx="11">
                  <c:v>7939.3861404428399</c:v>
                </c:pt>
                <c:pt idx="12">
                  <c:v>9527.2633685314104</c:v>
                </c:pt>
                <c:pt idx="13">
                  <c:v>12703.017824708542</c:v>
                </c:pt>
                <c:pt idx="14">
                  <c:v>26472.81384909269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EC-489F-9384-34B6DAB3EBF5}"/>
            </c:ext>
          </c:extLst>
        </c:ser>
        <c:ser>
          <c:idx val="4"/>
          <c:order val="4"/>
          <c:tx>
            <c:strRef>
              <c:f>'Operational Emission Summary'!$Q$7</c:f>
              <c:strCache>
                <c:ptCount val="1"/>
                <c:pt idx="0">
                  <c:v>Site Visits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'Operational Emission Summary'!$L$8:$L$22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cat>
          <c:val>
            <c:numRef>
              <c:f>'Operational Emission Summary'!$Q$8:$Q$22</c:f>
              <c:numCache>
                <c:formatCode>General</c:formatCode>
                <c:ptCount val="15"/>
                <c:pt idx="0">
                  <c:v>331.76</c:v>
                </c:pt>
                <c:pt idx="1">
                  <c:v>331.76</c:v>
                </c:pt>
                <c:pt idx="2">
                  <c:v>331.76</c:v>
                </c:pt>
                <c:pt idx="3">
                  <c:v>331.76</c:v>
                </c:pt>
                <c:pt idx="4">
                  <c:v>331.76</c:v>
                </c:pt>
                <c:pt idx="5">
                  <c:v>331.76</c:v>
                </c:pt>
                <c:pt idx="6">
                  <c:v>331.76</c:v>
                </c:pt>
                <c:pt idx="7">
                  <c:v>331.76</c:v>
                </c:pt>
                <c:pt idx="8">
                  <c:v>331.76</c:v>
                </c:pt>
                <c:pt idx="9">
                  <c:v>331.76</c:v>
                </c:pt>
                <c:pt idx="10">
                  <c:v>331.76</c:v>
                </c:pt>
                <c:pt idx="11">
                  <c:v>331.76</c:v>
                </c:pt>
                <c:pt idx="12">
                  <c:v>331.76</c:v>
                </c:pt>
                <c:pt idx="13">
                  <c:v>331.76</c:v>
                </c:pt>
                <c:pt idx="14">
                  <c:v>331.76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EC-489F-9384-34B6DAB3EBF5}"/>
            </c:ext>
          </c:extLst>
        </c:ser>
        <c:ser>
          <c:idx val="5"/>
          <c:order val="5"/>
          <c:tx>
            <c:strRef>
              <c:f>'Operational Emission Summary'!$R$7</c:f>
              <c:strCache>
                <c:ptCount val="1"/>
                <c:pt idx="0">
                  <c:v>Maintanence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'Operational Emission Summary'!$L$8:$L$22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cat>
          <c:val>
            <c:numRef>
              <c:f>'Operational Emission Summary'!$R$8:$R$22</c:f>
              <c:numCache>
                <c:formatCode>General</c:formatCode>
                <c:ptCount val="15"/>
                <c:pt idx="0">
                  <c:v>55.302500000000002</c:v>
                </c:pt>
                <c:pt idx="1">
                  <c:v>62.627499999999998</c:v>
                </c:pt>
                <c:pt idx="2">
                  <c:v>75.414999999999992</c:v>
                </c:pt>
                <c:pt idx="3">
                  <c:v>65.914999999999992</c:v>
                </c:pt>
                <c:pt idx="4">
                  <c:v>68.789999999999992</c:v>
                </c:pt>
                <c:pt idx="5">
                  <c:v>75.289999999999992</c:v>
                </c:pt>
                <c:pt idx="6">
                  <c:v>83.164999999999992</c:v>
                </c:pt>
                <c:pt idx="7">
                  <c:v>83.164999999999992</c:v>
                </c:pt>
                <c:pt idx="8">
                  <c:v>83.164999999999992</c:v>
                </c:pt>
                <c:pt idx="9">
                  <c:v>83.164999999999992</c:v>
                </c:pt>
                <c:pt idx="10">
                  <c:v>83.164999999999992</c:v>
                </c:pt>
                <c:pt idx="11">
                  <c:v>83.164999999999992</c:v>
                </c:pt>
                <c:pt idx="12">
                  <c:v>83.164999999999992</c:v>
                </c:pt>
                <c:pt idx="13">
                  <c:v>83.164999999999992</c:v>
                </c:pt>
                <c:pt idx="14">
                  <c:v>83.164999999999992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EC-489F-9384-34B6DAB3E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91040928"/>
        <c:axId val="291031776"/>
      </c:barChart>
      <c:catAx>
        <c:axId val="291040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Population Equivalent,</a:t>
                </a:r>
                <a:r>
                  <a:rPr lang="en-GB" baseline="0">
                    <a:solidFill>
                      <a:sysClr val="windowText" lastClr="000000"/>
                    </a:solidFill>
                  </a:rPr>
                  <a:t> PE (-)</a:t>
                </a:r>
                <a:endParaRPr lang="en-GB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031776"/>
        <c:crosses val="autoZero"/>
        <c:auto val="1"/>
        <c:lblAlgn val="ctr"/>
        <c:lblOffset val="100"/>
        <c:noMultiLvlLbl val="0"/>
      </c:catAx>
      <c:valAx>
        <c:axId val="291031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Operational Emissions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04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'Operational Emission Summary'!$Z$7</c:f>
              <c:strCache>
                <c:ptCount val="1"/>
                <c:pt idx="0">
                  <c:v>Process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'Operational Emission Summary'!$L$8:$L$22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cat>
          <c:val>
            <c:numRef>
              <c:f>'Operational Emission Summary'!$Z$8:$Z$22</c:f>
              <c:numCache>
                <c:formatCode>General</c:formatCode>
                <c:ptCount val="15"/>
                <c:pt idx="0">
                  <c:v>12.380795226514442</c:v>
                </c:pt>
                <c:pt idx="1">
                  <c:v>24.761590453028884</c:v>
                </c:pt>
                <c:pt idx="2">
                  <c:v>49.523180906057767</c:v>
                </c:pt>
                <c:pt idx="3">
                  <c:v>74.284771359086662</c:v>
                </c:pt>
                <c:pt idx="4">
                  <c:v>123.80795226514442</c:v>
                </c:pt>
                <c:pt idx="5">
                  <c:v>185.71192839771666</c:v>
                </c:pt>
                <c:pt idx="6">
                  <c:v>247.61590453028884</c:v>
                </c:pt>
                <c:pt idx="7">
                  <c:v>371.42385679543332</c:v>
                </c:pt>
                <c:pt idx="8">
                  <c:v>495.23180906057769</c:v>
                </c:pt>
                <c:pt idx="9">
                  <c:v>742.84771359086665</c:v>
                </c:pt>
                <c:pt idx="10">
                  <c:v>990.46361812115538</c:v>
                </c:pt>
                <c:pt idx="11">
                  <c:v>1238.0795226514442</c:v>
                </c:pt>
                <c:pt idx="12">
                  <c:v>1485.6954271817333</c:v>
                </c:pt>
                <c:pt idx="13">
                  <c:v>1980.9272362423108</c:v>
                </c:pt>
                <c:pt idx="14">
                  <c:v>2476.1590453028884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E-4237-B7BC-E0872BD12E1D}"/>
            </c:ext>
          </c:extLst>
        </c:ser>
        <c:ser>
          <c:idx val="1"/>
          <c:order val="1"/>
          <c:tx>
            <c:strRef>
              <c:f>'Operational Emission Summary'!$AA$7</c:f>
              <c:strCache>
                <c:ptCount val="1"/>
                <c:pt idx="0">
                  <c:v>Tankering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'Operational Emission Summary'!$L$8:$L$22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cat>
          <c:val>
            <c:numRef>
              <c:f>'Operational Emission Summary'!$AA$8:$AA$22</c:f>
              <c:numCache>
                <c:formatCode>General</c:formatCode>
                <c:ptCount val="15"/>
                <c:pt idx="0">
                  <c:v>21.581622998199641</c:v>
                </c:pt>
                <c:pt idx="1">
                  <c:v>7.4413225794792854</c:v>
                </c:pt>
                <c:pt idx="2">
                  <c:v>8.240678193940715</c:v>
                </c:pt>
                <c:pt idx="3">
                  <c:v>9.9735668873657133</c:v>
                </c:pt>
                <c:pt idx="4">
                  <c:v>10.935978876428571</c:v>
                </c:pt>
                <c:pt idx="5">
                  <c:v>10.334471383264288</c:v>
                </c:pt>
                <c:pt idx="6">
                  <c:v>10.935978876428571</c:v>
                </c:pt>
                <c:pt idx="7">
                  <c:v>23.693665733571429</c:v>
                </c:pt>
                <c:pt idx="8">
                  <c:v>27.946228019285716</c:v>
                </c:pt>
                <c:pt idx="9">
                  <c:v>32.198790305000003</c:v>
                </c:pt>
                <c:pt idx="10">
                  <c:v>40.70391487642857</c:v>
                </c:pt>
                <c:pt idx="11">
                  <c:v>49.209039447857151</c:v>
                </c:pt>
                <c:pt idx="12">
                  <c:v>57.714164019285718</c:v>
                </c:pt>
                <c:pt idx="13">
                  <c:v>74.724413162142866</c:v>
                </c:pt>
                <c:pt idx="14">
                  <c:v>91.734662305000001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4E-4237-B7BC-E0872BD12E1D}"/>
            </c:ext>
          </c:extLst>
        </c:ser>
        <c:ser>
          <c:idx val="2"/>
          <c:order val="2"/>
          <c:tx>
            <c:strRef>
              <c:f>'Operational Emission Summary'!$AB$7</c:f>
              <c:strCache>
                <c:ptCount val="1"/>
                <c:pt idx="0">
                  <c:v>Discharge to Surface Waters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'Operational Emission Summary'!$L$8:$L$22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cat>
          <c:val>
            <c:numRef>
              <c:f>'Operational Emission Summary'!$AB$8:$AB$22</c:f>
              <c:numCache>
                <c:formatCode>General</c:formatCode>
                <c:ptCount val="15"/>
                <c:pt idx="0">
                  <c:v>31.626769218749999</c:v>
                </c:pt>
                <c:pt idx="1">
                  <c:v>63.253538437499998</c:v>
                </c:pt>
                <c:pt idx="2">
                  <c:v>126.507076875</c:v>
                </c:pt>
                <c:pt idx="3">
                  <c:v>189.76061531250002</c:v>
                </c:pt>
                <c:pt idx="4">
                  <c:v>316.26769218750002</c:v>
                </c:pt>
                <c:pt idx="5">
                  <c:v>474.40153828124994</c:v>
                </c:pt>
                <c:pt idx="6">
                  <c:v>632.53538437500004</c:v>
                </c:pt>
                <c:pt idx="7">
                  <c:v>948.80307656249988</c:v>
                </c:pt>
                <c:pt idx="8">
                  <c:v>1265.0707687500001</c:v>
                </c:pt>
                <c:pt idx="9">
                  <c:v>1897.6061531249998</c:v>
                </c:pt>
                <c:pt idx="10">
                  <c:v>2530.1415375000001</c:v>
                </c:pt>
                <c:pt idx="11">
                  <c:v>3162.6769218750001</c:v>
                </c:pt>
                <c:pt idx="12">
                  <c:v>3795.2123062499995</c:v>
                </c:pt>
                <c:pt idx="13">
                  <c:v>5060.2830750000003</c:v>
                </c:pt>
                <c:pt idx="14">
                  <c:v>6325.3538437500001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4E-4237-B7BC-E0872BD12E1D}"/>
            </c:ext>
          </c:extLst>
        </c:ser>
        <c:ser>
          <c:idx val="3"/>
          <c:order val="3"/>
          <c:tx>
            <c:strRef>
              <c:f>'Operational Emission Summary'!$AC$7</c:f>
              <c:strCache>
                <c:ptCount val="1"/>
                <c:pt idx="0">
                  <c:v>Electrical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'Operational Emission Summary'!$L$8:$L$22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cat>
          <c:val>
            <c:numRef>
              <c:f>'Operational Emission Summary'!$AC$8:$AC$22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4E-4237-B7BC-E0872BD12E1D}"/>
            </c:ext>
          </c:extLst>
        </c:ser>
        <c:ser>
          <c:idx val="4"/>
          <c:order val="4"/>
          <c:tx>
            <c:strRef>
              <c:f>'Operational Emission Summary'!$AD$7</c:f>
              <c:strCache>
                <c:ptCount val="1"/>
                <c:pt idx="0">
                  <c:v>Site Visits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'Operational Emission Summary'!$L$8:$L$22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cat>
          <c:val>
            <c:numRef>
              <c:f>'Operational Emission Summary'!$AD$8:$AD$22</c:f>
              <c:numCache>
                <c:formatCode>General</c:formatCode>
                <c:ptCount val="15"/>
                <c:pt idx="0">
                  <c:v>331.76</c:v>
                </c:pt>
                <c:pt idx="1">
                  <c:v>331.76</c:v>
                </c:pt>
                <c:pt idx="2">
                  <c:v>331.76</c:v>
                </c:pt>
                <c:pt idx="3">
                  <c:v>331.76</c:v>
                </c:pt>
                <c:pt idx="4">
                  <c:v>331.76</c:v>
                </c:pt>
                <c:pt idx="5">
                  <c:v>331.76</c:v>
                </c:pt>
                <c:pt idx="6">
                  <c:v>331.76</c:v>
                </c:pt>
                <c:pt idx="7">
                  <c:v>331.76</c:v>
                </c:pt>
                <c:pt idx="8">
                  <c:v>331.76</c:v>
                </c:pt>
                <c:pt idx="9">
                  <c:v>331.76</c:v>
                </c:pt>
                <c:pt idx="10">
                  <c:v>331.76</c:v>
                </c:pt>
                <c:pt idx="11">
                  <c:v>331.76</c:v>
                </c:pt>
                <c:pt idx="12">
                  <c:v>331.76</c:v>
                </c:pt>
                <c:pt idx="13">
                  <c:v>331.76</c:v>
                </c:pt>
                <c:pt idx="14">
                  <c:v>331.76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4E-4237-B7BC-E0872BD12E1D}"/>
            </c:ext>
          </c:extLst>
        </c:ser>
        <c:ser>
          <c:idx val="5"/>
          <c:order val="5"/>
          <c:tx>
            <c:strRef>
              <c:f>'Operational Emission Summary'!$AE$7</c:f>
              <c:strCache>
                <c:ptCount val="1"/>
                <c:pt idx="0">
                  <c:v>Maintanence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'Operational Emission Summary'!$L$8:$L$22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cat>
          <c:val>
            <c:numRef>
              <c:f>'Operational Emission Summary'!$AE$8:$AE$22</c:f>
              <c:numCache>
                <c:formatCode>General</c:formatCode>
                <c:ptCount val="15"/>
                <c:pt idx="0">
                  <c:v>28.732857142857124</c:v>
                </c:pt>
                <c:pt idx="1">
                  <c:v>31.995714285714268</c:v>
                </c:pt>
                <c:pt idx="2">
                  <c:v>38.35714285714284</c:v>
                </c:pt>
                <c:pt idx="3">
                  <c:v>44.941428571428553</c:v>
                </c:pt>
                <c:pt idx="4">
                  <c:v>58.027142857142842</c:v>
                </c:pt>
                <c:pt idx="5">
                  <c:v>73.948571428571412</c:v>
                </c:pt>
                <c:pt idx="6">
                  <c:v>89.948571428571412</c:v>
                </c:pt>
                <c:pt idx="7">
                  <c:v>153.49142857142854</c:v>
                </c:pt>
                <c:pt idx="8">
                  <c:v>196.37714285714284</c:v>
                </c:pt>
                <c:pt idx="9">
                  <c:v>281.39142857142855</c:v>
                </c:pt>
                <c:pt idx="10">
                  <c:v>366.44857142857143</c:v>
                </c:pt>
                <c:pt idx="11">
                  <c:v>450.37714285714281</c:v>
                </c:pt>
                <c:pt idx="12">
                  <c:v>536.23428571428576</c:v>
                </c:pt>
                <c:pt idx="13">
                  <c:v>622.80571428571432</c:v>
                </c:pt>
                <c:pt idx="14">
                  <c:v>712.66285714285709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4E-4237-B7BC-E0872BD12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051666240"/>
        <c:axId val="2051677472"/>
      </c:barChart>
      <c:catAx>
        <c:axId val="2051666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Population Equivalent, PE (-)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677472"/>
        <c:crosses val="autoZero"/>
        <c:auto val="1"/>
        <c:lblAlgn val="ctr"/>
        <c:lblOffset val="100"/>
        <c:noMultiLvlLbl val="0"/>
      </c:catAx>
      <c:valAx>
        <c:axId val="20516774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Operational Emissions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66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'Operational Emission Summary'!$AM$7</c:f>
              <c:strCache>
                <c:ptCount val="1"/>
                <c:pt idx="0">
                  <c:v>Process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'Operational Emission Summary'!$Y$8:$Y$22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cat>
          <c:val>
            <c:numRef>
              <c:f>'Operational Emission Summary'!$AM$8:$AM$22</c:f>
              <c:numCache>
                <c:formatCode>General</c:formatCode>
                <c:ptCount val="15"/>
                <c:pt idx="0">
                  <c:v>8.1528849421394458</c:v>
                </c:pt>
                <c:pt idx="1">
                  <c:v>16.305769884278892</c:v>
                </c:pt>
                <c:pt idx="2">
                  <c:v>32.611539768557783</c:v>
                </c:pt>
                <c:pt idx="3">
                  <c:v>48.917309652836657</c:v>
                </c:pt>
                <c:pt idx="4">
                  <c:v>81.528849421394426</c:v>
                </c:pt>
                <c:pt idx="5">
                  <c:v>122.29327413209165</c:v>
                </c:pt>
                <c:pt idx="6">
                  <c:v>163.05769884278885</c:v>
                </c:pt>
                <c:pt idx="7">
                  <c:v>244.58654826418331</c:v>
                </c:pt>
                <c:pt idx="8">
                  <c:v>326.1153976855777</c:v>
                </c:pt>
                <c:pt idx="9">
                  <c:v>489.17309652836661</c:v>
                </c:pt>
                <c:pt idx="10">
                  <c:v>652.23079537115541</c:v>
                </c:pt>
                <c:pt idx="11">
                  <c:v>815.28849421394432</c:v>
                </c:pt>
                <c:pt idx="12">
                  <c:v>978.34619305673323</c:v>
                </c:pt>
                <c:pt idx="13">
                  <c:v>1304.4615907423108</c:v>
                </c:pt>
                <c:pt idx="14">
                  <c:v>1630.5769884278886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1-4A27-BA27-B9E3378A7A36}"/>
            </c:ext>
          </c:extLst>
        </c:ser>
        <c:ser>
          <c:idx val="1"/>
          <c:order val="1"/>
          <c:tx>
            <c:strRef>
              <c:f>'Operational Emission Summary'!$AN$7</c:f>
              <c:strCache>
                <c:ptCount val="1"/>
                <c:pt idx="0">
                  <c:v>Tankering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'Operational Emission Summary'!$Y$8:$Y$22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cat>
          <c:val>
            <c:numRef>
              <c:f>'Operational Emission Summary'!$AN$8:$AN$22</c:f>
              <c:numCache>
                <c:formatCode>General</c:formatCode>
                <c:ptCount val="15"/>
                <c:pt idx="0">
                  <c:v>21.581622998199641</c:v>
                </c:pt>
                <c:pt idx="1">
                  <c:v>7.4413225794792854</c:v>
                </c:pt>
                <c:pt idx="2">
                  <c:v>8.240678193940715</c:v>
                </c:pt>
                <c:pt idx="3">
                  <c:v>9.9735668873657133</c:v>
                </c:pt>
                <c:pt idx="4">
                  <c:v>10.935978876428571</c:v>
                </c:pt>
                <c:pt idx="5">
                  <c:v>10.334471383264288</c:v>
                </c:pt>
                <c:pt idx="6">
                  <c:v>10.935978876428571</c:v>
                </c:pt>
                <c:pt idx="7">
                  <c:v>23.693665733571429</c:v>
                </c:pt>
                <c:pt idx="8">
                  <c:v>27.946228019285716</c:v>
                </c:pt>
                <c:pt idx="9">
                  <c:v>32.198790305000003</c:v>
                </c:pt>
                <c:pt idx="10">
                  <c:v>40.70391487642857</c:v>
                </c:pt>
                <c:pt idx="11">
                  <c:v>49.209039447857151</c:v>
                </c:pt>
                <c:pt idx="12">
                  <c:v>57.714164019285718</c:v>
                </c:pt>
                <c:pt idx="13">
                  <c:v>74.724413162142866</c:v>
                </c:pt>
                <c:pt idx="14">
                  <c:v>91.734662305000001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1-4A27-BA27-B9E3378A7A36}"/>
            </c:ext>
          </c:extLst>
        </c:ser>
        <c:ser>
          <c:idx val="2"/>
          <c:order val="2"/>
          <c:tx>
            <c:strRef>
              <c:f>'Operational Emission Summary'!$AO$7</c:f>
              <c:strCache>
                <c:ptCount val="1"/>
                <c:pt idx="0">
                  <c:v>Discharge to Surface Waters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'Operational Emission Summary'!$Y$8:$Y$22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cat>
          <c:val>
            <c:numRef>
              <c:f>'Operational Emission Summary'!$AO$8:$AO$22</c:f>
              <c:numCache>
                <c:formatCode>General</c:formatCode>
                <c:ptCount val="15"/>
                <c:pt idx="0">
                  <c:v>31.626769218749999</c:v>
                </c:pt>
                <c:pt idx="1">
                  <c:v>63.253538437499998</c:v>
                </c:pt>
                <c:pt idx="2">
                  <c:v>126.507076875</c:v>
                </c:pt>
                <c:pt idx="3">
                  <c:v>189.76061531250002</c:v>
                </c:pt>
                <c:pt idx="4">
                  <c:v>316.26769218750002</c:v>
                </c:pt>
                <c:pt idx="5">
                  <c:v>474.40153828124994</c:v>
                </c:pt>
                <c:pt idx="6">
                  <c:v>632.53538437500004</c:v>
                </c:pt>
                <c:pt idx="7">
                  <c:v>948.80307656249988</c:v>
                </c:pt>
                <c:pt idx="8">
                  <c:v>1265.0707687500001</c:v>
                </c:pt>
                <c:pt idx="9">
                  <c:v>1897.6061531249998</c:v>
                </c:pt>
                <c:pt idx="10">
                  <c:v>2530.1415375000001</c:v>
                </c:pt>
                <c:pt idx="11">
                  <c:v>3162.6769218750001</c:v>
                </c:pt>
                <c:pt idx="12">
                  <c:v>3795.2123062499995</c:v>
                </c:pt>
                <c:pt idx="13">
                  <c:v>5060.2830750000003</c:v>
                </c:pt>
                <c:pt idx="14">
                  <c:v>6325.3538437500001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1-4A27-BA27-B9E3378A7A36}"/>
            </c:ext>
          </c:extLst>
        </c:ser>
        <c:ser>
          <c:idx val="3"/>
          <c:order val="3"/>
          <c:tx>
            <c:strRef>
              <c:f>'Operational Emission Summary'!$AP$7</c:f>
              <c:strCache>
                <c:ptCount val="1"/>
                <c:pt idx="0">
                  <c:v>Electrical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'Operational Emission Summary'!$Y$8:$Y$22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cat>
          <c:val>
            <c:numRef>
              <c:f>'Operational Emission Summary'!$AP$8:$AP$22</c:f>
              <c:numCache>
                <c:formatCode>General</c:formatCode>
                <c:ptCount val="15"/>
                <c:pt idx="0">
                  <c:v>35.381805879925132</c:v>
                </c:pt>
                <c:pt idx="1">
                  <c:v>70.763611759850264</c:v>
                </c:pt>
                <c:pt idx="2">
                  <c:v>436.37560585240993</c:v>
                </c:pt>
                <c:pt idx="3">
                  <c:v>436.37560585240993</c:v>
                </c:pt>
                <c:pt idx="4">
                  <c:v>436.37560585240993</c:v>
                </c:pt>
                <c:pt idx="5">
                  <c:v>436.37560585240993</c:v>
                </c:pt>
                <c:pt idx="6">
                  <c:v>436.37560585240993</c:v>
                </c:pt>
                <c:pt idx="7">
                  <c:v>471.75741173233513</c:v>
                </c:pt>
                <c:pt idx="8">
                  <c:v>471.75741173233513</c:v>
                </c:pt>
                <c:pt idx="9">
                  <c:v>707.63611759850266</c:v>
                </c:pt>
                <c:pt idx="10">
                  <c:v>707.63611759850266</c:v>
                </c:pt>
                <c:pt idx="11">
                  <c:v>707.63611759850266</c:v>
                </c:pt>
                <c:pt idx="12">
                  <c:v>1297.3328822639214</c:v>
                </c:pt>
                <c:pt idx="13">
                  <c:v>2594.6657645278428</c:v>
                </c:pt>
                <c:pt idx="14">
                  <c:v>2594.6657645278428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B1-4A27-BA27-B9E3378A7A36}"/>
            </c:ext>
          </c:extLst>
        </c:ser>
        <c:ser>
          <c:idx val="4"/>
          <c:order val="4"/>
          <c:tx>
            <c:strRef>
              <c:f>'Operational Emission Summary'!$AQ$7</c:f>
              <c:strCache>
                <c:ptCount val="1"/>
                <c:pt idx="0">
                  <c:v>Site Visits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'Operational Emission Summary'!$Y$8:$Y$22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cat>
          <c:val>
            <c:numRef>
              <c:f>'Operational Emission Summary'!$AQ$8:$AQ$22</c:f>
              <c:numCache>
                <c:formatCode>General</c:formatCode>
                <c:ptCount val="15"/>
                <c:pt idx="0">
                  <c:v>331.76</c:v>
                </c:pt>
                <c:pt idx="1">
                  <c:v>331.76</c:v>
                </c:pt>
                <c:pt idx="2">
                  <c:v>331.76</c:v>
                </c:pt>
                <c:pt idx="3">
                  <c:v>331.76</c:v>
                </c:pt>
                <c:pt idx="4">
                  <c:v>331.76</c:v>
                </c:pt>
                <c:pt idx="5">
                  <c:v>331.76</c:v>
                </c:pt>
                <c:pt idx="6">
                  <c:v>331.76</c:v>
                </c:pt>
                <c:pt idx="7">
                  <c:v>331.76</c:v>
                </c:pt>
                <c:pt idx="8">
                  <c:v>331.76</c:v>
                </c:pt>
                <c:pt idx="9">
                  <c:v>331.76</c:v>
                </c:pt>
                <c:pt idx="10">
                  <c:v>331.76</c:v>
                </c:pt>
                <c:pt idx="11">
                  <c:v>331.76</c:v>
                </c:pt>
                <c:pt idx="12">
                  <c:v>331.76</c:v>
                </c:pt>
                <c:pt idx="13">
                  <c:v>331.76</c:v>
                </c:pt>
                <c:pt idx="14">
                  <c:v>331.76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B1-4A27-BA27-B9E3378A7A36}"/>
            </c:ext>
          </c:extLst>
        </c:ser>
        <c:ser>
          <c:idx val="5"/>
          <c:order val="5"/>
          <c:tx>
            <c:strRef>
              <c:f>'Operational Emission Summary'!$AR$7</c:f>
              <c:strCache>
                <c:ptCount val="1"/>
                <c:pt idx="0">
                  <c:v>Maintanence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'Operational Emission Summary'!$Y$8:$Y$22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cat>
          <c:val>
            <c:numRef>
              <c:f>'Operational Emission Summary'!$AR$8:$AR$22</c:f>
              <c:numCache>
                <c:formatCode>General</c:formatCode>
                <c:ptCount val="15"/>
                <c:pt idx="0">
                  <c:v>47.791190476190479</c:v>
                </c:pt>
                <c:pt idx="1">
                  <c:v>59.925119047619049</c:v>
                </c:pt>
                <c:pt idx="2">
                  <c:v>101.28761904761905</c:v>
                </c:pt>
                <c:pt idx="3">
                  <c:v>120.11619047619048</c:v>
                </c:pt>
                <c:pt idx="4">
                  <c:v>154.48761904761906</c:v>
                </c:pt>
                <c:pt idx="5">
                  <c:v>226.71619047619049</c:v>
                </c:pt>
                <c:pt idx="6">
                  <c:v>274.00190476190477</c:v>
                </c:pt>
                <c:pt idx="7">
                  <c:v>364.42333333333329</c:v>
                </c:pt>
                <c:pt idx="8">
                  <c:v>472.56619047619046</c:v>
                </c:pt>
                <c:pt idx="9">
                  <c:v>655.70904761904762</c:v>
                </c:pt>
                <c:pt idx="10">
                  <c:v>870.13761904761895</c:v>
                </c:pt>
                <c:pt idx="11">
                  <c:v>1053.4233333333334</c:v>
                </c:pt>
                <c:pt idx="12">
                  <c:v>1207.8269047619046</c:v>
                </c:pt>
                <c:pt idx="13">
                  <c:v>1430.3804761904762</c:v>
                </c:pt>
                <c:pt idx="14">
                  <c:v>1609.5233333333333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B1-4A27-BA27-B9E3378A7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056698400"/>
        <c:axId val="2056699648"/>
      </c:barChart>
      <c:catAx>
        <c:axId val="2056698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Population Equivlanet,</a:t>
                </a:r>
                <a:r>
                  <a:rPr lang="en-GB" baseline="0">
                    <a:solidFill>
                      <a:sysClr val="windowText" lastClr="000000"/>
                    </a:solidFill>
                  </a:rPr>
                  <a:t> PE (-)</a:t>
                </a:r>
                <a:endParaRPr lang="en-GB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6699648"/>
        <c:crosses val="autoZero"/>
        <c:auto val="1"/>
        <c:lblAlgn val="ctr"/>
        <c:lblOffset val="100"/>
        <c:noMultiLvlLbl val="0"/>
      </c:catAx>
      <c:valAx>
        <c:axId val="2056699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Operational</a:t>
                </a:r>
                <a:r>
                  <a:rPr lang="en-GB" baseline="0">
                    <a:solidFill>
                      <a:sysClr val="windowText" lastClr="000000"/>
                    </a:solidFill>
                  </a:rPr>
                  <a:t> Emission (%)</a:t>
                </a:r>
                <a:endParaRPr lang="en-GB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669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'Operational Emission Summary'!$BV$28</c:f>
              <c:strCache>
                <c:ptCount val="1"/>
                <c:pt idx="0">
                  <c:v>SAF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'Operational Emission Summary'!$AL$29:$AL$35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'Operational Emission Summary'!$BV$29:$BV$35</c:f>
              <c:numCache>
                <c:formatCode>General</c:formatCode>
                <c:ptCount val="7"/>
                <c:pt idx="0">
                  <c:v>0.12139444733315663</c:v>
                </c:pt>
                <c:pt idx="1">
                  <c:v>8.556632236050829E-2</c:v>
                </c:pt>
                <c:pt idx="2">
                  <c:v>6.8158466568264506E-2</c:v>
                </c:pt>
                <c:pt idx="3">
                  <c:v>5.6048126393185856E-2</c:v>
                </c:pt>
                <c:pt idx="4">
                  <c:v>4.7483128202351378E-2</c:v>
                </c:pt>
                <c:pt idx="5">
                  <c:v>4.6857841882839604E-2</c:v>
                </c:pt>
                <c:pt idx="6">
                  <c:v>6.2255823527958498E-2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7-49A5-925E-35CB2B4D62F1}"/>
            </c:ext>
          </c:extLst>
        </c:ser>
        <c:ser>
          <c:idx val="1"/>
          <c:order val="1"/>
          <c:tx>
            <c:strRef>
              <c:f>'Operational Emission Summary'!$BW$28</c:f>
              <c:strCache>
                <c:ptCount val="1"/>
                <c:pt idx="0">
                  <c:v>SAF 2030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'Operational Emission Summary'!$AL$29:$AL$35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'Operational Emission Summary'!$BW$29:$BW$35</c:f>
              <c:numCache>
                <c:formatCode>General</c:formatCode>
                <c:ptCount val="7"/>
                <c:pt idx="0">
                  <c:v>2.9234871367666254E-2</c:v>
                </c:pt>
                <c:pt idx="1">
                  <c:v>3.1766154639592814E-2</c:v>
                </c:pt>
                <c:pt idx="2">
                  <c:v>3.2782513788148088E-2</c:v>
                </c:pt>
                <c:pt idx="3">
                  <c:v>3.0451889120573051E-2</c:v>
                </c:pt>
                <c:pt idx="4">
                  <c:v>2.8619251340323365E-2</c:v>
                </c:pt>
                <c:pt idx="5">
                  <c:v>2.9544550488005337E-2</c:v>
                </c:pt>
                <c:pt idx="6">
                  <c:v>4.0202479368071267E-2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7-49A5-925E-35CB2B4D62F1}"/>
            </c:ext>
          </c:extLst>
        </c:ser>
        <c:ser>
          <c:idx val="2"/>
          <c:order val="2"/>
          <c:tx>
            <c:strRef>
              <c:f>'Operational Emission Summary'!$BX$28</c:f>
              <c:strCache>
                <c:ptCount val="1"/>
                <c:pt idx="0">
                  <c:v>ABR-VF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'Operational Emission Summary'!$AL$29:$AL$35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'Operational Emission Summary'!$BX$29:$BX$35</c:f>
              <c:numCache>
                <c:formatCode>General</c:formatCode>
                <c:ptCount val="7"/>
                <c:pt idx="0">
                  <c:v>8.5216408917264244E-2</c:v>
                </c:pt>
                <c:pt idx="1">
                  <c:v>4.5921216575572243E-2</c:v>
                </c:pt>
                <c:pt idx="2">
                  <c:v>2.7719403941607067E-2</c:v>
                </c:pt>
                <c:pt idx="3">
                  <c:v>2.1690679404346033E-2</c:v>
                </c:pt>
                <c:pt idx="4">
                  <c:v>1.6815975323724315E-2</c:v>
                </c:pt>
                <c:pt idx="5">
                  <c:v>1.4348753459877361E-2</c:v>
                </c:pt>
                <c:pt idx="6">
                  <c:v>1.3127958392102887E-2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F7-49A5-925E-35CB2B4D62F1}"/>
            </c:ext>
          </c:extLst>
        </c:ser>
        <c:ser>
          <c:idx val="3"/>
          <c:order val="3"/>
          <c:tx>
            <c:strRef>
              <c:f>'Operational Emission Summary'!$BY$28</c:f>
              <c:strCache>
                <c:ptCount val="1"/>
                <c:pt idx="0">
                  <c:v>ABR-VF 2030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'Operational Emission Summary'!$AL$29:$AL$35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'Operational Emission Summary'!$BY$29:$BY$35</c:f>
              <c:numCache>
                <c:formatCode>General</c:formatCode>
                <c:ptCount val="7"/>
                <c:pt idx="0">
                  <c:v>1.1083468763532263E-2</c:v>
                </c:pt>
                <c:pt idx="1">
                  <c:v>9.7371012448344042E-3</c:v>
                </c:pt>
                <c:pt idx="2">
                  <c:v>9.6024063810669514E-3</c:v>
                </c:pt>
                <c:pt idx="3">
                  <c:v>9.5766369458293796E-3</c:v>
                </c:pt>
                <c:pt idx="4">
                  <c:v>9.5355389469908205E-3</c:v>
                </c:pt>
                <c:pt idx="5">
                  <c:v>9.5001337510648275E-3</c:v>
                </c:pt>
                <c:pt idx="6">
                  <c:v>9.4877402037361405E-3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F7-49A5-925E-35CB2B4D62F1}"/>
            </c:ext>
          </c:extLst>
        </c:ser>
        <c:ser>
          <c:idx val="4"/>
          <c:order val="4"/>
          <c:tx>
            <c:strRef>
              <c:f>'Operational Emission Summary'!$BZ$28</c:f>
              <c:strCache>
                <c:ptCount val="1"/>
                <c:pt idx="0">
                  <c:v>ABR-AHF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'Operational Emission Summary'!$AL$29:$AL$35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'Operational Emission Summary'!$BZ$29:$BZ$35</c:f>
              <c:numCache>
                <c:formatCode>General</c:formatCode>
                <c:ptCount val="7"/>
                <c:pt idx="0">
                  <c:v>9.5258854703040935E-2</c:v>
                </c:pt>
                <c:pt idx="1">
                  <c:v>5.4944936170872746E-2</c:v>
                </c:pt>
                <c:pt idx="2">
                  <c:v>5.1839125986876372E-2</c:v>
                </c:pt>
                <c:pt idx="3">
                  <c:v>3.7896776272710091E-2</c:v>
                </c:pt>
                <c:pt idx="4">
                  <c:v>2.6627114907707042E-2</c:v>
                </c:pt>
                <c:pt idx="5">
                  <c:v>2.1358414401669416E-2</c:v>
                </c:pt>
                <c:pt idx="6">
                  <c:v>1.8486665727085322E-2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F7-49A5-925E-35CB2B4D62F1}"/>
            </c:ext>
          </c:extLst>
        </c:ser>
        <c:ser>
          <c:idx val="5"/>
          <c:order val="5"/>
          <c:tx>
            <c:strRef>
              <c:f>'Operational Emission Summary'!$CA$28</c:f>
              <c:strCache>
                <c:ptCount val="1"/>
                <c:pt idx="0">
                  <c:v>ABR-AHF 2030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'Operational Emission Summary'!$AL$29:$AL$35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'Operational Emission Summary'!$CA$29:$CA$35</c:f>
              <c:numCache>
                <c:formatCode>General</c:formatCode>
                <c:ptCount val="7"/>
                <c:pt idx="0">
                  <c:v>1.7525007731528867E-2</c:v>
                </c:pt>
                <c:pt idx="1">
                  <c:v>1.5716497355688152E-2</c:v>
                </c:pt>
                <c:pt idx="2">
                  <c:v>2.5308304627069862E-2</c:v>
                </c:pt>
                <c:pt idx="3">
                  <c:v>2.0173517948015848E-2</c:v>
                </c:pt>
                <c:pt idx="4">
                  <c:v>1.5981149011266991E-2</c:v>
                </c:pt>
                <c:pt idx="5">
                  <c:v>1.4266108346385845E-2</c:v>
                </c:pt>
                <c:pt idx="6">
                  <c:v>1.3163682778865295E-2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F7-49A5-925E-35CB2B4D6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389776"/>
        <c:axId val="401382288"/>
      </c:barChart>
      <c:catAx>
        <c:axId val="40138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382288"/>
        <c:crosses val="autoZero"/>
        <c:auto val="1"/>
        <c:lblAlgn val="ctr"/>
        <c:lblOffset val="100"/>
        <c:noMultiLvlLbl val="0"/>
      </c:catAx>
      <c:valAx>
        <c:axId val="401382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38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'Operational Emission Summary'!$BV$28</c:f>
              <c:strCache>
                <c:ptCount val="1"/>
                <c:pt idx="0">
                  <c:v>SAF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'Operational Emission Summary'!$AL$36:$AL$43</c:f>
              <c:numCache>
                <c:formatCode>General</c:formatCode>
                <c:ptCount val="8"/>
                <c:pt idx="0">
                  <c:v>150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800</c:v>
                </c:pt>
                <c:pt idx="7">
                  <c:v>1000</c:v>
                </c:pt>
              </c:numCache>
            </c:numRef>
          </c:cat>
          <c:val>
            <c:numRef>
              <c:f>'Operational Emission Summary'!$BV$36:$BV$43</c:f>
              <c:numCache>
                <c:formatCode>General</c:formatCode>
                <c:ptCount val="8"/>
                <c:pt idx="0">
                  <c:v>2.7029340053962132E-2</c:v>
                </c:pt>
                <c:pt idx="1">
                  <c:v>2.34279677702872E-2</c:v>
                </c:pt>
                <c:pt idx="2">
                  <c:v>1.9425702724026866E-2</c:v>
                </c:pt>
                <c:pt idx="3">
                  <c:v>1.7129480294774801E-2</c:v>
                </c:pt>
                <c:pt idx="4">
                  <c:v>1.7142957849877283E-2</c:v>
                </c:pt>
                <c:pt idx="5">
                  <c:v>1.6755738124026871E-2</c:v>
                </c:pt>
                <c:pt idx="6">
                  <c:v>1.59640118947748E-2</c:v>
                </c:pt>
                <c:pt idx="7">
                  <c:v>1.6216208729877279E-2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4-4C0F-808B-D7BE892EE9A4}"/>
            </c:ext>
          </c:extLst>
        </c:ser>
        <c:ser>
          <c:idx val="1"/>
          <c:order val="1"/>
          <c:tx>
            <c:strRef>
              <c:f>'Operational Emission Summary'!$BW$28</c:f>
              <c:strCache>
                <c:ptCount val="1"/>
                <c:pt idx="0">
                  <c:v>SAF 2030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'Operational Emission Summary'!$AL$36:$AL$43</c:f>
              <c:numCache>
                <c:formatCode>General</c:formatCode>
                <c:ptCount val="8"/>
                <c:pt idx="0">
                  <c:v>150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800</c:v>
                </c:pt>
                <c:pt idx="7">
                  <c:v>1000</c:v>
                </c:pt>
              </c:numCache>
            </c:numRef>
          </c:cat>
          <c:val>
            <c:numRef>
              <c:f>'Operational Emission Summary'!$BW$36:$BW$43</c:f>
              <c:numCache>
                <c:formatCode>General</c:formatCode>
                <c:ptCount val="8"/>
                <c:pt idx="0">
                  <c:v>1.7893168195369513E-2</c:v>
                </c:pt>
                <c:pt idx="1">
                  <c:v>1.6303067129337684E-2</c:v>
                </c:pt>
                <c:pt idx="2">
                  <c:v>1.4451648876057155E-2</c:v>
                </c:pt>
                <c:pt idx="3">
                  <c:v>1.3580858207489941E-2</c:v>
                </c:pt>
                <c:pt idx="4">
                  <c:v>1.3780525862437273E-2</c:v>
                </c:pt>
                <c:pt idx="5">
                  <c:v>1.3654083133153463E-2</c:v>
                </c:pt>
                <c:pt idx="6">
                  <c:v>1.329739779911217E-2</c:v>
                </c:pt>
                <c:pt idx="7">
                  <c:v>1.3555872761335056E-2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4-4C0F-808B-D7BE892EE9A4}"/>
            </c:ext>
          </c:extLst>
        </c:ser>
        <c:ser>
          <c:idx val="2"/>
          <c:order val="2"/>
          <c:tx>
            <c:strRef>
              <c:f>'Operational Emission Summary'!$BX$28</c:f>
              <c:strCache>
                <c:ptCount val="1"/>
                <c:pt idx="0">
                  <c:v>ABR-VF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'Operational Emission Summary'!$AL$36:$AL$43</c:f>
              <c:numCache>
                <c:formatCode>General</c:formatCode>
                <c:ptCount val="8"/>
                <c:pt idx="0">
                  <c:v>150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800</c:v>
                </c:pt>
                <c:pt idx="7">
                  <c:v>1000</c:v>
                </c:pt>
              </c:numCache>
            </c:numRef>
          </c:cat>
          <c:val>
            <c:numRef>
              <c:f>'Operational Emission Summary'!$BX$36:$BX$43</c:f>
              <c:numCache>
                <c:formatCode>General</c:formatCode>
                <c:ptCount val="8"/>
                <c:pt idx="0">
                  <c:v>1.2194480184419555E-2</c:v>
                </c:pt>
                <c:pt idx="1">
                  <c:v>1.158192974343503E-2</c:v>
                </c:pt>
                <c:pt idx="2">
                  <c:v>1.095268028530765E-2</c:v>
                </c:pt>
                <c:pt idx="3">
                  <c:v>1.0648794104815387E-2</c:v>
                </c:pt>
                <c:pt idx="4">
                  <c:v>1.046420525366289E-2</c:v>
                </c:pt>
                <c:pt idx="5">
                  <c:v>1.0344360305275508E-2</c:v>
                </c:pt>
                <c:pt idx="6">
                  <c:v>1.0088125548362709E-2</c:v>
                </c:pt>
                <c:pt idx="7">
                  <c:v>9.9376704085007463E-3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34-4C0F-808B-D7BE892EE9A4}"/>
            </c:ext>
          </c:extLst>
        </c:ser>
        <c:ser>
          <c:idx val="3"/>
          <c:order val="3"/>
          <c:tx>
            <c:strRef>
              <c:f>'Operational Emission Summary'!$BY$28</c:f>
              <c:strCache>
                <c:ptCount val="1"/>
                <c:pt idx="0">
                  <c:v>ABR-VF 2030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'Operational Emission Summary'!$AL$36:$AL$43</c:f>
              <c:numCache>
                <c:formatCode>General</c:formatCode>
                <c:ptCount val="8"/>
                <c:pt idx="0">
                  <c:v>150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800</c:v>
                </c:pt>
                <c:pt idx="7">
                  <c:v>1000</c:v>
                </c:pt>
              </c:numCache>
            </c:numRef>
          </c:cat>
          <c:val>
            <c:numRef>
              <c:f>'Operational Emission Summary'!$BY$36:$BY$43</c:f>
              <c:numCache>
                <c:formatCode>General</c:formatCode>
                <c:ptCount val="8"/>
                <c:pt idx="0">
                  <c:v>9.7145960815160082E-3</c:v>
                </c:pt>
                <c:pt idx="1">
                  <c:v>9.7087486719259434E-3</c:v>
                </c:pt>
                <c:pt idx="2">
                  <c:v>9.6950475747473071E-3</c:v>
                </c:pt>
                <c:pt idx="3">
                  <c:v>9.6923015775637004E-3</c:v>
                </c:pt>
                <c:pt idx="4">
                  <c:v>9.6883968363963967E-3</c:v>
                </c:pt>
                <c:pt idx="5">
                  <c:v>9.6890079613324784E-3</c:v>
                </c:pt>
                <c:pt idx="6">
                  <c:v>9.5833432960740084E-3</c:v>
                </c:pt>
                <c:pt idx="7">
                  <c:v>9.5232302112046412E-3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34-4C0F-808B-D7BE892EE9A4}"/>
            </c:ext>
          </c:extLst>
        </c:ser>
        <c:ser>
          <c:idx val="4"/>
          <c:order val="4"/>
          <c:tx>
            <c:strRef>
              <c:f>'Operational Emission Summary'!$BZ$28</c:f>
              <c:strCache>
                <c:ptCount val="1"/>
                <c:pt idx="0">
                  <c:v>ABR-AHF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'Operational Emission Summary'!$AL$36:$AL$43</c:f>
              <c:numCache>
                <c:formatCode>General</c:formatCode>
                <c:ptCount val="8"/>
                <c:pt idx="0">
                  <c:v>150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800</c:v>
                </c:pt>
                <c:pt idx="7">
                  <c:v>1000</c:v>
                </c:pt>
              </c:numCache>
            </c:numRef>
          </c:cat>
          <c:val>
            <c:numRef>
              <c:f>'Operational Emission Summary'!$BZ$36:$BZ$43</c:f>
              <c:numCache>
                <c:formatCode>General</c:formatCode>
                <c:ptCount val="8"/>
                <c:pt idx="0">
                  <c:v>1.5900160237506154E-2</c:v>
                </c:pt>
                <c:pt idx="1">
                  <c:v>1.4476079983316946E-2</c:v>
                </c:pt>
                <c:pt idx="2">
                  <c:v>1.3713610683919724E-2</c:v>
                </c:pt>
                <c:pt idx="3">
                  <c:v>1.2831524960984267E-2</c:v>
                </c:pt>
                <c:pt idx="4">
                  <c:v>1.2239987812937276E-2</c:v>
                </c:pt>
                <c:pt idx="5">
                  <c:v>1.278032075058641E-2</c:v>
                </c:pt>
                <c:pt idx="6">
                  <c:v>1.3495344149528467E-2</c:v>
                </c:pt>
                <c:pt idx="7">
                  <c:v>1.2583614592344064E-2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34-4C0F-808B-D7BE892EE9A4}"/>
            </c:ext>
          </c:extLst>
        </c:ser>
        <c:ser>
          <c:idx val="5"/>
          <c:order val="5"/>
          <c:tx>
            <c:strRef>
              <c:f>'Operational Emission Summary'!$CA$28</c:f>
              <c:strCache>
                <c:ptCount val="1"/>
                <c:pt idx="0">
                  <c:v>ABR-AHF 2030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'Operational Emission Summary'!$AL$36:$AL$43</c:f>
              <c:numCache>
                <c:formatCode>General</c:formatCode>
                <c:ptCount val="8"/>
                <c:pt idx="0">
                  <c:v>150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800</c:v>
                </c:pt>
                <c:pt idx="7">
                  <c:v>1000</c:v>
                </c:pt>
              </c:numCache>
            </c:numRef>
          </c:cat>
          <c:val>
            <c:numRef>
              <c:f>'Operational Emission Summary'!$CA$36:$CA$43</c:f>
              <c:numCache>
                <c:formatCode>General</c:formatCode>
                <c:ptCount val="8"/>
                <c:pt idx="0">
                  <c:v>1.2105258289663308E-2</c:v>
                </c:pt>
                <c:pt idx="1">
                  <c:v>1.1616635528103382E-2</c:v>
                </c:pt>
                <c:pt idx="2">
                  <c:v>1.1551220145210457E-2</c:v>
                </c:pt>
                <c:pt idx="3">
                  <c:v>1.1196464062620889E-2</c:v>
                </c:pt>
                <c:pt idx="4">
                  <c:v>1.0921324698781432E-2</c:v>
                </c:pt>
                <c:pt idx="5">
                  <c:v>1.1411903360469832E-2</c:v>
                </c:pt>
                <c:pt idx="6">
                  <c:v>1.1940655994646113E-2</c:v>
                </c:pt>
                <c:pt idx="7">
                  <c:v>1.132924967297304E-2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34-4C0F-808B-D7BE892EE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389776"/>
        <c:axId val="401382288"/>
      </c:barChart>
      <c:catAx>
        <c:axId val="40138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382288"/>
        <c:crosses val="autoZero"/>
        <c:auto val="1"/>
        <c:lblAlgn val="ctr"/>
        <c:lblOffset val="100"/>
        <c:noMultiLvlLbl val="0"/>
      </c:catAx>
      <c:valAx>
        <c:axId val="401382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38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Flared STS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'Operational Emission Summary'!$L$49:$L$63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'Operational Emission Summary'!$M$49:$M$63</c:f>
              <c:numCache>
                <c:formatCode>General</c:formatCode>
                <c:ptCount val="15"/>
                <c:pt idx="0">
                  <c:v>4.0403558700000002E-2</c:v>
                </c:pt>
                <c:pt idx="1">
                  <c:v>3.0132403950000001E-2</c:v>
                </c:pt>
                <c:pt idx="2">
                  <c:v>2.4996826574999999E-2</c:v>
                </c:pt>
                <c:pt idx="3">
                  <c:v>2.1788772900000003E-2</c:v>
                </c:pt>
                <c:pt idx="4">
                  <c:v>2.0900103900000001E-2</c:v>
                </c:pt>
                <c:pt idx="5">
                  <c:v>2.0455769400000001E-2</c:v>
                </c:pt>
                <c:pt idx="6">
                  <c:v>2.0233602150000002E-2</c:v>
                </c:pt>
                <c:pt idx="7">
                  <c:v>2.00114349E-2</c:v>
                </c:pt>
                <c:pt idx="8">
                  <c:v>2.0040195440000002E-2</c:v>
                </c:pt>
                <c:pt idx="9">
                  <c:v>1.9866894693333335E-2</c:v>
                </c:pt>
                <c:pt idx="10">
                  <c:v>2.0202238640000002E-2</c:v>
                </c:pt>
                <c:pt idx="11">
                  <c:v>2.0098258192000003E-2</c:v>
                </c:pt>
                <c:pt idx="12">
                  <c:v>2.0028937893333335E-2</c:v>
                </c:pt>
                <c:pt idx="13">
                  <c:v>2.0234306280000003E-2</c:v>
                </c:pt>
                <c:pt idx="14">
                  <c:v>2.0422344592000003E-2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DC-437E-8768-6EE3E33A5A88}"/>
            </c:ext>
          </c:extLst>
        </c:ser>
        <c:ser>
          <c:idx val="1"/>
          <c:order val="1"/>
          <c:tx>
            <c:strRef>
              <c:f>'Operational Emission Summary'!$N$48</c:f>
              <c:strCache>
                <c:ptCount val="1"/>
                <c:pt idx="0">
                  <c:v>SAF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'Operational Emission Summary'!$L$49:$L$63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'Operational Emission Summary'!$N$49:$N$63</c:f>
              <c:numCache>
                <c:formatCode>General</c:formatCode>
                <c:ptCount val="15"/>
                <c:pt idx="0">
                  <c:v>0.12139444733315663</c:v>
                </c:pt>
                <c:pt idx="1">
                  <c:v>8.556632236050829E-2</c:v>
                </c:pt>
                <c:pt idx="2">
                  <c:v>6.8158466568264506E-2</c:v>
                </c:pt>
                <c:pt idx="3">
                  <c:v>5.6048126393185856E-2</c:v>
                </c:pt>
                <c:pt idx="4">
                  <c:v>4.7483128202351378E-2</c:v>
                </c:pt>
                <c:pt idx="5">
                  <c:v>4.6857841882839604E-2</c:v>
                </c:pt>
                <c:pt idx="6">
                  <c:v>6.2255823527958498E-2</c:v>
                </c:pt>
                <c:pt idx="7">
                  <c:v>2.7029340053962132E-2</c:v>
                </c:pt>
                <c:pt idx="8">
                  <c:v>2.34279677702872E-2</c:v>
                </c:pt>
                <c:pt idx="9">
                  <c:v>1.9425702724026866E-2</c:v>
                </c:pt>
                <c:pt idx="10">
                  <c:v>1.7129480294774801E-2</c:v>
                </c:pt>
                <c:pt idx="11">
                  <c:v>1.7142957849877283E-2</c:v>
                </c:pt>
                <c:pt idx="12">
                  <c:v>1.6755738124026871E-2</c:v>
                </c:pt>
                <c:pt idx="13">
                  <c:v>1.59640118947748E-2</c:v>
                </c:pt>
                <c:pt idx="14">
                  <c:v>1.6216208729877279E-2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DC-437E-8768-6EE3E33A5A88}"/>
            </c:ext>
          </c:extLst>
        </c:ser>
        <c:ser>
          <c:idx val="2"/>
          <c:order val="2"/>
          <c:tx>
            <c:strRef>
              <c:f>'Operational Emission Summary'!$O$48</c:f>
              <c:strCache>
                <c:ptCount val="1"/>
                <c:pt idx="0">
                  <c:v>ABR-VF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'Operational Emission Summary'!$L$49:$L$63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'Operational Emission Summary'!$O$49:$O$63</c:f>
              <c:numCache>
                <c:formatCode>General</c:formatCode>
                <c:ptCount val="15"/>
                <c:pt idx="0">
                  <c:v>8.5216408917264244E-2</c:v>
                </c:pt>
                <c:pt idx="1">
                  <c:v>4.5921216575572243E-2</c:v>
                </c:pt>
                <c:pt idx="2">
                  <c:v>2.7719403941607067E-2</c:v>
                </c:pt>
                <c:pt idx="3">
                  <c:v>2.1690679404346033E-2</c:v>
                </c:pt>
                <c:pt idx="4">
                  <c:v>1.6815975323724315E-2</c:v>
                </c:pt>
                <c:pt idx="5">
                  <c:v>1.4348753459877361E-2</c:v>
                </c:pt>
                <c:pt idx="6">
                  <c:v>1.3127958392102887E-2</c:v>
                </c:pt>
                <c:pt idx="7">
                  <c:v>1.2194480184419555E-2</c:v>
                </c:pt>
                <c:pt idx="8">
                  <c:v>1.158192974343503E-2</c:v>
                </c:pt>
                <c:pt idx="9">
                  <c:v>1.095268028530765E-2</c:v>
                </c:pt>
                <c:pt idx="10">
                  <c:v>1.0648794104815387E-2</c:v>
                </c:pt>
                <c:pt idx="11">
                  <c:v>1.046420525366289E-2</c:v>
                </c:pt>
                <c:pt idx="12">
                  <c:v>1.0344360305275508E-2</c:v>
                </c:pt>
                <c:pt idx="13">
                  <c:v>1.0088125548362709E-2</c:v>
                </c:pt>
                <c:pt idx="14">
                  <c:v>9.9376704085007463E-3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DC-437E-8768-6EE3E33A5A88}"/>
            </c:ext>
          </c:extLst>
        </c:ser>
        <c:ser>
          <c:idx val="3"/>
          <c:order val="3"/>
          <c:tx>
            <c:strRef>
              <c:f>'Operational Emission Summary'!$P$48</c:f>
              <c:strCache>
                <c:ptCount val="1"/>
                <c:pt idx="0">
                  <c:v>ABR-AHF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'Operational Emission Summary'!$L$49:$L$63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'Operational Emission Summary'!$P$49:$P$63</c:f>
              <c:numCache>
                <c:formatCode>General</c:formatCode>
                <c:ptCount val="15"/>
                <c:pt idx="0">
                  <c:v>9.5258854703040935E-2</c:v>
                </c:pt>
                <c:pt idx="1">
                  <c:v>5.4944936170872746E-2</c:v>
                </c:pt>
                <c:pt idx="2">
                  <c:v>5.1839125986876372E-2</c:v>
                </c:pt>
                <c:pt idx="3">
                  <c:v>3.7896776272710091E-2</c:v>
                </c:pt>
                <c:pt idx="4">
                  <c:v>2.6627114907707042E-2</c:v>
                </c:pt>
                <c:pt idx="5">
                  <c:v>2.1358414401669416E-2</c:v>
                </c:pt>
                <c:pt idx="6">
                  <c:v>1.8486665727085322E-2</c:v>
                </c:pt>
                <c:pt idx="7">
                  <c:v>1.5900160237506154E-2</c:v>
                </c:pt>
                <c:pt idx="8">
                  <c:v>1.4476079983316946E-2</c:v>
                </c:pt>
                <c:pt idx="9">
                  <c:v>1.3713610683919724E-2</c:v>
                </c:pt>
                <c:pt idx="10">
                  <c:v>1.2831524960984267E-2</c:v>
                </c:pt>
                <c:pt idx="11">
                  <c:v>1.2239987812937276E-2</c:v>
                </c:pt>
                <c:pt idx="12">
                  <c:v>1.278032075058641E-2</c:v>
                </c:pt>
                <c:pt idx="13">
                  <c:v>1.3495344149528467E-2</c:v>
                </c:pt>
                <c:pt idx="14">
                  <c:v>1.2583614592344064E-2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ADC-437E-8768-6EE3E33A5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5876400"/>
        <c:axId val="1395882224"/>
      </c:scatterChart>
      <c:valAx>
        <c:axId val="1395876400"/>
        <c:scaling>
          <c:orientation val="minMax"/>
          <c:max val="10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882224"/>
        <c:crosses val="autoZero"/>
        <c:crossBetween val="midCat"/>
      </c:valAx>
      <c:valAx>
        <c:axId val="1395882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876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970725195191727"/>
          <c:y val="0.26927732708435242"/>
          <c:w val="0.38117237378600777"/>
          <c:h val="4.09838855692984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'Operational Emission Summary'!$Z$108</c:f>
              <c:strCache>
                <c:ptCount val="1"/>
                <c:pt idx="0">
                  <c:v>SAF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'Operational Emission Summary'!$Y$109:$Y$123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'Operational Emission Summary'!$Z$109:$Z$123</c:f>
              <c:numCache>
                <c:formatCode>General</c:formatCode>
                <c:ptCount val="15"/>
                <c:pt idx="0">
                  <c:v>1.5750904505633333E-2</c:v>
                </c:pt>
                <c:pt idx="1">
                  <c:v>1.4911196062051664E-2</c:v>
                </c:pt>
                <c:pt idx="2">
                  <c:v>1.5143603648860828E-2</c:v>
                </c:pt>
                <c:pt idx="3">
                  <c:v>1.2159686013164044E-2</c:v>
                </c:pt>
                <c:pt idx="4">
                  <c:v>1.1372316981909169E-2</c:v>
                </c:pt>
                <c:pt idx="5">
                  <c:v>1.1774981755093741E-2</c:v>
                </c:pt>
                <c:pt idx="6">
                  <c:v>1.2058618301386275E-2</c:v>
                </c:pt>
                <c:pt idx="7">
                  <c:v>1.214419007589811E-2</c:v>
                </c:pt>
                <c:pt idx="8">
                  <c:v>1.1599357758861086E-2</c:v>
                </c:pt>
                <c:pt idx="9">
                  <c:v>1.1054525441824056E-2</c:v>
                </c:pt>
                <c:pt idx="10">
                  <c:v>1.0445051960505542E-2</c:v>
                </c:pt>
                <c:pt idx="11">
                  <c:v>1.0331138990754432E-2</c:v>
                </c:pt>
                <c:pt idx="12">
                  <c:v>1.025695969892036E-2</c:v>
                </c:pt>
                <c:pt idx="13">
                  <c:v>1.016159155212777E-2</c:v>
                </c:pt>
                <c:pt idx="14">
                  <c:v>1.0106485889652217E-2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98-4428-A306-6E664E3CEE50}"/>
            </c:ext>
          </c:extLst>
        </c:ser>
        <c:ser>
          <c:idx val="1"/>
          <c:order val="1"/>
          <c:tx>
            <c:strRef>
              <c:f>'Operational Emission Summary'!$AA$108</c:f>
              <c:strCache>
                <c:ptCount val="1"/>
                <c:pt idx="0">
                  <c:v>ABR-VF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'Operational Emission Summary'!$Y$109:$Y$123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'Operational Emission Summary'!$AA$109:$AA$123</c:f>
              <c:numCache>
                <c:formatCode>General</c:formatCode>
                <c:ptCount val="15"/>
                <c:pt idx="0">
                  <c:v>1.1083468763532263E-2</c:v>
                </c:pt>
                <c:pt idx="1">
                  <c:v>9.7371012448344042E-3</c:v>
                </c:pt>
                <c:pt idx="2">
                  <c:v>9.6024063810669514E-3</c:v>
                </c:pt>
                <c:pt idx="3">
                  <c:v>9.5766369458293796E-3</c:v>
                </c:pt>
                <c:pt idx="4">
                  <c:v>9.5355389469908205E-3</c:v>
                </c:pt>
                <c:pt idx="5">
                  <c:v>9.5001337510648275E-3</c:v>
                </c:pt>
                <c:pt idx="6">
                  <c:v>9.4877402037361405E-3</c:v>
                </c:pt>
                <c:pt idx="7">
                  <c:v>9.7145960815160082E-3</c:v>
                </c:pt>
                <c:pt idx="8">
                  <c:v>9.7087486719259434E-3</c:v>
                </c:pt>
                <c:pt idx="9">
                  <c:v>9.6950475747473071E-3</c:v>
                </c:pt>
                <c:pt idx="10">
                  <c:v>9.6923015775637004E-3</c:v>
                </c:pt>
                <c:pt idx="11">
                  <c:v>9.6883968363963967E-3</c:v>
                </c:pt>
                <c:pt idx="12">
                  <c:v>9.6890079613324784E-3</c:v>
                </c:pt>
                <c:pt idx="13">
                  <c:v>9.5833432960740084E-3</c:v>
                </c:pt>
                <c:pt idx="14">
                  <c:v>9.5232302112046412E-3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98-4428-A306-6E664E3CEE50}"/>
            </c:ext>
          </c:extLst>
        </c:ser>
        <c:ser>
          <c:idx val="2"/>
          <c:order val="2"/>
          <c:tx>
            <c:strRef>
              <c:f>'Operational Emission Summary'!$AB$108</c:f>
              <c:strCache>
                <c:ptCount val="1"/>
                <c:pt idx="0">
                  <c:v>ABR-AHF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'Operational Emission Summary'!$Y$109:$Y$123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'Operational Emission Summary'!$AB$109:$AB$123</c:f>
              <c:numCache>
                <c:formatCode>General</c:formatCode>
                <c:ptCount val="15"/>
                <c:pt idx="0">
                  <c:v>1.2673886706657266E-2</c:v>
                </c:pt>
                <c:pt idx="1">
                  <c:v>1.0865376330816549E-2</c:v>
                </c:pt>
                <c:pt idx="2">
                  <c:v>1.0350681467049093E-2</c:v>
                </c:pt>
                <c:pt idx="3">
                  <c:v>1.0201769174668668E-2</c:v>
                </c:pt>
                <c:pt idx="4">
                  <c:v>9.9980997472586784E-3</c:v>
                </c:pt>
                <c:pt idx="5">
                  <c:v>1.027740883704697E-2</c:v>
                </c:pt>
                <c:pt idx="6">
                  <c:v>1.0172158146861142E-2</c:v>
                </c:pt>
                <c:pt idx="7">
                  <c:v>9.9492045008314853E-3</c:v>
                </c:pt>
                <c:pt idx="8">
                  <c:v>9.9995951864795141E-3</c:v>
                </c:pt>
                <c:pt idx="9">
                  <c:v>9.9341798035865909E-3</c:v>
                </c:pt>
                <c:pt idx="10">
                  <c:v>9.9836838064029862E-3</c:v>
                </c:pt>
                <c:pt idx="11">
                  <c:v>9.9511004938071107E-3</c:v>
                </c:pt>
                <c:pt idx="12">
                  <c:v>9.9296163806479529E-3</c:v>
                </c:pt>
                <c:pt idx="13">
                  <c:v>9.7172255249132963E-3</c:v>
                </c:pt>
                <c:pt idx="14">
                  <c:v>9.5505052971867864E-3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98-4428-A306-6E664E3CE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199200"/>
        <c:axId val="802198368"/>
      </c:scatterChart>
      <c:valAx>
        <c:axId val="80219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198368"/>
        <c:crosses val="autoZero"/>
        <c:crossBetween val="midCat"/>
      </c:valAx>
      <c:valAx>
        <c:axId val="802198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199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'Operational Emission Summary'!$M$89</c:f>
              <c:strCache>
                <c:ptCount val="1"/>
                <c:pt idx="0">
                  <c:v>Process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'Operational Emission Summary'!$M$90:$M$104</c:f>
              <c:numCache>
                <c:formatCode>General</c:formatCode>
                <c:ptCount val="15"/>
                <c:pt idx="0">
                  <c:v>17.4333825</c:v>
                </c:pt>
                <c:pt idx="1">
                  <c:v>34.866765000000001</c:v>
                </c:pt>
                <c:pt idx="2">
                  <c:v>69.733530000000002</c:v>
                </c:pt>
                <c:pt idx="3">
                  <c:v>104.600295</c:v>
                </c:pt>
                <c:pt idx="4">
                  <c:v>174.33382499999999</c:v>
                </c:pt>
                <c:pt idx="5">
                  <c:v>261.50073750000001</c:v>
                </c:pt>
                <c:pt idx="6">
                  <c:v>348.66764999999998</c:v>
                </c:pt>
                <c:pt idx="7">
                  <c:v>523.00147500000003</c:v>
                </c:pt>
                <c:pt idx="8">
                  <c:v>697.33530000000007</c:v>
                </c:pt>
                <c:pt idx="9">
                  <c:v>1046.0029500000001</c:v>
                </c:pt>
                <c:pt idx="10">
                  <c:v>1394.6706000000001</c:v>
                </c:pt>
                <c:pt idx="11">
                  <c:v>1743.33825</c:v>
                </c:pt>
                <c:pt idx="12">
                  <c:v>2092.0059000000001</c:v>
                </c:pt>
                <c:pt idx="13">
                  <c:v>2789.3412000000003</c:v>
                </c:pt>
                <c:pt idx="14">
                  <c:v>3486.6765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E-4E7B-BC30-ACB567BF16A3}"/>
            </c:ext>
          </c:extLst>
        </c:ser>
        <c:ser>
          <c:idx val="1"/>
          <c:order val="1"/>
          <c:tx>
            <c:strRef>
              <c:f>'Operational Emission Summary'!$N$89</c:f>
              <c:strCache>
                <c:ptCount val="1"/>
                <c:pt idx="0">
                  <c:v>Tankering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'Operational Emission Summary'!$N$90:$N$104</c:f>
              <c:numCache>
                <c:formatCode>General</c:formatCode>
                <c:ptCount val="15"/>
                <c:pt idx="0">
                  <c:v>25.349638827199996</c:v>
                </c:pt>
                <c:pt idx="1">
                  <c:v>39.321925200799996</c:v>
                </c:pt>
                <c:pt idx="2">
                  <c:v>82.174234119999994</c:v>
                </c:pt>
                <c:pt idx="3">
                  <c:v>55.472438100204684</c:v>
                </c:pt>
                <c:pt idx="4">
                  <c:v>60.182099925741653</c:v>
                </c:pt>
                <c:pt idx="5">
                  <c:v>122.88912386856387</c:v>
                </c:pt>
                <c:pt idx="6">
                  <c:v>192.45156378141093</c:v>
                </c:pt>
                <c:pt idx="7">
                  <c:v>317.61672783999995</c:v>
                </c:pt>
                <c:pt idx="8">
                  <c:v>325.25825104</c:v>
                </c:pt>
                <c:pt idx="9">
                  <c:v>340.54129743999999</c:v>
                </c:pt>
                <c:pt idx="10">
                  <c:v>221.00141471999999</c:v>
                </c:pt>
                <c:pt idx="11">
                  <c:v>227.34709151999999</c:v>
                </c:pt>
                <c:pt idx="12">
                  <c:v>234.75038111999999</c:v>
                </c:pt>
                <c:pt idx="13">
                  <c:v>247.44173472000003</c:v>
                </c:pt>
                <c:pt idx="14">
                  <c:v>262.24831391999999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DE-4E7B-BC30-ACB567BF16A3}"/>
            </c:ext>
          </c:extLst>
        </c:ser>
        <c:ser>
          <c:idx val="2"/>
          <c:order val="2"/>
          <c:tx>
            <c:strRef>
              <c:f>'Operational Emission Summary'!$O$89</c:f>
              <c:strCache>
                <c:ptCount val="1"/>
                <c:pt idx="0">
                  <c:v>Discharge to Surface Waters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'Operational Emission Summary'!$O$90:$O$104</c:f>
              <c:numCache>
                <c:formatCode>General</c:formatCode>
                <c:ptCount val="15"/>
                <c:pt idx="0">
                  <c:v>31.626769218749999</c:v>
                </c:pt>
                <c:pt idx="1">
                  <c:v>63.253538437499998</c:v>
                </c:pt>
                <c:pt idx="2">
                  <c:v>126.507076875</c:v>
                </c:pt>
                <c:pt idx="3">
                  <c:v>189.76061531250002</c:v>
                </c:pt>
                <c:pt idx="4">
                  <c:v>316.26769218750002</c:v>
                </c:pt>
                <c:pt idx="5">
                  <c:v>474.40153828124994</c:v>
                </c:pt>
                <c:pt idx="6">
                  <c:v>632.53538437500004</c:v>
                </c:pt>
                <c:pt idx="7">
                  <c:v>948.80307656249988</c:v>
                </c:pt>
                <c:pt idx="8">
                  <c:v>1265.0707687500001</c:v>
                </c:pt>
                <c:pt idx="9">
                  <c:v>1897.6061531249998</c:v>
                </c:pt>
                <c:pt idx="10">
                  <c:v>2530.1415375000001</c:v>
                </c:pt>
                <c:pt idx="11">
                  <c:v>3162.6769218750001</c:v>
                </c:pt>
                <c:pt idx="12">
                  <c:v>3795.2123062499995</c:v>
                </c:pt>
                <c:pt idx="13">
                  <c:v>5060.2830750000003</c:v>
                </c:pt>
                <c:pt idx="14">
                  <c:v>6325.3538437500001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DE-4E7B-BC30-ACB567BF16A3}"/>
            </c:ext>
          </c:extLst>
        </c:ser>
        <c:ser>
          <c:idx val="3"/>
          <c:order val="3"/>
          <c:tx>
            <c:strRef>
              <c:f>'Operational Emission Summary'!$P$89</c:f>
              <c:strCache>
                <c:ptCount val="1"/>
                <c:pt idx="0">
                  <c:v>Electrical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'Operational Emission Summary'!$P$90:$P$104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DE-4E7B-BC30-ACB567BF16A3}"/>
            </c:ext>
          </c:extLst>
        </c:ser>
        <c:ser>
          <c:idx val="4"/>
          <c:order val="4"/>
          <c:tx>
            <c:strRef>
              <c:f>'Operational Emission Summary'!$Q$89</c:f>
              <c:strCache>
                <c:ptCount val="1"/>
                <c:pt idx="0">
                  <c:v>Site Visits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'Operational Emission Summary'!$Q$90:$Q$104</c:f>
              <c:numCache>
                <c:formatCode>General</c:formatCode>
                <c:ptCount val="15"/>
                <c:pt idx="0">
                  <c:v>7.5906445123077995E-2</c:v>
                </c:pt>
                <c:pt idx="1">
                  <c:v>7.5906445123077995E-2</c:v>
                </c:pt>
                <c:pt idx="2">
                  <c:v>7.5906445123077995E-2</c:v>
                </c:pt>
                <c:pt idx="3">
                  <c:v>7.5906445123077995E-2</c:v>
                </c:pt>
                <c:pt idx="4">
                  <c:v>7.5906445123077995E-2</c:v>
                </c:pt>
                <c:pt idx="5">
                  <c:v>7.5906445123077995E-2</c:v>
                </c:pt>
                <c:pt idx="6">
                  <c:v>7.5906445123077995E-2</c:v>
                </c:pt>
                <c:pt idx="7">
                  <c:v>7.5906445123077995E-2</c:v>
                </c:pt>
                <c:pt idx="8">
                  <c:v>7.5906445123077995E-2</c:v>
                </c:pt>
                <c:pt idx="9">
                  <c:v>7.5906445123077995E-2</c:v>
                </c:pt>
                <c:pt idx="10">
                  <c:v>7.5906445123077995E-2</c:v>
                </c:pt>
                <c:pt idx="11">
                  <c:v>7.5906445123077995E-2</c:v>
                </c:pt>
                <c:pt idx="12">
                  <c:v>7.5906445123077995E-2</c:v>
                </c:pt>
                <c:pt idx="13">
                  <c:v>7.5906445123077995E-2</c:v>
                </c:pt>
                <c:pt idx="14">
                  <c:v>7.5906445123077995E-2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DE-4E7B-BC30-ACB567BF16A3}"/>
            </c:ext>
          </c:extLst>
        </c:ser>
        <c:ser>
          <c:idx val="5"/>
          <c:order val="5"/>
          <c:tx>
            <c:strRef>
              <c:f>'Operational Emission Summary'!$R$89</c:f>
              <c:strCache>
                <c:ptCount val="1"/>
                <c:pt idx="0">
                  <c:v>Maintanence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'Operational Emission Summary'!$R$90:$R$104</c:f>
              <c:numCache>
                <c:formatCode>General</c:formatCode>
                <c:ptCount val="15"/>
                <c:pt idx="0">
                  <c:v>4.2688255370935897</c:v>
                </c:pt>
                <c:pt idx="1">
                  <c:v>11.59382553709359</c:v>
                </c:pt>
                <c:pt idx="2">
                  <c:v>24.381325537093591</c:v>
                </c:pt>
                <c:pt idx="3">
                  <c:v>14.88132553709359</c:v>
                </c:pt>
                <c:pt idx="4">
                  <c:v>17.756325537093591</c:v>
                </c:pt>
                <c:pt idx="5">
                  <c:v>24.256325537093591</c:v>
                </c:pt>
                <c:pt idx="6">
                  <c:v>32.131325537093588</c:v>
                </c:pt>
                <c:pt idx="7">
                  <c:v>32.131325537093588</c:v>
                </c:pt>
                <c:pt idx="8">
                  <c:v>32.131325537093588</c:v>
                </c:pt>
                <c:pt idx="9">
                  <c:v>32.131325537093588</c:v>
                </c:pt>
                <c:pt idx="10">
                  <c:v>32.131325537093588</c:v>
                </c:pt>
                <c:pt idx="11">
                  <c:v>32.131325537093588</c:v>
                </c:pt>
                <c:pt idx="12">
                  <c:v>32.131325537093588</c:v>
                </c:pt>
                <c:pt idx="13">
                  <c:v>32.131325537093588</c:v>
                </c:pt>
                <c:pt idx="14">
                  <c:v>32.131325537093588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DE-4E7B-BC30-ACB567BF1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2184224"/>
        <c:axId val="802184640"/>
      </c:barChart>
      <c:catAx>
        <c:axId val="8021842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184640"/>
        <c:crosses val="autoZero"/>
        <c:auto val="1"/>
        <c:lblAlgn val="ctr"/>
        <c:lblOffset val="100"/>
        <c:noMultiLvlLbl val="0"/>
      </c:catAx>
      <c:valAx>
        <c:axId val="80218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18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1469816272966"/>
          <c:y val="0.74479002624671919"/>
          <c:w val="0.62992825896762905"/>
          <c:h val="0.227432195975503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'Operational Emission Summary'!$Z$89</c:f>
              <c:strCache>
                <c:ptCount val="1"/>
                <c:pt idx="0">
                  <c:v>Process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'Operational Emission Summary'!$Z$90:$Z$104</c:f>
              <c:numCache>
                <c:formatCode>General</c:formatCode>
                <c:ptCount val="15"/>
                <c:pt idx="0">
                  <c:v>12.380795226514442</c:v>
                </c:pt>
                <c:pt idx="1">
                  <c:v>24.761590453028884</c:v>
                </c:pt>
                <c:pt idx="2">
                  <c:v>49.523180906057767</c:v>
                </c:pt>
                <c:pt idx="3">
                  <c:v>74.284771359086662</c:v>
                </c:pt>
                <c:pt idx="4">
                  <c:v>123.80795226514442</c:v>
                </c:pt>
                <c:pt idx="5">
                  <c:v>185.71192839771666</c:v>
                </c:pt>
                <c:pt idx="6">
                  <c:v>247.61590453028884</c:v>
                </c:pt>
                <c:pt idx="7">
                  <c:v>371.42385679543332</c:v>
                </c:pt>
                <c:pt idx="8">
                  <c:v>495.23180906057769</c:v>
                </c:pt>
                <c:pt idx="9">
                  <c:v>742.84771359086665</c:v>
                </c:pt>
                <c:pt idx="10">
                  <c:v>990.46361812115538</c:v>
                </c:pt>
                <c:pt idx="11">
                  <c:v>1238.0795226514442</c:v>
                </c:pt>
                <c:pt idx="12">
                  <c:v>1485.6954271817333</c:v>
                </c:pt>
                <c:pt idx="13">
                  <c:v>1980.9272362423108</c:v>
                </c:pt>
                <c:pt idx="14">
                  <c:v>2476.1590453028884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D-4433-B47B-834C8A165457}"/>
            </c:ext>
          </c:extLst>
        </c:ser>
        <c:ser>
          <c:idx val="1"/>
          <c:order val="1"/>
          <c:tx>
            <c:strRef>
              <c:f>'Operational Emission Summary'!$AA$89</c:f>
              <c:strCache>
                <c:ptCount val="1"/>
                <c:pt idx="0">
                  <c:v>Tankering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'Operational Emission Summary'!$AA$90:$AA$104</c:f>
              <c:numCache>
                <c:formatCode>General</c:formatCode>
                <c:ptCount val="15"/>
                <c:pt idx="0">
                  <c:v>8.1146902473230647</c:v>
                </c:pt>
                <c:pt idx="1">
                  <c:v>2.7979372898842114</c:v>
                </c:pt>
                <c:pt idx="2">
                  <c:v>3.0984950009217087</c:v>
                </c:pt>
                <c:pt idx="3">
                  <c:v>3.750061149649508</c:v>
                </c:pt>
                <c:pt idx="4">
                  <c:v>4.1119280575371429</c:v>
                </c:pt>
                <c:pt idx="5">
                  <c:v>3.8857612401073727</c:v>
                </c:pt>
                <c:pt idx="6">
                  <c:v>4.1119280575371429</c:v>
                </c:pt>
                <c:pt idx="7">
                  <c:v>8.908818315822856</c:v>
                </c:pt>
                <c:pt idx="8">
                  <c:v>10.507781735251431</c:v>
                </c:pt>
                <c:pt idx="9">
                  <c:v>12.106745154680002</c:v>
                </c:pt>
                <c:pt idx="10">
                  <c:v>15.304671993537143</c:v>
                </c:pt>
                <c:pt idx="11">
                  <c:v>18.502598832394291</c:v>
                </c:pt>
                <c:pt idx="12">
                  <c:v>21.700525671251434</c:v>
                </c:pt>
                <c:pt idx="13">
                  <c:v>28.096379348965716</c:v>
                </c:pt>
                <c:pt idx="14">
                  <c:v>34.492233026679997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FD-4433-B47B-834C8A165457}"/>
            </c:ext>
          </c:extLst>
        </c:ser>
        <c:ser>
          <c:idx val="2"/>
          <c:order val="2"/>
          <c:tx>
            <c:strRef>
              <c:f>'Operational Emission Summary'!$AB$89</c:f>
              <c:strCache>
                <c:ptCount val="1"/>
                <c:pt idx="0">
                  <c:v>Discharge to Surface Waters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'Operational Emission Summary'!$AB$90:$AB$104</c:f>
              <c:numCache>
                <c:formatCode>General</c:formatCode>
                <c:ptCount val="15"/>
                <c:pt idx="0">
                  <c:v>31.626769218749999</c:v>
                </c:pt>
                <c:pt idx="1">
                  <c:v>63.253538437499998</c:v>
                </c:pt>
                <c:pt idx="2">
                  <c:v>126.507076875</c:v>
                </c:pt>
                <c:pt idx="3">
                  <c:v>189.76061531250002</c:v>
                </c:pt>
                <c:pt idx="4">
                  <c:v>316.26769218750002</c:v>
                </c:pt>
                <c:pt idx="5">
                  <c:v>474.40153828124994</c:v>
                </c:pt>
                <c:pt idx="6">
                  <c:v>632.53538437500004</c:v>
                </c:pt>
                <c:pt idx="7">
                  <c:v>948.80307656249988</c:v>
                </c:pt>
                <c:pt idx="8">
                  <c:v>1265.0707687500001</c:v>
                </c:pt>
                <c:pt idx="9">
                  <c:v>1897.6061531249998</c:v>
                </c:pt>
                <c:pt idx="10">
                  <c:v>2530.1415375000001</c:v>
                </c:pt>
                <c:pt idx="11">
                  <c:v>3162.6769218750001</c:v>
                </c:pt>
                <c:pt idx="12">
                  <c:v>3795.2123062499995</c:v>
                </c:pt>
                <c:pt idx="13">
                  <c:v>5060.2830750000003</c:v>
                </c:pt>
                <c:pt idx="14">
                  <c:v>6325.3538437500001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FD-4433-B47B-834C8A165457}"/>
            </c:ext>
          </c:extLst>
        </c:ser>
        <c:ser>
          <c:idx val="3"/>
          <c:order val="3"/>
          <c:tx>
            <c:strRef>
              <c:f>'Operational Emission Summary'!$AC$89</c:f>
              <c:strCache>
                <c:ptCount val="1"/>
                <c:pt idx="0">
                  <c:v>Electrical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'Operational Emission Summary'!$AC$90:$AC$104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FD-4433-B47B-834C8A165457}"/>
            </c:ext>
          </c:extLst>
        </c:ser>
        <c:ser>
          <c:idx val="4"/>
          <c:order val="4"/>
          <c:tx>
            <c:strRef>
              <c:f>'Operational Emission Summary'!$AD$89</c:f>
              <c:strCache>
                <c:ptCount val="1"/>
                <c:pt idx="0">
                  <c:v>Site Visits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'Operational Emission Summary'!$AD$90:$AD$104</c:f>
              <c:numCache>
                <c:formatCode>General</c:formatCode>
                <c:ptCount val="15"/>
                <c:pt idx="0">
                  <c:v>7.5906445123077995E-2</c:v>
                </c:pt>
                <c:pt idx="1">
                  <c:v>7.5906445123077995E-2</c:v>
                </c:pt>
                <c:pt idx="2">
                  <c:v>7.5906445123077995E-2</c:v>
                </c:pt>
                <c:pt idx="3">
                  <c:v>7.5906445123077995E-2</c:v>
                </c:pt>
                <c:pt idx="4">
                  <c:v>7.5906445123077995E-2</c:v>
                </c:pt>
                <c:pt idx="5">
                  <c:v>7.5906445123077995E-2</c:v>
                </c:pt>
                <c:pt idx="6">
                  <c:v>7.5906445123077995E-2</c:v>
                </c:pt>
                <c:pt idx="7">
                  <c:v>7.5906445123077995E-2</c:v>
                </c:pt>
                <c:pt idx="8">
                  <c:v>7.5906445123077995E-2</c:v>
                </c:pt>
                <c:pt idx="9">
                  <c:v>7.5906445123077995E-2</c:v>
                </c:pt>
                <c:pt idx="10">
                  <c:v>7.5906445123077995E-2</c:v>
                </c:pt>
                <c:pt idx="11">
                  <c:v>7.5906445123077995E-2</c:v>
                </c:pt>
                <c:pt idx="12">
                  <c:v>7.5906445123077995E-2</c:v>
                </c:pt>
                <c:pt idx="13">
                  <c:v>7.5906445123077995E-2</c:v>
                </c:pt>
                <c:pt idx="14">
                  <c:v>7.5906445123077995E-2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FD-4433-B47B-834C8A165457}"/>
            </c:ext>
          </c:extLst>
        </c:ser>
        <c:ser>
          <c:idx val="5"/>
          <c:order val="5"/>
          <c:tx>
            <c:strRef>
              <c:f>'Operational Emission Summary'!$AE$89</c:f>
              <c:strCache>
                <c:ptCount val="1"/>
                <c:pt idx="0">
                  <c:v>Maintanence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'Operational Emission Summary'!$AE$90:$AE$104</c:f>
              <c:numCache>
                <c:formatCode>General</c:formatCode>
                <c:ptCount val="15"/>
                <c:pt idx="0">
                  <c:v>3.219182679950733</c:v>
                </c:pt>
                <c:pt idx="1">
                  <c:v>6.4820398228078746</c:v>
                </c:pt>
                <c:pt idx="2">
                  <c:v>12.843468394236446</c:v>
                </c:pt>
                <c:pt idx="3">
                  <c:v>19.427754108522162</c:v>
                </c:pt>
                <c:pt idx="4">
                  <c:v>32.513468394236448</c:v>
                </c:pt>
                <c:pt idx="5">
                  <c:v>48.434896965665018</c:v>
                </c:pt>
                <c:pt idx="6">
                  <c:v>64.434896965665018</c:v>
                </c:pt>
                <c:pt idx="7">
                  <c:v>127.97775410852215</c:v>
                </c:pt>
                <c:pt idx="8">
                  <c:v>170.86346839423646</c:v>
                </c:pt>
                <c:pt idx="9">
                  <c:v>255.87775410852217</c:v>
                </c:pt>
                <c:pt idx="10">
                  <c:v>340.93489696566502</c:v>
                </c:pt>
                <c:pt idx="11">
                  <c:v>424.86346839423641</c:v>
                </c:pt>
                <c:pt idx="12">
                  <c:v>510.7206112513793</c:v>
                </c:pt>
                <c:pt idx="13">
                  <c:v>597.29203982280796</c:v>
                </c:pt>
                <c:pt idx="14">
                  <c:v>687.14918267995074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FD-4433-B47B-834C8A165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1812016"/>
        <c:axId val="711813264"/>
      </c:barChart>
      <c:catAx>
        <c:axId val="711812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813264"/>
        <c:crosses val="autoZero"/>
        <c:auto val="1"/>
        <c:lblAlgn val="ctr"/>
        <c:lblOffset val="100"/>
        <c:noMultiLvlLbl val="0"/>
      </c:catAx>
      <c:valAx>
        <c:axId val="71181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81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'Septic Tank - British '!$Q$98:$Q$112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'Septic Tank - British '!$U$98:$U$112</c:f>
              <c:numCache>
                <c:formatCode>General</c:formatCode>
                <c:ptCount val="15"/>
                <c:pt idx="0">
                  <c:v>96.791250000000005</c:v>
                </c:pt>
                <c:pt idx="1">
                  <c:v>193.58250000000001</c:v>
                </c:pt>
                <c:pt idx="2">
                  <c:v>387.16500000000002</c:v>
                </c:pt>
                <c:pt idx="3">
                  <c:v>580.74749999999995</c:v>
                </c:pt>
                <c:pt idx="4">
                  <c:v>967.91249999999991</c:v>
                </c:pt>
                <c:pt idx="5">
                  <c:v>1451.8687499999999</c:v>
                </c:pt>
                <c:pt idx="6">
                  <c:v>1935.8249999999998</c:v>
                </c:pt>
                <c:pt idx="7">
                  <c:v>2903.7374999999997</c:v>
                </c:pt>
                <c:pt idx="8">
                  <c:v>3871.6499999999996</c:v>
                </c:pt>
                <c:pt idx="9">
                  <c:v>5807.4749999999995</c:v>
                </c:pt>
                <c:pt idx="10">
                  <c:v>7743.2999999999993</c:v>
                </c:pt>
                <c:pt idx="11">
                  <c:v>9679.125</c:v>
                </c:pt>
                <c:pt idx="12">
                  <c:v>11614.949999999999</c:v>
                </c:pt>
                <c:pt idx="13">
                  <c:v>15486.599999999999</c:v>
                </c:pt>
                <c:pt idx="14">
                  <c:v>19358.25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CD-43AF-B0A2-024D3B5DE549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'Septic Tank - British '!$Q$98:$Q$112</c:f>
              <c:numCache>
                <c:formatCode>General</c:formatCode>
                <c:ptCount val="15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'Septic Tank - British '!$V$98:$V$112</c:f>
              <c:numCache>
                <c:formatCode>General</c:formatCode>
                <c:ptCount val="15"/>
                <c:pt idx="0">
                  <c:v>547.14449999999999</c:v>
                </c:pt>
                <c:pt idx="1">
                  <c:v>1094.289</c:v>
                </c:pt>
                <c:pt idx="2">
                  <c:v>2188.578</c:v>
                </c:pt>
                <c:pt idx="3">
                  <c:v>3282.8670000000002</c:v>
                </c:pt>
                <c:pt idx="4">
                  <c:v>5471.4449999999997</c:v>
                </c:pt>
                <c:pt idx="5">
                  <c:v>8207.1675000000014</c:v>
                </c:pt>
                <c:pt idx="6">
                  <c:v>10942.89</c:v>
                </c:pt>
                <c:pt idx="7">
                  <c:v>16414.335000000003</c:v>
                </c:pt>
                <c:pt idx="8">
                  <c:v>21885.78</c:v>
                </c:pt>
                <c:pt idx="9">
                  <c:v>32828.670000000006</c:v>
                </c:pt>
                <c:pt idx="10">
                  <c:v>43771.56</c:v>
                </c:pt>
                <c:pt idx="11">
                  <c:v>54714.450000000004</c:v>
                </c:pt>
                <c:pt idx="12">
                  <c:v>65657.340000000011</c:v>
                </c:pt>
                <c:pt idx="13">
                  <c:v>87543.12</c:v>
                </c:pt>
                <c:pt idx="14">
                  <c:v>109428.90000000001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CD-43AF-B0A2-024D3B5DE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9769856"/>
        <c:axId val="1350306224"/>
      </c:scatterChart>
      <c:valAx>
        <c:axId val="146976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0306224"/>
        <c:crosses val="autoZero"/>
        <c:crossBetween val="midCat"/>
      </c:valAx>
      <c:valAx>
        <c:axId val="1350306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9769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'Operational Emission Summary'!$AM$89</c:f>
              <c:strCache>
                <c:ptCount val="1"/>
                <c:pt idx="0">
                  <c:v>Process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'Operational Emission Summary'!$AM$90:$AM$104</c:f>
              <c:numCache>
                <c:formatCode>General</c:formatCode>
                <c:ptCount val="15"/>
                <c:pt idx="0">
                  <c:v>8.1528849421394458</c:v>
                </c:pt>
                <c:pt idx="1">
                  <c:v>16.305769884278892</c:v>
                </c:pt>
                <c:pt idx="2">
                  <c:v>32.611539768557783</c:v>
                </c:pt>
                <c:pt idx="3">
                  <c:v>48.917309652836657</c:v>
                </c:pt>
                <c:pt idx="4">
                  <c:v>81.528849421394426</c:v>
                </c:pt>
                <c:pt idx="5">
                  <c:v>122.29327413209165</c:v>
                </c:pt>
                <c:pt idx="6">
                  <c:v>163.05769884278885</c:v>
                </c:pt>
                <c:pt idx="7">
                  <c:v>244.58654826418331</c:v>
                </c:pt>
                <c:pt idx="8">
                  <c:v>326.1153976855777</c:v>
                </c:pt>
                <c:pt idx="9">
                  <c:v>489.17309652836661</c:v>
                </c:pt>
                <c:pt idx="10">
                  <c:v>652.23079537115541</c:v>
                </c:pt>
                <c:pt idx="11">
                  <c:v>815.28849421394432</c:v>
                </c:pt>
                <c:pt idx="12">
                  <c:v>978.34619305673323</c:v>
                </c:pt>
                <c:pt idx="13">
                  <c:v>1304.4615907423108</c:v>
                </c:pt>
                <c:pt idx="14">
                  <c:v>1630.5769884278886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6-409C-8F24-6BE131CCF604}"/>
            </c:ext>
          </c:extLst>
        </c:ser>
        <c:ser>
          <c:idx val="1"/>
          <c:order val="1"/>
          <c:tx>
            <c:strRef>
              <c:f>'Operational Emission Summary'!$AN$89</c:f>
              <c:strCache>
                <c:ptCount val="1"/>
                <c:pt idx="0">
                  <c:v>Tankering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'Operational Emission Summary'!$AN$90:$AN$104</c:f>
              <c:numCache>
                <c:formatCode>General</c:formatCode>
                <c:ptCount val="15"/>
                <c:pt idx="0">
                  <c:v>8.1146902473230647</c:v>
                </c:pt>
                <c:pt idx="1">
                  <c:v>2.7979372898842114</c:v>
                </c:pt>
                <c:pt idx="2">
                  <c:v>3.0984950009217087</c:v>
                </c:pt>
                <c:pt idx="3">
                  <c:v>3.750061149649508</c:v>
                </c:pt>
                <c:pt idx="4">
                  <c:v>4.1119280575371429</c:v>
                </c:pt>
                <c:pt idx="5">
                  <c:v>3.8857612401073727</c:v>
                </c:pt>
                <c:pt idx="6">
                  <c:v>4.1119280575371429</c:v>
                </c:pt>
                <c:pt idx="7">
                  <c:v>8.908818315822856</c:v>
                </c:pt>
                <c:pt idx="8">
                  <c:v>10.507781735251431</c:v>
                </c:pt>
                <c:pt idx="9">
                  <c:v>12.106745154680002</c:v>
                </c:pt>
                <c:pt idx="10">
                  <c:v>15.304671993537143</c:v>
                </c:pt>
                <c:pt idx="11">
                  <c:v>18.502598832394291</c:v>
                </c:pt>
                <c:pt idx="12">
                  <c:v>21.700525671251434</c:v>
                </c:pt>
                <c:pt idx="13">
                  <c:v>28.096379348965716</c:v>
                </c:pt>
                <c:pt idx="14">
                  <c:v>34.492233026679997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66-409C-8F24-6BE131CCF604}"/>
            </c:ext>
          </c:extLst>
        </c:ser>
        <c:ser>
          <c:idx val="2"/>
          <c:order val="2"/>
          <c:tx>
            <c:strRef>
              <c:f>'Operational Emission Summary'!$AO$89</c:f>
              <c:strCache>
                <c:ptCount val="1"/>
                <c:pt idx="0">
                  <c:v>Discharge to Surface Waters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'Operational Emission Summary'!$AO$90:$AO$104</c:f>
              <c:numCache>
                <c:formatCode>General</c:formatCode>
                <c:ptCount val="15"/>
                <c:pt idx="0">
                  <c:v>31.626769218749999</c:v>
                </c:pt>
                <c:pt idx="1">
                  <c:v>63.253538437499998</c:v>
                </c:pt>
                <c:pt idx="2">
                  <c:v>126.507076875</c:v>
                </c:pt>
                <c:pt idx="3">
                  <c:v>189.76061531250002</c:v>
                </c:pt>
                <c:pt idx="4">
                  <c:v>316.26769218750002</c:v>
                </c:pt>
                <c:pt idx="5">
                  <c:v>474.40153828124994</c:v>
                </c:pt>
                <c:pt idx="6">
                  <c:v>632.53538437500004</c:v>
                </c:pt>
                <c:pt idx="7">
                  <c:v>948.80307656249988</c:v>
                </c:pt>
                <c:pt idx="8">
                  <c:v>1265.0707687500001</c:v>
                </c:pt>
                <c:pt idx="9">
                  <c:v>1897.6061531249998</c:v>
                </c:pt>
                <c:pt idx="10">
                  <c:v>2530.1415375000001</c:v>
                </c:pt>
                <c:pt idx="11">
                  <c:v>3162.6769218750001</c:v>
                </c:pt>
                <c:pt idx="12">
                  <c:v>3795.2123062499995</c:v>
                </c:pt>
                <c:pt idx="13">
                  <c:v>5060.2830750000003</c:v>
                </c:pt>
                <c:pt idx="14">
                  <c:v>6325.3538437500001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66-409C-8F24-6BE131CCF604}"/>
            </c:ext>
          </c:extLst>
        </c:ser>
        <c:ser>
          <c:idx val="3"/>
          <c:order val="3"/>
          <c:tx>
            <c:strRef>
              <c:f>'Operational Emission Summary'!$AP$89</c:f>
              <c:strCache>
                <c:ptCount val="1"/>
                <c:pt idx="0">
                  <c:v>Electrical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'Operational Emission Summary'!$AP$90:$AP$104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66-409C-8F24-6BE131CCF604}"/>
            </c:ext>
          </c:extLst>
        </c:ser>
        <c:ser>
          <c:idx val="4"/>
          <c:order val="4"/>
          <c:tx>
            <c:strRef>
              <c:f>'Operational Emission Summary'!$AQ$89</c:f>
              <c:strCache>
                <c:ptCount val="1"/>
                <c:pt idx="0">
                  <c:v>Site Visits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'Operational Emission Summary'!$AQ$90:$AQ$104</c:f>
              <c:numCache>
                <c:formatCode>General</c:formatCode>
                <c:ptCount val="15"/>
                <c:pt idx="0">
                  <c:v>7.5906445123077995E-2</c:v>
                </c:pt>
                <c:pt idx="1">
                  <c:v>7.5906445123077995E-2</c:v>
                </c:pt>
                <c:pt idx="2">
                  <c:v>7.5906445123077995E-2</c:v>
                </c:pt>
                <c:pt idx="3">
                  <c:v>7.5906445123077995E-2</c:v>
                </c:pt>
                <c:pt idx="4">
                  <c:v>7.5906445123077995E-2</c:v>
                </c:pt>
                <c:pt idx="5">
                  <c:v>7.5906445123077995E-2</c:v>
                </c:pt>
                <c:pt idx="6">
                  <c:v>7.5906445123077995E-2</c:v>
                </c:pt>
                <c:pt idx="7">
                  <c:v>7.5906445123077995E-2</c:v>
                </c:pt>
                <c:pt idx="8">
                  <c:v>7.5906445123077995E-2</c:v>
                </c:pt>
                <c:pt idx="9">
                  <c:v>7.5906445123077995E-2</c:v>
                </c:pt>
                <c:pt idx="10">
                  <c:v>7.5906445123077995E-2</c:v>
                </c:pt>
                <c:pt idx="11">
                  <c:v>7.5906445123077995E-2</c:v>
                </c:pt>
                <c:pt idx="12">
                  <c:v>7.5906445123077995E-2</c:v>
                </c:pt>
                <c:pt idx="13">
                  <c:v>7.5906445123077995E-2</c:v>
                </c:pt>
                <c:pt idx="14">
                  <c:v>7.5906445123077995E-2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66-409C-8F24-6BE131CCF604}"/>
            </c:ext>
          </c:extLst>
        </c:ser>
        <c:ser>
          <c:idx val="5"/>
          <c:order val="5"/>
          <c:tx>
            <c:strRef>
              <c:f>'Operational Emission Summary'!$AR$89</c:f>
              <c:strCache>
                <c:ptCount val="1"/>
                <c:pt idx="0">
                  <c:v>Maintanence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'Operational Emission Summary'!$AR$90:$AR$104</c:f>
              <c:numCache>
                <c:formatCode>General</c:formatCode>
                <c:ptCount val="15"/>
                <c:pt idx="0">
                  <c:v>15.399182679950732</c:v>
                </c:pt>
                <c:pt idx="1">
                  <c:v>26.220611251379307</c:v>
                </c:pt>
                <c:pt idx="2">
                  <c:v>44.720611251379303</c:v>
                </c:pt>
                <c:pt idx="3">
                  <c:v>63.549182679950732</c:v>
                </c:pt>
                <c:pt idx="4">
                  <c:v>97.920611251379299</c:v>
                </c:pt>
                <c:pt idx="5">
                  <c:v>170.14918267995074</c:v>
                </c:pt>
                <c:pt idx="6">
                  <c:v>217.43489696566502</c:v>
                </c:pt>
                <c:pt idx="7">
                  <c:v>290.00632553709357</c:v>
                </c:pt>
                <c:pt idx="8">
                  <c:v>398.14918267995074</c:v>
                </c:pt>
                <c:pt idx="9">
                  <c:v>581.29203982280796</c:v>
                </c:pt>
                <c:pt idx="10">
                  <c:v>795.7206112513793</c:v>
                </c:pt>
                <c:pt idx="11">
                  <c:v>979.00632553709363</c:v>
                </c:pt>
                <c:pt idx="12">
                  <c:v>1162.4348969656648</c:v>
                </c:pt>
                <c:pt idx="13">
                  <c:v>1380.8634683942364</c:v>
                </c:pt>
                <c:pt idx="14">
                  <c:v>1560.0063255370935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66-409C-8F24-6BE131CCF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5874192"/>
        <c:axId val="825871696"/>
      </c:barChart>
      <c:catAx>
        <c:axId val="825874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871696"/>
        <c:crosses val="autoZero"/>
        <c:auto val="1"/>
        <c:lblAlgn val="ctr"/>
        <c:lblOffset val="100"/>
        <c:noMultiLvlLbl val="0"/>
      </c:catAx>
      <c:valAx>
        <c:axId val="82587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87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'Operational Emission Summary'!$BG$8</c:f>
              <c:strCache>
                <c:ptCount val="1"/>
                <c:pt idx="0">
                  <c:v>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'Operational Emission Summary'!$BF$9:$BF$11</c:f>
              <c:numCache>
                <c:formatCode>General</c:formatCode>
                <c:ptCount val="3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</c:numCache>
            </c:numRef>
          </c:cat>
          <c:val>
            <c:numRef>
              <c:f>'Operational Emission Summary'!$BG$9:$BG$11</c:f>
              <c:numCache>
                <c:formatCode>General</c:formatCode>
                <c:ptCount val="3"/>
                <c:pt idx="0">
                  <c:v>0.13956130394999999</c:v>
                </c:pt>
                <c:pt idx="1">
                  <c:v>0.12966250215</c:v>
                </c:pt>
                <c:pt idx="2">
                  <c:v>0.12985124459200001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9-4C21-889C-539BF5626168}"/>
            </c:ext>
          </c:extLst>
        </c:ser>
        <c:ser>
          <c:idx val="1"/>
          <c:order val="1"/>
          <c:tx>
            <c:strRef>
              <c:f>'Operational Emission Summary'!$BH$8</c:f>
              <c:strCache>
                <c:ptCount val="1"/>
                <c:pt idx="0">
                  <c:v>SAF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'Operational Emission Summary'!$BF$9:$BF$11</c:f>
              <c:numCache>
                <c:formatCode>General</c:formatCode>
                <c:ptCount val="3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</c:numCache>
            </c:numRef>
          </c:cat>
          <c:val>
            <c:numRef>
              <c:f>'Operational Emission Summary'!$BH$9:$BH$11</c:f>
              <c:numCache>
                <c:formatCode>General</c:formatCode>
                <c:ptCount val="3"/>
                <c:pt idx="0">
                  <c:v>8.556632236050829E-2</c:v>
                </c:pt>
                <c:pt idx="1">
                  <c:v>6.2255823527958498E-2</c:v>
                </c:pt>
                <c:pt idx="2">
                  <c:v>1.6216208729877279E-2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D9-4C21-889C-539BF5626168}"/>
            </c:ext>
          </c:extLst>
        </c:ser>
        <c:ser>
          <c:idx val="2"/>
          <c:order val="2"/>
          <c:tx>
            <c:strRef>
              <c:f>'Operational Emission Summary'!$BI$8</c:f>
              <c:strCache>
                <c:ptCount val="1"/>
                <c:pt idx="0">
                  <c:v>ABR-VF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'Operational Emission Summary'!$BF$9:$BF$11</c:f>
              <c:numCache>
                <c:formatCode>General</c:formatCode>
                <c:ptCount val="3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</c:numCache>
            </c:numRef>
          </c:cat>
          <c:val>
            <c:numRef>
              <c:f>'Operational Emission Summary'!$BI$9:$BI$11</c:f>
              <c:numCache>
                <c:formatCode>General</c:formatCode>
                <c:ptCount val="3"/>
                <c:pt idx="0">
                  <c:v>4.5921216575572243E-2</c:v>
                </c:pt>
                <c:pt idx="1">
                  <c:v>1.3127958392102887E-2</c:v>
                </c:pt>
                <c:pt idx="2">
                  <c:v>9.9376704085007463E-3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D9-4C21-889C-539BF5626168}"/>
            </c:ext>
          </c:extLst>
        </c:ser>
        <c:ser>
          <c:idx val="3"/>
          <c:order val="3"/>
          <c:tx>
            <c:strRef>
              <c:f>'Operational Emission Summary'!$BJ$8</c:f>
              <c:strCache>
                <c:ptCount val="1"/>
                <c:pt idx="0">
                  <c:v>ABR-AHF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'Operational Emission Summary'!$BF$9:$BF$11</c:f>
              <c:numCache>
                <c:formatCode>General</c:formatCode>
                <c:ptCount val="3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</c:numCache>
            </c:numRef>
          </c:cat>
          <c:val>
            <c:numRef>
              <c:f>'Operational Emission Summary'!$BJ$9:$BJ$11</c:f>
              <c:numCache>
                <c:formatCode>General</c:formatCode>
                <c:ptCount val="3"/>
                <c:pt idx="0">
                  <c:v>5.4944936170872746E-2</c:v>
                </c:pt>
                <c:pt idx="1">
                  <c:v>1.8486665727085322E-2</c:v>
                </c:pt>
                <c:pt idx="2">
                  <c:v>1.2583614592344064E-2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D9-4C21-889C-539BF5626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1188768"/>
        <c:axId val="1851181280"/>
      </c:barChart>
      <c:catAx>
        <c:axId val="1851188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System</a:t>
                </a:r>
                <a:r>
                  <a:rPr lang="en-GB" baseline="0"/>
                  <a:t> Size (PE)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181280"/>
        <c:crosses val="autoZero"/>
        <c:auto val="1"/>
        <c:lblAlgn val="ctr"/>
        <c:lblOffset val="100"/>
        <c:noMultiLvlLbl val="0"/>
      </c:catAx>
      <c:valAx>
        <c:axId val="18511812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GB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Yearly carbon emissions per population equivalent (tCO2 eq yr-1 PE-1)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GB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18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'21-O'!$B$44:$B$47</c:f>
              <c:strCache>
                <c:ptCount val="4"/>
                <c:pt idx="0">
                  <c:v>STS</c:v>
                </c:pt>
                <c:pt idx="1">
                  <c:v>SAF</c:v>
                </c:pt>
                <c:pt idx="2">
                  <c:v>ABR-VF</c:v>
                </c:pt>
                <c:pt idx="3">
                  <c:v>ABR-AHF</c:v>
                </c:pt>
              </c:strCache>
            </c:strRef>
          </c:cat>
          <c:val>
            <c:numRef>
              <c:f>'21-O'!$C$44:$C$47</c:f>
              <c:numCache>
                <c:formatCode>General</c:formatCode>
                <c:ptCount val="4"/>
                <c:pt idx="0">
                  <c:v>42608.191185000003</c:v>
                </c:pt>
                <c:pt idx="1">
                  <c:v>31459.89670815249</c:v>
                </c:pt>
                <c:pt idx="2">
                  <c:v>17405.172499046363</c:v>
                </c:pt>
                <c:pt idx="3">
                  <c:v>18677.088377636512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A-47DA-8248-930A9F6671E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'21-O'!$B$44:$B$47</c:f>
              <c:strCache>
                <c:ptCount val="4"/>
                <c:pt idx="0">
                  <c:v>STS</c:v>
                </c:pt>
                <c:pt idx="1">
                  <c:v>SAF</c:v>
                </c:pt>
                <c:pt idx="2">
                  <c:v>ABR-VF</c:v>
                </c:pt>
                <c:pt idx="3">
                  <c:v>ABR-AHF</c:v>
                </c:pt>
              </c:strCache>
            </c:strRef>
          </c:cat>
          <c:val>
            <c:numRef>
              <c:f>'21-O'!$D$44:$D$47</c:f>
              <c:numCache>
                <c:formatCode>General</c:formatCode>
                <c:ptCount val="4"/>
                <c:pt idx="0">
                  <c:v>45460.391185</c:v>
                </c:pt>
                <c:pt idx="1">
                  <c:v>38269.89670815249</c:v>
                </c:pt>
                <c:pt idx="2">
                  <c:v>25726.764972671674</c:v>
                </c:pt>
                <c:pt idx="3">
                  <c:v>26998.680851261823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A-47DA-8248-930A9F66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9928800"/>
        <c:axId val="939917152"/>
      </c:barChart>
      <c:catAx>
        <c:axId val="93992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9917152"/>
        <c:crosses val="autoZero"/>
        <c:auto val="1"/>
        <c:lblAlgn val="ctr"/>
        <c:lblOffset val="100"/>
        <c:noMultiLvlLbl val="0"/>
      </c:catAx>
      <c:valAx>
        <c:axId val="939917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992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'21-O'!$N$44:$N$47</c:f>
              <c:strCache>
                <c:ptCount val="4"/>
                <c:pt idx="0">
                  <c:v>STS</c:v>
                </c:pt>
                <c:pt idx="1">
                  <c:v>SAF</c:v>
                </c:pt>
                <c:pt idx="2">
                  <c:v>ABR-VF</c:v>
                </c:pt>
                <c:pt idx="3">
                  <c:v>ABR-AHF</c:v>
                </c:pt>
              </c:strCache>
            </c:strRef>
          </c:cat>
          <c:val>
            <c:numRef>
              <c:f>'21-O'!$O$44:$O$47</c:f>
              <c:numCache>
                <c:formatCode>General</c:formatCode>
                <c:ptCount val="4"/>
                <c:pt idx="0">
                  <c:v>429787.50644999999</c:v>
                </c:pt>
                <c:pt idx="1">
                  <c:v>255667.47058387549</c:v>
                </c:pt>
                <c:pt idx="2">
                  <c:v>64413.33994895051</c:v>
                </c:pt>
                <c:pt idx="3">
                  <c:v>65800.061953897821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A-477A-AB06-9FC5EAD33CE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'21-O'!$N$44:$N$47</c:f>
              <c:strCache>
                <c:ptCount val="4"/>
                <c:pt idx="0">
                  <c:v>STS</c:v>
                </c:pt>
                <c:pt idx="1">
                  <c:v>SAF</c:v>
                </c:pt>
                <c:pt idx="2">
                  <c:v>ABR-VF</c:v>
                </c:pt>
                <c:pt idx="3">
                  <c:v>ABR-AHF</c:v>
                </c:pt>
              </c:strCache>
            </c:strRef>
          </c:cat>
          <c:val>
            <c:numRef>
              <c:f>'21-O'!$P$44:$P$47</c:f>
              <c:numCache>
                <c:formatCode>General</c:formatCode>
                <c:ptCount val="4"/>
                <c:pt idx="0">
                  <c:v>432987.50644999999</c:v>
                </c:pt>
                <c:pt idx="1">
                  <c:v>255667.47058387549</c:v>
                </c:pt>
                <c:pt idx="2">
                  <c:v>126399.87517630866</c:v>
                </c:pt>
                <c:pt idx="3">
                  <c:v>127786.59718125597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EA-477A-AB06-9FC5EAD33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4532576"/>
        <c:axId val="614539232"/>
      </c:barChart>
      <c:catAx>
        <c:axId val="61453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39232"/>
        <c:crosses val="autoZero"/>
        <c:auto val="1"/>
        <c:lblAlgn val="ctr"/>
        <c:lblOffset val="100"/>
        <c:noMultiLvlLbl val="0"/>
      </c:catAx>
      <c:valAx>
        <c:axId val="6145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3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'21-O'!$Y$44:$Y$47</c:f>
              <c:strCache>
                <c:ptCount val="4"/>
                <c:pt idx="0">
                  <c:v>STS</c:v>
                </c:pt>
                <c:pt idx="1">
                  <c:v>SAF</c:v>
                </c:pt>
                <c:pt idx="2">
                  <c:v>ABR-VF</c:v>
                </c:pt>
                <c:pt idx="3">
                  <c:v>ABR-AHF</c:v>
                </c:pt>
              </c:strCache>
            </c:strRef>
          </c:cat>
          <c:val>
            <c:numRef>
              <c:f>'21-O'!$Z$44:$Z$47</c:f>
              <c:numCache>
                <c:formatCode>General</c:formatCode>
                <c:ptCount val="4"/>
                <c:pt idx="0">
                  <c:v>4213537.3377599996</c:v>
                </c:pt>
                <c:pt idx="1">
                  <c:v>1264042.9980675234</c:v>
                </c:pt>
                <c:pt idx="2">
                  <c:v>599693.94082388491</c:v>
                </c:pt>
                <c:pt idx="3">
                  <c:v>435961.26633918448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2-40AB-A0AA-42856EE8830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'21-O'!$Y$44:$Y$47</c:f>
              <c:strCache>
                <c:ptCount val="4"/>
                <c:pt idx="0">
                  <c:v>STS</c:v>
                </c:pt>
                <c:pt idx="1">
                  <c:v>SAF</c:v>
                </c:pt>
                <c:pt idx="2">
                  <c:v>ABR-VF</c:v>
                </c:pt>
                <c:pt idx="3">
                  <c:v>ABR-AHF</c:v>
                </c:pt>
              </c:strCache>
            </c:strRef>
          </c:cat>
          <c:val>
            <c:numRef>
              <c:f>'21-O'!$AA$44:$AA$47</c:f>
              <c:numCache>
                <c:formatCode>General</c:formatCode>
                <c:ptCount val="4"/>
                <c:pt idx="0">
                  <c:v>4213537.3377599996</c:v>
                </c:pt>
                <c:pt idx="1">
                  <c:v>1604942.9980675234</c:v>
                </c:pt>
                <c:pt idx="2">
                  <c:v>1204670.1122550224</c:v>
                </c:pt>
                <c:pt idx="3">
                  <c:v>1040937.437770322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12-40AB-A0AA-42856EE88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4582080"/>
        <c:axId val="614601216"/>
      </c:barChart>
      <c:catAx>
        <c:axId val="6145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601216"/>
        <c:crosses val="autoZero"/>
        <c:auto val="1"/>
        <c:lblAlgn val="ctr"/>
        <c:lblOffset val="100"/>
        <c:noMultiLvlLbl val="0"/>
      </c:catAx>
      <c:valAx>
        <c:axId val="614601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8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'21-O'!$C$82</c:f>
              <c:strCache>
                <c:ptCount val="1"/>
                <c:pt idx="0">
                  <c:v>STS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'21-O'!$B$83:$B$85</c:f>
              <c:numCache>
                <c:formatCode>General</c:formatCode>
                <c:ptCount val="3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</c:numCache>
            </c:numRef>
          </c:xVal>
          <c:yVal>
            <c:numRef>
              <c:f>'21-O'!$C$83:$C$85</c:f>
              <c:numCache>
                <c:formatCode>General</c:formatCode>
                <c:ptCount val="3"/>
                <c:pt idx="0">
                  <c:v>4260.8191185000005</c:v>
                </c:pt>
                <c:pt idx="1">
                  <c:v>4297.8750645</c:v>
                </c:pt>
                <c:pt idx="2">
                  <c:v>4213.5373377599999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62-423A-9751-12DA23AAB3E6}"/>
            </c:ext>
          </c:extLst>
        </c:ser>
        <c:ser>
          <c:idx val="1"/>
          <c:order val="1"/>
          <c:tx>
            <c:strRef>
              <c:f>'21-O'!$D$82</c:f>
              <c:strCache>
                <c:ptCount val="1"/>
                <c:pt idx="0">
                  <c:v>SAF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'21-O'!$B$83:$B$85</c:f>
              <c:numCache>
                <c:formatCode>General</c:formatCode>
                <c:ptCount val="3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</c:numCache>
            </c:numRef>
          </c:xVal>
          <c:yVal>
            <c:numRef>
              <c:f>'21-O'!$D$83:$D$85</c:f>
              <c:numCache>
                <c:formatCode>General</c:formatCode>
                <c:ptCount val="3"/>
                <c:pt idx="0">
                  <c:v>3145.9896708152492</c:v>
                </c:pt>
                <c:pt idx="1">
                  <c:v>2556.674705838755</c:v>
                </c:pt>
                <c:pt idx="2">
                  <c:v>946.22175102131303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62-423A-9751-12DA23AAB3E6}"/>
            </c:ext>
          </c:extLst>
        </c:ser>
        <c:ser>
          <c:idx val="2"/>
          <c:order val="2"/>
          <c:tx>
            <c:strRef>
              <c:f>'21-O'!$E$82</c:f>
              <c:strCache>
                <c:ptCount val="1"/>
                <c:pt idx="0">
                  <c:v>EST-VF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'21-O'!$B$83:$B$85</c:f>
              <c:numCache>
                <c:formatCode>General</c:formatCode>
                <c:ptCount val="3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</c:numCache>
            </c:numRef>
          </c:xVal>
          <c:yVal>
            <c:numRef>
              <c:f>'21-O'!$E$83:$E$85</c:f>
              <c:numCache>
                <c:formatCode>General</c:formatCode>
                <c:ptCount val="3"/>
                <c:pt idx="0">
                  <c:v>1740.5172499046362</c:v>
                </c:pt>
                <c:pt idx="1">
                  <c:v>644.13339948950511</c:v>
                </c:pt>
                <c:pt idx="2">
                  <c:v>599.69394082388487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B62-423A-9751-12DA23AAB3E6}"/>
            </c:ext>
          </c:extLst>
        </c:ser>
        <c:ser>
          <c:idx val="3"/>
          <c:order val="3"/>
          <c:tx>
            <c:strRef>
              <c:f>'21-O'!$F$82</c:f>
              <c:strCache>
                <c:ptCount val="1"/>
                <c:pt idx="0">
                  <c:v>EST-AHF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'21-O'!$B$83:$B$85</c:f>
              <c:numCache>
                <c:formatCode>General</c:formatCode>
                <c:ptCount val="3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</c:numCache>
            </c:numRef>
          </c:xVal>
          <c:yVal>
            <c:numRef>
              <c:f>'21-O'!$F$83:$F$85</c:f>
              <c:numCache>
                <c:formatCode>General</c:formatCode>
                <c:ptCount val="3"/>
                <c:pt idx="0">
                  <c:v>1867.7088377636512</c:v>
                </c:pt>
                <c:pt idx="1">
                  <c:v>658.00061953897819</c:v>
                </c:pt>
                <c:pt idx="2">
                  <c:v>435.96126633918448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B62-423A-9751-12DA23AAB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5629567"/>
        <c:axId val="1205623327"/>
      </c:scatterChart>
      <c:valAx>
        <c:axId val="1205629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5623327"/>
        <c:crosses val="autoZero"/>
        <c:crossBetween val="midCat"/>
      </c:valAx>
      <c:valAx>
        <c:axId val="12056233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56295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'21-O'!$C$82</c:f>
              <c:strCache>
                <c:ptCount val="1"/>
                <c:pt idx="0">
                  <c:v>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'21-O'!$B$83:$B$85</c:f>
              <c:numCache>
                <c:formatCode>General</c:formatCode>
                <c:ptCount val="3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</c:numCache>
            </c:numRef>
          </c:cat>
          <c:val>
            <c:numRef>
              <c:f>'21-O'!$C$83:$C$85</c:f>
              <c:numCache>
                <c:formatCode>General</c:formatCode>
                <c:ptCount val="3"/>
                <c:pt idx="0">
                  <c:v>4260.8191185000005</c:v>
                </c:pt>
                <c:pt idx="1">
                  <c:v>4297.8750645</c:v>
                </c:pt>
                <c:pt idx="2">
                  <c:v>4213.5373377599999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5-4DAE-8B08-D019A001A519}"/>
            </c:ext>
          </c:extLst>
        </c:ser>
        <c:ser>
          <c:idx val="1"/>
          <c:order val="1"/>
          <c:tx>
            <c:strRef>
              <c:f>'21-O'!$D$82</c:f>
              <c:strCache>
                <c:ptCount val="1"/>
                <c:pt idx="0">
                  <c:v>SAF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'21-O'!$B$83:$B$85</c:f>
              <c:numCache>
                <c:formatCode>General</c:formatCode>
                <c:ptCount val="3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</c:numCache>
            </c:numRef>
          </c:cat>
          <c:val>
            <c:numRef>
              <c:f>'21-O'!$D$83:$D$85</c:f>
              <c:numCache>
                <c:formatCode>General</c:formatCode>
                <c:ptCount val="3"/>
                <c:pt idx="0">
                  <c:v>3145.9896708152492</c:v>
                </c:pt>
                <c:pt idx="1">
                  <c:v>2556.674705838755</c:v>
                </c:pt>
                <c:pt idx="2">
                  <c:v>946.22175102131303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65-4DAE-8B08-D019A001A519}"/>
            </c:ext>
          </c:extLst>
        </c:ser>
        <c:ser>
          <c:idx val="2"/>
          <c:order val="2"/>
          <c:tx>
            <c:strRef>
              <c:f>'21-O'!$E$82</c:f>
              <c:strCache>
                <c:ptCount val="1"/>
                <c:pt idx="0">
                  <c:v>EST-VF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'21-O'!$B$83:$B$85</c:f>
              <c:numCache>
                <c:formatCode>General</c:formatCode>
                <c:ptCount val="3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</c:numCache>
            </c:numRef>
          </c:cat>
          <c:val>
            <c:numRef>
              <c:f>'21-O'!$E$83:$E$85</c:f>
              <c:numCache>
                <c:formatCode>General</c:formatCode>
                <c:ptCount val="3"/>
                <c:pt idx="0">
                  <c:v>1740.5172499046362</c:v>
                </c:pt>
                <c:pt idx="1">
                  <c:v>644.13339948950511</c:v>
                </c:pt>
                <c:pt idx="2">
                  <c:v>599.69394082388487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65-4DAE-8B08-D019A001A519}"/>
            </c:ext>
          </c:extLst>
        </c:ser>
        <c:ser>
          <c:idx val="3"/>
          <c:order val="3"/>
          <c:tx>
            <c:strRef>
              <c:f>'21-O'!$F$82</c:f>
              <c:strCache>
                <c:ptCount val="1"/>
                <c:pt idx="0">
                  <c:v>EST-AHF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'21-O'!$B$83:$B$85</c:f>
              <c:numCache>
                <c:formatCode>General</c:formatCode>
                <c:ptCount val="3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</c:numCache>
            </c:numRef>
          </c:cat>
          <c:val>
            <c:numRef>
              <c:f>'21-O'!$F$83:$F$85</c:f>
              <c:numCache>
                <c:formatCode>General</c:formatCode>
                <c:ptCount val="3"/>
                <c:pt idx="0">
                  <c:v>1867.7088377636512</c:v>
                </c:pt>
                <c:pt idx="1">
                  <c:v>658.00061953897819</c:v>
                </c:pt>
                <c:pt idx="2">
                  <c:v>435.96126633918448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65-4DAE-8B08-D019A001A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5623743"/>
        <c:axId val="1205642879"/>
      </c:barChart>
      <c:catAx>
        <c:axId val="1205623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5642879"/>
        <c:crosses val="autoZero"/>
        <c:auto val="1"/>
        <c:lblAlgn val="ctr"/>
        <c:lblOffset val="100"/>
        <c:noMultiLvlLbl val="0"/>
      </c:catAx>
      <c:valAx>
        <c:axId val="12056428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562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'Graph X'!$S$2</c:f>
              <c:strCache>
                <c:ptCount val="1"/>
                <c:pt idx="0">
                  <c:v>STS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'Graph X'!$R$3:$R$210</c:f>
              <c:numCache>
                <c:formatCode>General</c:formatCode>
                <c:ptCount val="20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0.6</c:v>
                </c:pt>
                <c:pt idx="4">
                  <c:v>1</c:v>
                </c:pt>
                <c:pt idx="5">
                  <c:v>1.6305769884278885</c:v>
                </c:pt>
                <c:pt idx="6">
                  <c:v>2</c:v>
                </c:pt>
                <c:pt idx="7">
                  <c:v>2.4761590453028886</c:v>
                </c:pt>
                <c:pt idx="8">
                  <c:v>3</c:v>
                </c:pt>
                <c:pt idx="9">
                  <c:v>3.4866764999999997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  <c:pt idx="57">
                  <c:v>51</c:v>
                </c:pt>
                <c:pt idx="58">
                  <c:v>52</c:v>
                </c:pt>
                <c:pt idx="59">
                  <c:v>53</c:v>
                </c:pt>
                <c:pt idx="60">
                  <c:v>54</c:v>
                </c:pt>
                <c:pt idx="61">
                  <c:v>55</c:v>
                </c:pt>
                <c:pt idx="62">
                  <c:v>56</c:v>
                </c:pt>
                <c:pt idx="63">
                  <c:v>57</c:v>
                </c:pt>
                <c:pt idx="64">
                  <c:v>58</c:v>
                </c:pt>
                <c:pt idx="65">
                  <c:v>59</c:v>
                </c:pt>
                <c:pt idx="66">
                  <c:v>60</c:v>
                </c:pt>
                <c:pt idx="67">
                  <c:v>61</c:v>
                </c:pt>
                <c:pt idx="68">
                  <c:v>62</c:v>
                </c:pt>
                <c:pt idx="69">
                  <c:v>63</c:v>
                </c:pt>
                <c:pt idx="70">
                  <c:v>64</c:v>
                </c:pt>
                <c:pt idx="71">
                  <c:v>65</c:v>
                </c:pt>
                <c:pt idx="72">
                  <c:v>66</c:v>
                </c:pt>
                <c:pt idx="73">
                  <c:v>67</c:v>
                </c:pt>
                <c:pt idx="74">
                  <c:v>68</c:v>
                </c:pt>
                <c:pt idx="75">
                  <c:v>69</c:v>
                </c:pt>
                <c:pt idx="76">
                  <c:v>70</c:v>
                </c:pt>
                <c:pt idx="77">
                  <c:v>71</c:v>
                </c:pt>
                <c:pt idx="78">
                  <c:v>72</c:v>
                </c:pt>
                <c:pt idx="79">
                  <c:v>73</c:v>
                </c:pt>
                <c:pt idx="80">
                  <c:v>74</c:v>
                </c:pt>
                <c:pt idx="81">
                  <c:v>75</c:v>
                </c:pt>
                <c:pt idx="82">
                  <c:v>76</c:v>
                </c:pt>
                <c:pt idx="83">
                  <c:v>77</c:v>
                </c:pt>
                <c:pt idx="84">
                  <c:v>78</c:v>
                </c:pt>
                <c:pt idx="85">
                  <c:v>79</c:v>
                </c:pt>
                <c:pt idx="86">
                  <c:v>80</c:v>
                </c:pt>
                <c:pt idx="87">
                  <c:v>81</c:v>
                </c:pt>
                <c:pt idx="88">
                  <c:v>82</c:v>
                </c:pt>
                <c:pt idx="89">
                  <c:v>83</c:v>
                </c:pt>
                <c:pt idx="90">
                  <c:v>84</c:v>
                </c:pt>
                <c:pt idx="91">
                  <c:v>85</c:v>
                </c:pt>
                <c:pt idx="92">
                  <c:v>86</c:v>
                </c:pt>
                <c:pt idx="93">
                  <c:v>87</c:v>
                </c:pt>
                <c:pt idx="94">
                  <c:v>88</c:v>
                </c:pt>
                <c:pt idx="95">
                  <c:v>89</c:v>
                </c:pt>
                <c:pt idx="96">
                  <c:v>90</c:v>
                </c:pt>
                <c:pt idx="97">
                  <c:v>91</c:v>
                </c:pt>
                <c:pt idx="98">
                  <c:v>92</c:v>
                </c:pt>
                <c:pt idx="99">
                  <c:v>93</c:v>
                </c:pt>
                <c:pt idx="100">
                  <c:v>94</c:v>
                </c:pt>
                <c:pt idx="101">
                  <c:v>95</c:v>
                </c:pt>
                <c:pt idx="102">
                  <c:v>96</c:v>
                </c:pt>
                <c:pt idx="103">
                  <c:v>97</c:v>
                </c:pt>
                <c:pt idx="104">
                  <c:v>98</c:v>
                </c:pt>
                <c:pt idx="105">
                  <c:v>99</c:v>
                </c:pt>
                <c:pt idx="106">
                  <c:v>100</c:v>
                </c:pt>
                <c:pt idx="107">
                  <c:v>101</c:v>
                </c:pt>
                <c:pt idx="108">
                  <c:v>102</c:v>
                </c:pt>
                <c:pt idx="109">
                  <c:v>103</c:v>
                </c:pt>
                <c:pt idx="110">
                  <c:v>104</c:v>
                </c:pt>
                <c:pt idx="111">
                  <c:v>105</c:v>
                </c:pt>
                <c:pt idx="112">
                  <c:v>106</c:v>
                </c:pt>
                <c:pt idx="113">
                  <c:v>107</c:v>
                </c:pt>
                <c:pt idx="114">
                  <c:v>108</c:v>
                </c:pt>
                <c:pt idx="115">
                  <c:v>109</c:v>
                </c:pt>
                <c:pt idx="116">
                  <c:v>110</c:v>
                </c:pt>
                <c:pt idx="117">
                  <c:v>111</c:v>
                </c:pt>
                <c:pt idx="118">
                  <c:v>112</c:v>
                </c:pt>
                <c:pt idx="119">
                  <c:v>113</c:v>
                </c:pt>
                <c:pt idx="120">
                  <c:v>114</c:v>
                </c:pt>
                <c:pt idx="121">
                  <c:v>115</c:v>
                </c:pt>
                <c:pt idx="122">
                  <c:v>116</c:v>
                </c:pt>
                <c:pt idx="123">
                  <c:v>117</c:v>
                </c:pt>
                <c:pt idx="124">
                  <c:v>118</c:v>
                </c:pt>
                <c:pt idx="125">
                  <c:v>119</c:v>
                </c:pt>
                <c:pt idx="126">
                  <c:v>120</c:v>
                </c:pt>
                <c:pt idx="127">
                  <c:v>121</c:v>
                </c:pt>
                <c:pt idx="128">
                  <c:v>122</c:v>
                </c:pt>
                <c:pt idx="129">
                  <c:v>123</c:v>
                </c:pt>
                <c:pt idx="130">
                  <c:v>124</c:v>
                </c:pt>
                <c:pt idx="131">
                  <c:v>125</c:v>
                </c:pt>
                <c:pt idx="132">
                  <c:v>126</c:v>
                </c:pt>
                <c:pt idx="133">
                  <c:v>127</c:v>
                </c:pt>
                <c:pt idx="134">
                  <c:v>128</c:v>
                </c:pt>
                <c:pt idx="135">
                  <c:v>128.78715</c:v>
                </c:pt>
                <c:pt idx="136">
                  <c:v>129</c:v>
                </c:pt>
                <c:pt idx="137">
                  <c:v>130</c:v>
                </c:pt>
                <c:pt idx="138">
                  <c:v>131</c:v>
                </c:pt>
                <c:pt idx="139">
                  <c:v>132</c:v>
                </c:pt>
                <c:pt idx="140">
                  <c:v>133</c:v>
                </c:pt>
                <c:pt idx="141">
                  <c:v>134</c:v>
                </c:pt>
                <c:pt idx="142">
                  <c:v>135</c:v>
                </c:pt>
                <c:pt idx="143">
                  <c:v>136</c:v>
                </c:pt>
                <c:pt idx="144">
                  <c:v>137</c:v>
                </c:pt>
                <c:pt idx="145">
                  <c:v>138</c:v>
                </c:pt>
                <c:pt idx="146">
                  <c:v>139</c:v>
                </c:pt>
                <c:pt idx="147">
                  <c:v>140</c:v>
                </c:pt>
                <c:pt idx="148">
                  <c:v>141</c:v>
                </c:pt>
                <c:pt idx="149">
                  <c:v>142</c:v>
                </c:pt>
                <c:pt idx="150">
                  <c:v>143</c:v>
                </c:pt>
                <c:pt idx="151">
                  <c:v>144</c:v>
                </c:pt>
                <c:pt idx="152">
                  <c:v>145</c:v>
                </c:pt>
                <c:pt idx="153">
                  <c:v>146</c:v>
                </c:pt>
                <c:pt idx="154">
                  <c:v>147</c:v>
                </c:pt>
                <c:pt idx="155">
                  <c:v>148</c:v>
                </c:pt>
                <c:pt idx="156">
                  <c:v>149</c:v>
                </c:pt>
                <c:pt idx="157">
                  <c:v>150</c:v>
                </c:pt>
                <c:pt idx="158">
                  <c:v>151</c:v>
                </c:pt>
                <c:pt idx="159">
                  <c:v>152</c:v>
                </c:pt>
                <c:pt idx="160">
                  <c:v>153</c:v>
                </c:pt>
                <c:pt idx="161">
                  <c:v>154</c:v>
                </c:pt>
                <c:pt idx="162">
                  <c:v>155</c:v>
                </c:pt>
                <c:pt idx="163">
                  <c:v>156</c:v>
                </c:pt>
                <c:pt idx="164">
                  <c:v>157</c:v>
                </c:pt>
                <c:pt idx="165">
                  <c:v>158</c:v>
                </c:pt>
                <c:pt idx="166">
                  <c:v>159</c:v>
                </c:pt>
                <c:pt idx="167">
                  <c:v>160</c:v>
                </c:pt>
                <c:pt idx="168">
                  <c:v>161</c:v>
                </c:pt>
                <c:pt idx="169">
                  <c:v>162</c:v>
                </c:pt>
                <c:pt idx="170">
                  <c:v>163</c:v>
                </c:pt>
                <c:pt idx="171">
                  <c:v>164</c:v>
                </c:pt>
                <c:pt idx="172">
                  <c:v>165</c:v>
                </c:pt>
                <c:pt idx="173">
                  <c:v>166</c:v>
                </c:pt>
                <c:pt idx="174">
                  <c:v>167</c:v>
                </c:pt>
                <c:pt idx="175">
                  <c:v>168</c:v>
                </c:pt>
                <c:pt idx="176">
                  <c:v>169</c:v>
                </c:pt>
                <c:pt idx="177">
                  <c:v>170</c:v>
                </c:pt>
                <c:pt idx="178">
                  <c:v>171</c:v>
                </c:pt>
                <c:pt idx="179">
                  <c:v>172</c:v>
                </c:pt>
                <c:pt idx="180">
                  <c:v>173</c:v>
                </c:pt>
                <c:pt idx="181">
                  <c:v>174</c:v>
                </c:pt>
                <c:pt idx="182">
                  <c:v>175</c:v>
                </c:pt>
                <c:pt idx="183">
                  <c:v>176</c:v>
                </c:pt>
                <c:pt idx="184">
                  <c:v>177</c:v>
                </c:pt>
                <c:pt idx="185">
                  <c:v>178</c:v>
                </c:pt>
                <c:pt idx="186">
                  <c:v>179</c:v>
                </c:pt>
                <c:pt idx="187">
                  <c:v>180</c:v>
                </c:pt>
                <c:pt idx="188">
                  <c:v>181</c:v>
                </c:pt>
                <c:pt idx="189">
                  <c:v>182</c:v>
                </c:pt>
                <c:pt idx="190">
                  <c:v>183</c:v>
                </c:pt>
                <c:pt idx="191">
                  <c:v>184</c:v>
                </c:pt>
                <c:pt idx="192">
                  <c:v>185</c:v>
                </c:pt>
                <c:pt idx="193">
                  <c:v>186</c:v>
                </c:pt>
                <c:pt idx="194">
                  <c:v>187</c:v>
                </c:pt>
                <c:pt idx="195">
                  <c:v>188</c:v>
                </c:pt>
                <c:pt idx="196">
                  <c:v>189</c:v>
                </c:pt>
                <c:pt idx="197">
                  <c:v>190</c:v>
                </c:pt>
                <c:pt idx="198">
                  <c:v>191</c:v>
                </c:pt>
                <c:pt idx="199">
                  <c:v>192</c:v>
                </c:pt>
                <c:pt idx="200">
                  <c:v>193</c:v>
                </c:pt>
                <c:pt idx="201">
                  <c:v>194</c:v>
                </c:pt>
                <c:pt idx="202">
                  <c:v>195</c:v>
                </c:pt>
                <c:pt idx="203">
                  <c:v>196</c:v>
                </c:pt>
                <c:pt idx="204">
                  <c:v>197</c:v>
                </c:pt>
                <c:pt idx="205">
                  <c:v>198</c:v>
                </c:pt>
                <c:pt idx="206">
                  <c:v>199</c:v>
                </c:pt>
                <c:pt idx="207">
                  <c:v>200</c:v>
                </c:pt>
              </c:numCache>
            </c:numRef>
          </c:xVal>
          <c:yVal>
            <c:numRef>
              <c:f>'Graph X'!$S$3:$S$210</c:f>
              <c:numCache>
                <c:formatCode>General</c:formatCode>
                <c:ptCount val="208"/>
                <c:pt idx="0">
                  <c:v>411.87535215000003</c:v>
                </c:pt>
                <c:pt idx="1">
                  <c:v>414.87535215000003</c:v>
                </c:pt>
                <c:pt idx="2">
                  <c:v>417.87535215000003</c:v>
                </c:pt>
                <c:pt idx="3">
                  <c:v>426.87535215000003</c:v>
                </c:pt>
                <c:pt idx="4">
                  <c:v>438.87535215000003</c:v>
                </c:pt>
                <c:pt idx="5">
                  <c:v>457.79266180283668</c:v>
                </c:pt>
                <c:pt idx="6">
                  <c:v>468.87535215000003</c:v>
                </c:pt>
                <c:pt idx="7">
                  <c:v>483.1601235090867</c:v>
                </c:pt>
                <c:pt idx="8">
                  <c:v>498.87535215000003</c:v>
                </c:pt>
                <c:pt idx="9">
                  <c:v>513.47564714999999</c:v>
                </c:pt>
                <c:pt idx="10">
                  <c:v>528.87535215000003</c:v>
                </c:pt>
                <c:pt idx="11">
                  <c:v>558.87535215000003</c:v>
                </c:pt>
                <c:pt idx="12">
                  <c:v>588.87535215000003</c:v>
                </c:pt>
                <c:pt idx="13">
                  <c:v>618.87535215000003</c:v>
                </c:pt>
                <c:pt idx="14">
                  <c:v>648.87535215000003</c:v>
                </c:pt>
                <c:pt idx="15">
                  <c:v>678.87535215000003</c:v>
                </c:pt>
                <c:pt idx="16">
                  <c:v>708.87535215000003</c:v>
                </c:pt>
                <c:pt idx="17">
                  <c:v>738.87535215000003</c:v>
                </c:pt>
                <c:pt idx="18">
                  <c:v>768.87535215000003</c:v>
                </c:pt>
                <c:pt idx="19">
                  <c:v>798.87535215000003</c:v>
                </c:pt>
                <c:pt idx="20">
                  <c:v>828.87535215000003</c:v>
                </c:pt>
                <c:pt idx="21">
                  <c:v>858.87535215000003</c:v>
                </c:pt>
                <c:pt idx="22">
                  <c:v>888.87535215000003</c:v>
                </c:pt>
                <c:pt idx="23">
                  <c:v>918.87535215000003</c:v>
                </c:pt>
                <c:pt idx="24">
                  <c:v>948.87535215000003</c:v>
                </c:pt>
                <c:pt idx="25">
                  <c:v>978.87535215000003</c:v>
                </c:pt>
                <c:pt idx="26">
                  <c:v>1008.87535215</c:v>
                </c:pt>
                <c:pt idx="27">
                  <c:v>1038.87535215</c:v>
                </c:pt>
                <c:pt idx="28">
                  <c:v>1068.87535215</c:v>
                </c:pt>
                <c:pt idx="29">
                  <c:v>1098.87535215</c:v>
                </c:pt>
                <c:pt idx="30">
                  <c:v>1128.87535215</c:v>
                </c:pt>
                <c:pt idx="31">
                  <c:v>1158.87535215</c:v>
                </c:pt>
                <c:pt idx="32">
                  <c:v>1188.87535215</c:v>
                </c:pt>
                <c:pt idx="33">
                  <c:v>1218.87535215</c:v>
                </c:pt>
                <c:pt idx="34">
                  <c:v>1248.87535215</c:v>
                </c:pt>
                <c:pt idx="35">
                  <c:v>1278.87535215</c:v>
                </c:pt>
                <c:pt idx="36">
                  <c:v>1308.87535215</c:v>
                </c:pt>
                <c:pt idx="37">
                  <c:v>1338.87535215</c:v>
                </c:pt>
                <c:pt idx="38">
                  <c:v>1368.87535215</c:v>
                </c:pt>
                <c:pt idx="39">
                  <c:v>1398.87535215</c:v>
                </c:pt>
                <c:pt idx="40">
                  <c:v>1428.87535215</c:v>
                </c:pt>
                <c:pt idx="41">
                  <c:v>1458.87535215</c:v>
                </c:pt>
                <c:pt idx="42">
                  <c:v>1488.87535215</c:v>
                </c:pt>
                <c:pt idx="43">
                  <c:v>1518.87535215</c:v>
                </c:pt>
                <c:pt idx="44">
                  <c:v>1548.87535215</c:v>
                </c:pt>
                <c:pt idx="45">
                  <c:v>1578.87535215</c:v>
                </c:pt>
                <c:pt idx="46">
                  <c:v>1608.87535215</c:v>
                </c:pt>
                <c:pt idx="47">
                  <c:v>1638.87535215</c:v>
                </c:pt>
                <c:pt idx="48">
                  <c:v>1668.87535215</c:v>
                </c:pt>
                <c:pt idx="49">
                  <c:v>1698.87535215</c:v>
                </c:pt>
                <c:pt idx="50">
                  <c:v>1728.87535215</c:v>
                </c:pt>
                <c:pt idx="51">
                  <c:v>1758.87535215</c:v>
                </c:pt>
                <c:pt idx="52">
                  <c:v>1788.87535215</c:v>
                </c:pt>
                <c:pt idx="53">
                  <c:v>1818.87535215</c:v>
                </c:pt>
                <c:pt idx="54">
                  <c:v>1848.87535215</c:v>
                </c:pt>
                <c:pt idx="55">
                  <c:v>1878.87535215</c:v>
                </c:pt>
                <c:pt idx="56">
                  <c:v>1908.87535215</c:v>
                </c:pt>
                <c:pt idx="57">
                  <c:v>1938.87535215</c:v>
                </c:pt>
                <c:pt idx="58">
                  <c:v>1968.87535215</c:v>
                </c:pt>
                <c:pt idx="59">
                  <c:v>1998.87535215</c:v>
                </c:pt>
                <c:pt idx="60">
                  <c:v>2028.87535215</c:v>
                </c:pt>
                <c:pt idx="61">
                  <c:v>2058.8753521500003</c:v>
                </c:pt>
                <c:pt idx="62">
                  <c:v>2088.8753521500003</c:v>
                </c:pt>
                <c:pt idx="63">
                  <c:v>2118.8753521500003</c:v>
                </c:pt>
                <c:pt idx="64">
                  <c:v>2148.8753521500003</c:v>
                </c:pt>
                <c:pt idx="65">
                  <c:v>2178.8753521500003</c:v>
                </c:pt>
                <c:pt idx="66">
                  <c:v>2208.8753521500003</c:v>
                </c:pt>
                <c:pt idx="67">
                  <c:v>2238.8753521500003</c:v>
                </c:pt>
                <c:pt idx="68">
                  <c:v>2268.8753521500003</c:v>
                </c:pt>
                <c:pt idx="69">
                  <c:v>2298.8753521500003</c:v>
                </c:pt>
                <c:pt idx="70">
                  <c:v>2328.8753521500003</c:v>
                </c:pt>
                <c:pt idx="71">
                  <c:v>2358.8753521500003</c:v>
                </c:pt>
                <c:pt idx="72">
                  <c:v>2388.8753521500003</c:v>
                </c:pt>
                <c:pt idx="73">
                  <c:v>2418.8753521500003</c:v>
                </c:pt>
                <c:pt idx="74">
                  <c:v>2448.8753521500003</c:v>
                </c:pt>
                <c:pt idx="75">
                  <c:v>2478.8753521500003</c:v>
                </c:pt>
                <c:pt idx="76">
                  <c:v>2508.8753521500003</c:v>
                </c:pt>
                <c:pt idx="77">
                  <c:v>2538.8753521500003</c:v>
                </c:pt>
                <c:pt idx="78">
                  <c:v>2568.8753521500003</c:v>
                </c:pt>
                <c:pt idx="79">
                  <c:v>2598.8753521500003</c:v>
                </c:pt>
                <c:pt idx="80">
                  <c:v>2628.8753521500003</c:v>
                </c:pt>
                <c:pt idx="81">
                  <c:v>2658.8753521500003</c:v>
                </c:pt>
                <c:pt idx="82">
                  <c:v>2688.8753521500003</c:v>
                </c:pt>
                <c:pt idx="83">
                  <c:v>2718.8753521500003</c:v>
                </c:pt>
                <c:pt idx="84">
                  <c:v>2748.8753521500003</c:v>
                </c:pt>
                <c:pt idx="85">
                  <c:v>2778.8753521500003</c:v>
                </c:pt>
                <c:pt idx="86">
                  <c:v>2808.8753521500003</c:v>
                </c:pt>
                <c:pt idx="87">
                  <c:v>2838.8753521500003</c:v>
                </c:pt>
                <c:pt idx="88">
                  <c:v>2868.8753521500003</c:v>
                </c:pt>
                <c:pt idx="89">
                  <c:v>2898.8753521500003</c:v>
                </c:pt>
                <c:pt idx="90">
                  <c:v>2928.8753521500003</c:v>
                </c:pt>
                <c:pt idx="91">
                  <c:v>2958.8753521500003</c:v>
                </c:pt>
                <c:pt idx="92">
                  <c:v>2988.8753521500003</c:v>
                </c:pt>
                <c:pt idx="93">
                  <c:v>3018.8753521500003</c:v>
                </c:pt>
                <c:pt idx="94">
                  <c:v>3048.8753521500003</c:v>
                </c:pt>
                <c:pt idx="95">
                  <c:v>3078.8753521500003</c:v>
                </c:pt>
                <c:pt idx="96">
                  <c:v>3108.8753521500003</c:v>
                </c:pt>
                <c:pt idx="97">
                  <c:v>3138.8753521500003</c:v>
                </c:pt>
                <c:pt idx="98">
                  <c:v>3168.8753521500003</c:v>
                </c:pt>
                <c:pt idx="99">
                  <c:v>3198.8753521500003</c:v>
                </c:pt>
                <c:pt idx="100">
                  <c:v>3228.8753521500003</c:v>
                </c:pt>
                <c:pt idx="101">
                  <c:v>3258.8753521500003</c:v>
                </c:pt>
                <c:pt idx="102">
                  <c:v>3288.8753521500003</c:v>
                </c:pt>
                <c:pt idx="103">
                  <c:v>3318.8753521500003</c:v>
                </c:pt>
                <c:pt idx="104">
                  <c:v>3348.8753521500003</c:v>
                </c:pt>
                <c:pt idx="105">
                  <c:v>3378.8753521500003</c:v>
                </c:pt>
                <c:pt idx="106">
                  <c:v>3408.8753521500003</c:v>
                </c:pt>
                <c:pt idx="107">
                  <c:v>3438.8753521500003</c:v>
                </c:pt>
                <c:pt idx="108">
                  <c:v>3468.8753521500003</c:v>
                </c:pt>
                <c:pt idx="109">
                  <c:v>3498.8753521500003</c:v>
                </c:pt>
                <c:pt idx="110">
                  <c:v>3528.8753521500003</c:v>
                </c:pt>
                <c:pt idx="111">
                  <c:v>3558.8753521500003</c:v>
                </c:pt>
                <c:pt idx="112">
                  <c:v>3588.8753521500003</c:v>
                </c:pt>
                <c:pt idx="113">
                  <c:v>3618.8753521500003</c:v>
                </c:pt>
                <c:pt idx="114">
                  <c:v>3648.8753521500003</c:v>
                </c:pt>
                <c:pt idx="115">
                  <c:v>3678.8753521500003</c:v>
                </c:pt>
                <c:pt idx="116">
                  <c:v>3708.8753521500003</c:v>
                </c:pt>
                <c:pt idx="117">
                  <c:v>3738.8753521500003</c:v>
                </c:pt>
                <c:pt idx="118">
                  <c:v>3768.8753521500003</c:v>
                </c:pt>
                <c:pt idx="119">
                  <c:v>3798.8753521500003</c:v>
                </c:pt>
                <c:pt idx="120">
                  <c:v>3828.8753521500003</c:v>
                </c:pt>
                <c:pt idx="121">
                  <c:v>3858.8753521500003</c:v>
                </c:pt>
                <c:pt idx="122">
                  <c:v>3888.8753521500003</c:v>
                </c:pt>
                <c:pt idx="123">
                  <c:v>3918.8753521500003</c:v>
                </c:pt>
                <c:pt idx="124">
                  <c:v>3948.8753521500003</c:v>
                </c:pt>
                <c:pt idx="125">
                  <c:v>3978.8753521500003</c:v>
                </c:pt>
                <c:pt idx="126">
                  <c:v>4008.8753521500003</c:v>
                </c:pt>
                <c:pt idx="127">
                  <c:v>4038.8753521500003</c:v>
                </c:pt>
                <c:pt idx="128">
                  <c:v>4068.8753521500003</c:v>
                </c:pt>
                <c:pt idx="129">
                  <c:v>4098.8753521500003</c:v>
                </c:pt>
                <c:pt idx="130">
                  <c:v>4128.8753521500003</c:v>
                </c:pt>
                <c:pt idx="131">
                  <c:v>4158.8753521500003</c:v>
                </c:pt>
                <c:pt idx="132">
                  <c:v>4188.8753521500003</c:v>
                </c:pt>
                <c:pt idx="133">
                  <c:v>4218.8753521500003</c:v>
                </c:pt>
                <c:pt idx="134">
                  <c:v>4248.8753521500003</c:v>
                </c:pt>
                <c:pt idx="135">
                  <c:v>4272.4898521499999</c:v>
                </c:pt>
                <c:pt idx="136">
                  <c:v>4278.8753521500003</c:v>
                </c:pt>
                <c:pt idx="137">
                  <c:v>4308.8753521500003</c:v>
                </c:pt>
                <c:pt idx="138">
                  <c:v>4338.8753521500003</c:v>
                </c:pt>
                <c:pt idx="139">
                  <c:v>4368.8753521500003</c:v>
                </c:pt>
                <c:pt idx="140">
                  <c:v>4398.8753521500003</c:v>
                </c:pt>
                <c:pt idx="141">
                  <c:v>4428.8753521500003</c:v>
                </c:pt>
                <c:pt idx="142">
                  <c:v>4458.8753521500003</c:v>
                </c:pt>
                <c:pt idx="143">
                  <c:v>4488.8753521500003</c:v>
                </c:pt>
                <c:pt idx="144">
                  <c:v>4518.8753521500003</c:v>
                </c:pt>
                <c:pt idx="145">
                  <c:v>4548.8753521500003</c:v>
                </c:pt>
                <c:pt idx="146">
                  <c:v>4578.8753521500003</c:v>
                </c:pt>
                <c:pt idx="147">
                  <c:v>4608.8753521500003</c:v>
                </c:pt>
                <c:pt idx="148">
                  <c:v>4638.8753521500003</c:v>
                </c:pt>
                <c:pt idx="149">
                  <c:v>4668.8753521500003</c:v>
                </c:pt>
                <c:pt idx="150">
                  <c:v>4698.8753521500003</c:v>
                </c:pt>
                <c:pt idx="151">
                  <c:v>4728.8753521500003</c:v>
                </c:pt>
                <c:pt idx="152">
                  <c:v>4758.8753521500003</c:v>
                </c:pt>
                <c:pt idx="153">
                  <c:v>4788.8753521500003</c:v>
                </c:pt>
                <c:pt idx="154">
                  <c:v>4818.8753521500003</c:v>
                </c:pt>
                <c:pt idx="155">
                  <c:v>4848.8753521500003</c:v>
                </c:pt>
                <c:pt idx="156">
                  <c:v>4878.8753521500003</c:v>
                </c:pt>
                <c:pt idx="157">
                  <c:v>4908.8753521500003</c:v>
                </c:pt>
                <c:pt idx="158">
                  <c:v>4938.8753521500003</c:v>
                </c:pt>
                <c:pt idx="159">
                  <c:v>4968.8753521500003</c:v>
                </c:pt>
                <c:pt idx="160">
                  <c:v>4998.8753521500003</c:v>
                </c:pt>
                <c:pt idx="161">
                  <c:v>5028.8753521500003</c:v>
                </c:pt>
                <c:pt idx="162">
                  <c:v>5058.8753521500003</c:v>
                </c:pt>
                <c:pt idx="163">
                  <c:v>5088.8753521500003</c:v>
                </c:pt>
                <c:pt idx="164">
                  <c:v>5118.8753521500003</c:v>
                </c:pt>
                <c:pt idx="165">
                  <c:v>5148.8753521500003</c:v>
                </c:pt>
                <c:pt idx="166">
                  <c:v>5178.8753521500003</c:v>
                </c:pt>
                <c:pt idx="167">
                  <c:v>5208.8753521500003</c:v>
                </c:pt>
                <c:pt idx="168">
                  <c:v>5238.8753521500003</c:v>
                </c:pt>
                <c:pt idx="169">
                  <c:v>5268.8753521500003</c:v>
                </c:pt>
                <c:pt idx="170">
                  <c:v>5298.8753521500003</c:v>
                </c:pt>
                <c:pt idx="171">
                  <c:v>5328.8753521500003</c:v>
                </c:pt>
                <c:pt idx="172">
                  <c:v>5358.8753521500003</c:v>
                </c:pt>
                <c:pt idx="173">
                  <c:v>5388.8753521500003</c:v>
                </c:pt>
                <c:pt idx="174">
                  <c:v>5418.8753521500003</c:v>
                </c:pt>
                <c:pt idx="175">
                  <c:v>5448.8753521500003</c:v>
                </c:pt>
                <c:pt idx="176">
                  <c:v>5478.8753521500003</c:v>
                </c:pt>
                <c:pt idx="177">
                  <c:v>5508.8753521500003</c:v>
                </c:pt>
                <c:pt idx="178">
                  <c:v>5538.8753521500003</c:v>
                </c:pt>
                <c:pt idx="179">
                  <c:v>5568.8753521500003</c:v>
                </c:pt>
                <c:pt idx="180">
                  <c:v>5598.8753521500003</c:v>
                </c:pt>
                <c:pt idx="181">
                  <c:v>5628.8753521500003</c:v>
                </c:pt>
                <c:pt idx="182">
                  <c:v>5658.8753521500003</c:v>
                </c:pt>
                <c:pt idx="183">
                  <c:v>5688.8753521500003</c:v>
                </c:pt>
                <c:pt idx="184">
                  <c:v>5718.8753521500003</c:v>
                </c:pt>
                <c:pt idx="185">
                  <c:v>5748.8753521500003</c:v>
                </c:pt>
                <c:pt idx="186">
                  <c:v>5778.8753521500003</c:v>
                </c:pt>
                <c:pt idx="187">
                  <c:v>5808.8753521500003</c:v>
                </c:pt>
                <c:pt idx="188">
                  <c:v>5838.8753521500003</c:v>
                </c:pt>
                <c:pt idx="189">
                  <c:v>5868.8753521500003</c:v>
                </c:pt>
                <c:pt idx="190">
                  <c:v>5898.8753521500003</c:v>
                </c:pt>
                <c:pt idx="191">
                  <c:v>5928.8753521500003</c:v>
                </c:pt>
                <c:pt idx="192">
                  <c:v>5958.8753521500003</c:v>
                </c:pt>
                <c:pt idx="193">
                  <c:v>5988.8753521500003</c:v>
                </c:pt>
                <c:pt idx="194">
                  <c:v>6018.8753521500003</c:v>
                </c:pt>
                <c:pt idx="195">
                  <c:v>6048.8753521500003</c:v>
                </c:pt>
                <c:pt idx="196">
                  <c:v>6078.8753521500003</c:v>
                </c:pt>
                <c:pt idx="197">
                  <c:v>6108.8753521500003</c:v>
                </c:pt>
                <c:pt idx="198">
                  <c:v>6138.8753521500003</c:v>
                </c:pt>
                <c:pt idx="199">
                  <c:v>6168.8753521500003</c:v>
                </c:pt>
                <c:pt idx="200">
                  <c:v>6198.8753521500003</c:v>
                </c:pt>
                <c:pt idx="201">
                  <c:v>6228.8753521500003</c:v>
                </c:pt>
                <c:pt idx="202">
                  <c:v>6258.8753521500003</c:v>
                </c:pt>
                <c:pt idx="203">
                  <c:v>6288.8753521500003</c:v>
                </c:pt>
                <c:pt idx="204">
                  <c:v>6318.8753521500003</c:v>
                </c:pt>
                <c:pt idx="205">
                  <c:v>6348.8753521500003</c:v>
                </c:pt>
                <c:pt idx="206">
                  <c:v>6378.8753521500003</c:v>
                </c:pt>
                <c:pt idx="207">
                  <c:v>6408.8753521500003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F-4408-A5E1-CF16219D0A34}"/>
            </c:ext>
          </c:extLst>
        </c:ser>
        <c:ser>
          <c:idx val="1"/>
          <c:order val="1"/>
          <c:tx>
            <c:strRef>
              <c:f>'Graph X'!$T$2</c:f>
              <c:strCache>
                <c:ptCount val="1"/>
                <c:pt idx="0">
                  <c:v>SAF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'Graph X'!$R$3:$R$210</c:f>
              <c:numCache>
                <c:formatCode>General</c:formatCode>
                <c:ptCount val="20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0.6</c:v>
                </c:pt>
                <c:pt idx="4">
                  <c:v>1</c:v>
                </c:pt>
                <c:pt idx="5">
                  <c:v>1.6305769884278885</c:v>
                </c:pt>
                <c:pt idx="6">
                  <c:v>2</c:v>
                </c:pt>
                <c:pt idx="7">
                  <c:v>2.4761590453028886</c:v>
                </c:pt>
                <c:pt idx="8">
                  <c:v>3</c:v>
                </c:pt>
                <c:pt idx="9">
                  <c:v>3.4866764999999997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  <c:pt idx="57">
                  <c:v>51</c:v>
                </c:pt>
                <c:pt idx="58">
                  <c:v>52</c:v>
                </c:pt>
                <c:pt idx="59">
                  <c:v>53</c:v>
                </c:pt>
                <c:pt idx="60">
                  <c:v>54</c:v>
                </c:pt>
                <c:pt idx="61">
                  <c:v>55</c:v>
                </c:pt>
                <c:pt idx="62">
                  <c:v>56</c:v>
                </c:pt>
                <c:pt idx="63">
                  <c:v>57</c:v>
                </c:pt>
                <c:pt idx="64">
                  <c:v>58</c:v>
                </c:pt>
                <c:pt idx="65">
                  <c:v>59</c:v>
                </c:pt>
                <c:pt idx="66">
                  <c:v>60</c:v>
                </c:pt>
                <c:pt idx="67">
                  <c:v>61</c:v>
                </c:pt>
                <c:pt idx="68">
                  <c:v>62</c:v>
                </c:pt>
                <c:pt idx="69">
                  <c:v>63</c:v>
                </c:pt>
                <c:pt idx="70">
                  <c:v>64</c:v>
                </c:pt>
                <c:pt idx="71">
                  <c:v>65</c:v>
                </c:pt>
                <c:pt idx="72">
                  <c:v>66</c:v>
                </c:pt>
                <c:pt idx="73">
                  <c:v>67</c:v>
                </c:pt>
                <c:pt idx="74">
                  <c:v>68</c:v>
                </c:pt>
                <c:pt idx="75">
                  <c:v>69</c:v>
                </c:pt>
                <c:pt idx="76">
                  <c:v>70</c:v>
                </c:pt>
                <c:pt idx="77">
                  <c:v>71</c:v>
                </c:pt>
                <c:pt idx="78">
                  <c:v>72</c:v>
                </c:pt>
                <c:pt idx="79">
                  <c:v>73</c:v>
                </c:pt>
                <c:pt idx="80">
                  <c:v>74</c:v>
                </c:pt>
                <c:pt idx="81">
                  <c:v>75</c:v>
                </c:pt>
                <c:pt idx="82">
                  <c:v>76</c:v>
                </c:pt>
                <c:pt idx="83">
                  <c:v>77</c:v>
                </c:pt>
                <c:pt idx="84">
                  <c:v>78</c:v>
                </c:pt>
                <c:pt idx="85">
                  <c:v>79</c:v>
                </c:pt>
                <c:pt idx="86">
                  <c:v>80</c:v>
                </c:pt>
                <c:pt idx="87">
                  <c:v>81</c:v>
                </c:pt>
                <c:pt idx="88">
                  <c:v>82</c:v>
                </c:pt>
                <c:pt idx="89">
                  <c:v>83</c:v>
                </c:pt>
                <c:pt idx="90">
                  <c:v>84</c:v>
                </c:pt>
                <c:pt idx="91">
                  <c:v>85</c:v>
                </c:pt>
                <c:pt idx="92">
                  <c:v>86</c:v>
                </c:pt>
                <c:pt idx="93">
                  <c:v>87</c:v>
                </c:pt>
                <c:pt idx="94">
                  <c:v>88</c:v>
                </c:pt>
                <c:pt idx="95">
                  <c:v>89</c:v>
                </c:pt>
                <c:pt idx="96">
                  <c:v>90</c:v>
                </c:pt>
                <c:pt idx="97">
                  <c:v>91</c:v>
                </c:pt>
                <c:pt idx="98">
                  <c:v>92</c:v>
                </c:pt>
                <c:pt idx="99">
                  <c:v>93</c:v>
                </c:pt>
                <c:pt idx="100">
                  <c:v>94</c:v>
                </c:pt>
                <c:pt idx="101">
                  <c:v>95</c:v>
                </c:pt>
                <c:pt idx="102">
                  <c:v>96</c:v>
                </c:pt>
                <c:pt idx="103">
                  <c:v>97</c:v>
                </c:pt>
                <c:pt idx="104">
                  <c:v>98</c:v>
                </c:pt>
                <c:pt idx="105">
                  <c:v>99</c:v>
                </c:pt>
                <c:pt idx="106">
                  <c:v>100</c:v>
                </c:pt>
                <c:pt idx="107">
                  <c:v>101</c:v>
                </c:pt>
                <c:pt idx="108">
                  <c:v>102</c:v>
                </c:pt>
                <c:pt idx="109">
                  <c:v>103</c:v>
                </c:pt>
                <c:pt idx="110">
                  <c:v>104</c:v>
                </c:pt>
                <c:pt idx="111">
                  <c:v>105</c:v>
                </c:pt>
                <c:pt idx="112">
                  <c:v>106</c:v>
                </c:pt>
                <c:pt idx="113">
                  <c:v>107</c:v>
                </c:pt>
                <c:pt idx="114">
                  <c:v>108</c:v>
                </c:pt>
                <c:pt idx="115">
                  <c:v>109</c:v>
                </c:pt>
                <c:pt idx="116">
                  <c:v>110</c:v>
                </c:pt>
                <c:pt idx="117">
                  <c:v>111</c:v>
                </c:pt>
                <c:pt idx="118">
                  <c:v>112</c:v>
                </c:pt>
                <c:pt idx="119">
                  <c:v>113</c:v>
                </c:pt>
                <c:pt idx="120">
                  <c:v>114</c:v>
                </c:pt>
                <c:pt idx="121">
                  <c:v>115</c:v>
                </c:pt>
                <c:pt idx="122">
                  <c:v>116</c:v>
                </c:pt>
                <c:pt idx="123">
                  <c:v>117</c:v>
                </c:pt>
                <c:pt idx="124">
                  <c:v>118</c:v>
                </c:pt>
                <c:pt idx="125">
                  <c:v>119</c:v>
                </c:pt>
                <c:pt idx="126">
                  <c:v>120</c:v>
                </c:pt>
                <c:pt idx="127">
                  <c:v>121</c:v>
                </c:pt>
                <c:pt idx="128">
                  <c:v>122</c:v>
                </c:pt>
                <c:pt idx="129">
                  <c:v>123</c:v>
                </c:pt>
                <c:pt idx="130">
                  <c:v>124</c:v>
                </c:pt>
                <c:pt idx="131">
                  <c:v>125</c:v>
                </c:pt>
                <c:pt idx="132">
                  <c:v>126</c:v>
                </c:pt>
                <c:pt idx="133">
                  <c:v>127</c:v>
                </c:pt>
                <c:pt idx="134">
                  <c:v>128</c:v>
                </c:pt>
                <c:pt idx="135">
                  <c:v>128.78715</c:v>
                </c:pt>
                <c:pt idx="136">
                  <c:v>129</c:v>
                </c:pt>
                <c:pt idx="137">
                  <c:v>130</c:v>
                </c:pt>
                <c:pt idx="138">
                  <c:v>131</c:v>
                </c:pt>
                <c:pt idx="139">
                  <c:v>132</c:v>
                </c:pt>
                <c:pt idx="140">
                  <c:v>133</c:v>
                </c:pt>
                <c:pt idx="141">
                  <c:v>134</c:v>
                </c:pt>
                <c:pt idx="142">
                  <c:v>135</c:v>
                </c:pt>
                <c:pt idx="143">
                  <c:v>136</c:v>
                </c:pt>
                <c:pt idx="144">
                  <c:v>137</c:v>
                </c:pt>
                <c:pt idx="145">
                  <c:v>138</c:v>
                </c:pt>
                <c:pt idx="146">
                  <c:v>139</c:v>
                </c:pt>
                <c:pt idx="147">
                  <c:v>140</c:v>
                </c:pt>
                <c:pt idx="148">
                  <c:v>141</c:v>
                </c:pt>
                <c:pt idx="149">
                  <c:v>142</c:v>
                </c:pt>
                <c:pt idx="150">
                  <c:v>143</c:v>
                </c:pt>
                <c:pt idx="151">
                  <c:v>144</c:v>
                </c:pt>
                <c:pt idx="152">
                  <c:v>145</c:v>
                </c:pt>
                <c:pt idx="153">
                  <c:v>146</c:v>
                </c:pt>
                <c:pt idx="154">
                  <c:v>147</c:v>
                </c:pt>
                <c:pt idx="155">
                  <c:v>148</c:v>
                </c:pt>
                <c:pt idx="156">
                  <c:v>149</c:v>
                </c:pt>
                <c:pt idx="157">
                  <c:v>150</c:v>
                </c:pt>
                <c:pt idx="158">
                  <c:v>151</c:v>
                </c:pt>
                <c:pt idx="159">
                  <c:v>152</c:v>
                </c:pt>
                <c:pt idx="160">
                  <c:v>153</c:v>
                </c:pt>
                <c:pt idx="161">
                  <c:v>154</c:v>
                </c:pt>
                <c:pt idx="162">
                  <c:v>155</c:v>
                </c:pt>
                <c:pt idx="163">
                  <c:v>156</c:v>
                </c:pt>
                <c:pt idx="164">
                  <c:v>157</c:v>
                </c:pt>
                <c:pt idx="165">
                  <c:v>158</c:v>
                </c:pt>
                <c:pt idx="166">
                  <c:v>159</c:v>
                </c:pt>
                <c:pt idx="167">
                  <c:v>160</c:v>
                </c:pt>
                <c:pt idx="168">
                  <c:v>161</c:v>
                </c:pt>
                <c:pt idx="169">
                  <c:v>162</c:v>
                </c:pt>
                <c:pt idx="170">
                  <c:v>163</c:v>
                </c:pt>
                <c:pt idx="171">
                  <c:v>164</c:v>
                </c:pt>
                <c:pt idx="172">
                  <c:v>165</c:v>
                </c:pt>
                <c:pt idx="173">
                  <c:v>166</c:v>
                </c:pt>
                <c:pt idx="174">
                  <c:v>167</c:v>
                </c:pt>
                <c:pt idx="175">
                  <c:v>168</c:v>
                </c:pt>
                <c:pt idx="176">
                  <c:v>169</c:v>
                </c:pt>
                <c:pt idx="177">
                  <c:v>170</c:v>
                </c:pt>
                <c:pt idx="178">
                  <c:v>171</c:v>
                </c:pt>
                <c:pt idx="179">
                  <c:v>172</c:v>
                </c:pt>
                <c:pt idx="180">
                  <c:v>173</c:v>
                </c:pt>
                <c:pt idx="181">
                  <c:v>174</c:v>
                </c:pt>
                <c:pt idx="182">
                  <c:v>175</c:v>
                </c:pt>
                <c:pt idx="183">
                  <c:v>176</c:v>
                </c:pt>
                <c:pt idx="184">
                  <c:v>177</c:v>
                </c:pt>
                <c:pt idx="185">
                  <c:v>178</c:v>
                </c:pt>
                <c:pt idx="186">
                  <c:v>179</c:v>
                </c:pt>
                <c:pt idx="187">
                  <c:v>180</c:v>
                </c:pt>
                <c:pt idx="188">
                  <c:v>181</c:v>
                </c:pt>
                <c:pt idx="189">
                  <c:v>182</c:v>
                </c:pt>
                <c:pt idx="190">
                  <c:v>183</c:v>
                </c:pt>
                <c:pt idx="191">
                  <c:v>184</c:v>
                </c:pt>
                <c:pt idx="192">
                  <c:v>185</c:v>
                </c:pt>
                <c:pt idx="193">
                  <c:v>186</c:v>
                </c:pt>
                <c:pt idx="194">
                  <c:v>187</c:v>
                </c:pt>
                <c:pt idx="195">
                  <c:v>188</c:v>
                </c:pt>
                <c:pt idx="196">
                  <c:v>189</c:v>
                </c:pt>
                <c:pt idx="197">
                  <c:v>190</c:v>
                </c:pt>
                <c:pt idx="198">
                  <c:v>191</c:v>
                </c:pt>
                <c:pt idx="199">
                  <c:v>192</c:v>
                </c:pt>
                <c:pt idx="200">
                  <c:v>193</c:v>
                </c:pt>
                <c:pt idx="201">
                  <c:v>194</c:v>
                </c:pt>
                <c:pt idx="202">
                  <c:v>195</c:v>
                </c:pt>
                <c:pt idx="203">
                  <c:v>196</c:v>
                </c:pt>
                <c:pt idx="204">
                  <c:v>197</c:v>
                </c:pt>
                <c:pt idx="205">
                  <c:v>198</c:v>
                </c:pt>
                <c:pt idx="206">
                  <c:v>199</c:v>
                </c:pt>
                <c:pt idx="207">
                  <c:v>200</c:v>
                </c:pt>
              </c:numCache>
            </c:numRef>
          </c:xVal>
          <c:yVal>
            <c:numRef>
              <c:f>'Graph X'!$T$3:$T$210</c:f>
              <c:numCache>
                <c:formatCode>General</c:formatCode>
                <c:ptCount val="208"/>
                <c:pt idx="0">
                  <c:v>2455.0744108387553</c:v>
                </c:pt>
                <c:pt idx="1">
                  <c:v>2458.0744108387553</c:v>
                </c:pt>
                <c:pt idx="2">
                  <c:v>2461.0744108387553</c:v>
                </c:pt>
                <c:pt idx="3">
                  <c:v>2470.0744108387553</c:v>
                </c:pt>
                <c:pt idx="4">
                  <c:v>2482.0744108387553</c:v>
                </c:pt>
                <c:pt idx="5">
                  <c:v>2500.9917204915919</c:v>
                </c:pt>
                <c:pt idx="6">
                  <c:v>2512.0744108387553</c:v>
                </c:pt>
                <c:pt idx="7">
                  <c:v>2526.3591821978421</c:v>
                </c:pt>
                <c:pt idx="8">
                  <c:v>2542.0744108387553</c:v>
                </c:pt>
                <c:pt idx="9">
                  <c:v>2556.6747058387555</c:v>
                </c:pt>
                <c:pt idx="10">
                  <c:v>2572.0744108387553</c:v>
                </c:pt>
                <c:pt idx="11">
                  <c:v>2602.0744108387553</c:v>
                </c:pt>
                <c:pt idx="12">
                  <c:v>2632.0744108387553</c:v>
                </c:pt>
                <c:pt idx="13">
                  <c:v>2662.0744108387553</c:v>
                </c:pt>
                <c:pt idx="14">
                  <c:v>2692.0744108387553</c:v>
                </c:pt>
                <c:pt idx="15">
                  <c:v>2722.0744108387553</c:v>
                </c:pt>
                <c:pt idx="16">
                  <c:v>2752.0744108387553</c:v>
                </c:pt>
                <c:pt idx="17">
                  <c:v>2782.0744108387553</c:v>
                </c:pt>
                <c:pt idx="18">
                  <c:v>2812.0744108387553</c:v>
                </c:pt>
                <c:pt idx="19">
                  <c:v>2842.0744108387553</c:v>
                </c:pt>
                <c:pt idx="20">
                  <c:v>2872.0744108387553</c:v>
                </c:pt>
                <c:pt idx="21">
                  <c:v>2902.0744108387553</c:v>
                </c:pt>
                <c:pt idx="22">
                  <c:v>2932.0744108387553</c:v>
                </c:pt>
                <c:pt idx="23">
                  <c:v>2962.0744108387553</c:v>
                </c:pt>
                <c:pt idx="24">
                  <c:v>2992.0744108387553</c:v>
                </c:pt>
                <c:pt idx="25">
                  <c:v>3022.0744108387553</c:v>
                </c:pt>
                <c:pt idx="26">
                  <c:v>3052.0744108387553</c:v>
                </c:pt>
                <c:pt idx="27">
                  <c:v>3082.0744108387553</c:v>
                </c:pt>
                <c:pt idx="28">
                  <c:v>3112.0744108387553</c:v>
                </c:pt>
                <c:pt idx="29">
                  <c:v>3142.0744108387553</c:v>
                </c:pt>
                <c:pt idx="30">
                  <c:v>3172.0744108387553</c:v>
                </c:pt>
                <c:pt idx="31">
                  <c:v>3202.0744108387553</c:v>
                </c:pt>
                <c:pt idx="32">
                  <c:v>3232.0744108387553</c:v>
                </c:pt>
                <c:pt idx="33">
                  <c:v>3262.0744108387553</c:v>
                </c:pt>
                <c:pt idx="34">
                  <c:v>3292.0744108387553</c:v>
                </c:pt>
                <c:pt idx="35">
                  <c:v>3322.0744108387553</c:v>
                </c:pt>
                <c:pt idx="36">
                  <c:v>3352.0744108387553</c:v>
                </c:pt>
                <c:pt idx="37">
                  <c:v>3382.0744108387553</c:v>
                </c:pt>
                <c:pt idx="38">
                  <c:v>3412.0744108387553</c:v>
                </c:pt>
                <c:pt idx="39">
                  <c:v>3442.0744108387553</c:v>
                </c:pt>
                <c:pt idx="40">
                  <c:v>3472.0744108387553</c:v>
                </c:pt>
                <c:pt idx="41">
                  <c:v>3502.0744108387553</c:v>
                </c:pt>
                <c:pt idx="42">
                  <c:v>3532.0744108387553</c:v>
                </c:pt>
                <c:pt idx="43">
                  <c:v>3562.0744108387553</c:v>
                </c:pt>
                <c:pt idx="44">
                  <c:v>3592.0744108387553</c:v>
                </c:pt>
                <c:pt idx="45">
                  <c:v>3622.0744108387553</c:v>
                </c:pt>
                <c:pt idx="46">
                  <c:v>3652.0744108387553</c:v>
                </c:pt>
                <c:pt idx="47">
                  <c:v>3682.0744108387553</c:v>
                </c:pt>
                <c:pt idx="48">
                  <c:v>3712.0744108387553</c:v>
                </c:pt>
                <c:pt idx="49">
                  <c:v>3742.0744108387553</c:v>
                </c:pt>
                <c:pt idx="50">
                  <c:v>3772.0744108387553</c:v>
                </c:pt>
                <c:pt idx="51">
                  <c:v>3802.0744108387553</c:v>
                </c:pt>
                <c:pt idx="52">
                  <c:v>3832.0744108387553</c:v>
                </c:pt>
                <c:pt idx="53">
                  <c:v>3862.0744108387553</c:v>
                </c:pt>
                <c:pt idx="54">
                  <c:v>3892.0744108387553</c:v>
                </c:pt>
                <c:pt idx="55">
                  <c:v>3922.0744108387553</c:v>
                </c:pt>
                <c:pt idx="56">
                  <c:v>3952.0744108387553</c:v>
                </c:pt>
                <c:pt idx="57">
                  <c:v>3982.0744108387553</c:v>
                </c:pt>
                <c:pt idx="58">
                  <c:v>4012.0744108387553</c:v>
                </c:pt>
                <c:pt idx="59">
                  <c:v>4042.0744108387553</c:v>
                </c:pt>
                <c:pt idx="60">
                  <c:v>4072.0744108387553</c:v>
                </c:pt>
                <c:pt idx="61">
                  <c:v>4102.0744108387553</c:v>
                </c:pt>
                <c:pt idx="62">
                  <c:v>4132.0744108387553</c:v>
                </c:pt>
                <c:pt idx="63">
                  <c:v>4162.0744108387553</c:v>
                </c:pt>
                <c:pt idx="64">
                  <c:v>4192.0744108387553</c:v>
                </c:pt>
                <c:pt idx="65">
                  <c:v>4222.0744108387553</c:v>
                </c:pt>
                <c:pt idx="66">
                  <c:v>4252.0744108387553</c:v>
                </c:pt>
                <c:pt idx="67">
                  <c:v>4282.0744108387553</c:v>
                </c:pt>
                <c:pt idx="68">
                  <c:v>4312.0744108387553</c:v>
                </c:pt>
                <c:pt idx="69">
                  <c:v>4342.0744108387553</c:v>
                </c:pt>
                <c:pt idx="70">
                  <c:v>4372.0744108387553</c:v>
                </c:pt>
                <c:pt idx="71">
                  <c:v>4402.0744108387553</c:v>
                </c:pt>
                <c:pt idx="72">
                  <c:v>4432.0744108387553</c:v>
                </c:pt>
                <c:pt idx="73">
                  <c:v>4462.0744108387553</c:v>
                </c:pt>
                <c:pt idx="74">
                  <c:v>4492.0744108387553</c:v>
                </c:pt>
                <c:pt idx="75">
                  <c:v>4522.0744108387553</c:v>
                </c:pt>
                <c:pt idx="76">
                  <c:v>4552.0744108387553</c:v>
                </c:pt>
                <c:pt idx="77">
                  <c:v>4582.0744108387553</c:v>
                </c:pt>
                <c:pt idx="78">
                  <c:v>4612.0744108387553</c:v>
                </c:pt>
                <c:pt idx="79">
                  <c:v>4642.0744108387553</c:v>
                </c:pt>
                <c:pt idx="80">
                  <c:v>4672.0744108387553</c:v>
                </c:pt>
                <c:pt idx="81">
                  <c:v>4702.0744108387553</c:v>
                </c:pt>
                <c:pt idx="82">
                  <c:v>4732.0744108387553</c:v>
                </c:pt>
                <c:pt idx="83">
                  <c:v>4762.0744108387553</c:v>
                </c:pt>
                <c:pt idx="84">
                  <c:v>4792.0744108387553</c:v>
                </c:pt>
                <c:pt idx="85">
                  <c:v>4822.0744108387553</c:v>
                </c:pt>
                <c:pt idx="86">
                  <c:v>4852.0744108387553</c:v>
                </c:pt>
                <c:pt idx="87">
                  <c:v>4882.0744108387553</c:v>
                </c:pt>
                <c:pt idx="88">
                  <c:v>4912.0744108387553</c:v>
                </c:pt>
                <c:pt idx="89">
                  <c:v>4942.0744108387553</c:v>
                </c:pt>
                <c:pt idx="90">
                  <c:v>4972.0744108387553</c:v>
                </c:pt>
                <c:pt idx="91">
                  <c:v>5002.0744108387553</c:v>
                </c:pt>
                <c:pt idx="92">
                  <c:v>5032.0744108387553</c:v>
                </c:pt>
                <c:pt idx="93">
                  <c:v>5062.0744108387553</c:v>
                </c:pt>
                <c:pt idx="94">
                  <c:v>5092.0744108387553</c:v>
                </c:pt>
                <c:pt idx="95">
                  <c:v>5122.0744108387553</c:v>
                </c:pt>
                <c:pt idx="96">
                  <c:v>5152.0744108387553</c:v>
                </c:pt>
                <c:pt idx="97">
                  <c:v>5182.0744108387553</c:v>
                </c:pt>
                <c:pt idx="98">
                  <c:v>5212.0744108387553</c:v>
                </c:pt>
                <c:pt idx="99">
                  <c:v>5242.0744108387553</c:v>
                </c:pt>
                <c:pt idx="100">
                  <c:v>5272.0744108387553</c:v>
                </c:pt>
                <c:pt idx="101">
                  <c:v>5302.0744108387553</c:v>
                </c:pt>
                <c:pt idx="102">
                  <c:v>5332.0744108387553</c:v>
                </c:pt>
                <c:pt idx="103">
                  <c:v>5362.0744108387553</c:v>
                </c:pt>
                <c:pt idx="104">
                  <c:v>5392.0744108387553</c:v>
                </c:pt>
                <c:pt idx="105">
                  <c:v>5422.0744108387553</c:v>
                </c:pt>
                <c:pt idx="106">
                  <c:v>5452.0744108387553</c:v>
                </c:pt>
                <c:pt idx="107">
                  <c:v>5482.0744108387553</c:v>
                </c:pt>
                <c:pt idx="108">
                  <c:v>5512.0744108387553</c:v>
                </c:pt>
                <c:pt idx="109">
                  <c:v>5542.0744108387553</c:v>
                </c:pt>
                <c:pt idx="110">
                  <c:v>5572.0744108387553</c:v>
                </c:pt>
                <c:pt idx="111">
                  <c:v>5602.0744108387553</c:v>
                </c:pt>
                <c:pt idx="112">
                  <c:v>5632.0744108387553</c:v>
                </c:pt>
                <c:pt idx="113">
                  <c:v>5662.0744108387553</c:v>
                </c:pt>
                <c:pt idx="114">
                  <c:v>5692.0744108387553</c:v>
                </c:pt>
                <c:pt idx="115">
                  <c:v>5722.0744108387553</c:v>
                </c:pt>
                <c:pt idx="116">
                  <c:v>5752.0744108387553</c:v>
                </c:pt>
                <c:pt idx="117">
                  <c:v>5782.0744108387553</c:v>
                </c:pt>
                <c:pt idx="118">
                  <c:v>5812.0744108387553</c:v>
                </c:pt>
                <c:pt idx="119">
                  <c:v>5842.0744108387553</c:v>
                </c:pt>
                <c:pt idx="120">
                  <c:v>5872.0744108387553</c:v>
                </c:pt>
                <c:pt idx="121">
                  <c:v>5902.0744108387553</c:v>
                </c:pt>
                <c:pt idx="122">
                  <c:v>5932.0744108387553</c:v>
                </c:pt>
                <c:pt idx="123">
                  <c:v>5962.0744108387553</c:v>
                </c:pt>
                <c:pt idx="124">
                  <c:v>5992.0744108387553</c:v>
                </c:pt>
                <c:pt idx="125">
                  <c:v>6022.0744108387553</c:v>
                </c:pt>
                <c:pt idx="126">
                  <c:v>6052.0744108387553</c:v>
                </c:pt>
                <c:pt idx="127">
                  <c:v>6082.0744108387553</c:v>
                </c:pt>
                <c:pt idx="128">
                  <c:v>6112.0744108387553</c:v>
                </c:pt>
                <c:pt idx="129">
                  <c:v>6142.0744108387553</c:v>
                </c:pt>
                <c:pt idx="130">
                  <c:v>6172.0744108387553</c:v>
                </c:pt>
                <c:pt idx="131">
                  <c:v>6202.0744108387553</c:v>
                </c:pt>
                <c:pt idx="132">
                  <c:v>6232.0744108387553</c:v>
                </c:pt>
                <c:pt idx="133">
                  <c:v>6262.0744108387553</c:v>
                </c:pt>
                <c:pt idx="134">
                  <c:v>6292.0744108387553</c:v>
                </c:pt>
                <c:pt idx="135">
                  <c:v>6315.688910838755</c:v>
                </c:pt>
                <c:pt idx="136">
                  <c:v>6322.0744108387553</c:v>
                </c:pt>
                <c:pt idx="137">
                  <c:v>6352.0744108387553</c:v>
                </c:pt>
                <c:pt idx="138">
                  <c:v>6382.0744108387553</c:v>
                </c:pt>
                <c:pt idx="139">
                  <c:v>6412.0744108387553</c:v>
                </c:pt>
                <c:pt idx="140">
                  <c:v>6442.0744108387553</c:v>
                </c:pt>
                <c:pt idx="141">
                  <c:v>6472.0744108387553</c:v>
                </c:pt>
                <c:pt idx="142">
                  <c:v>6502.0744108387553</c:v>
                </c:pt>
                <c:pt idx="143">
                  <c:v>6532.0744108387553</c:v>
                </c:pt>
                <c:pt idx="144">
                  <c:v>6562.0744108387553</c:v>
                </c:pt>
                <c:pt idx="145">
                  <c:v>6592.0744108387553</c:v>
                </c:pt>
                <c:pt idx="146">
                  <c:v>6622.0744108387553</c:v>
                </c:pt>
                <c:pt idx="147">
                  <c:v>6652.0744108387553</c:v>
                </c:pt>
                <c:pt idx="148">
                  <c:v>6682.0744108387553</c:v>
                </c:pt>
                <c:pt idx="149">
                  <c:v>6712.0744108387553</c:v>
                </c:pt>
                <c:pt idx="150">
                  <c:v>6742.0744108387553</c:v>
                </c:pt>
                <c:pt idx="151">
                  <c:v>6772.0744108387553</c:v>
                </c:pt>
                <c:pt idx="152">
                  <c:v>6802.0744108387553</c:v>
                </c:pt>
                <c:pt idx="153">
                  <c:v>6832.0744108387553</c:v>
                </c:pt>
                <c:pt idx="154">
                  <c:v>6862.0744108387553</c:v>
                </c:pt>
                <c:pt idx="155">
                  <c:v>6892.0744108387553</c:v>
                </c:pt>
                <c:pt idx="156">
                  <c:v>6922.0744108387553</c:v>
                </c:pt>
                <c:pt idx="157">
                  <c:v>6952.0744108387553</c:v>
                </c:pt>
                <c:pt idx="158">
                  <c:v>6982.0744108387553</c:v>
                </c:pt>
                <c:pt idx="159">
                  <c:v>7012.0744108387553</c:v>
                </c:pt>
                <c:pt idx="160">
                  <c:v>7042.0744108387553</c:v>
                </c:pt>
                <c:pt idx="161">
                  <c:v>7072.0744108387553</c:v>
                </c:pt>
                <c:pt idx="162">
                  <c:v>7102.0744108387553</c:v>
                </c:pt>
                <c:pt idx="163">
                  <c:v>7132.0744108387553</c:v>
                </c:pt>
                <c:pt idx="164">
                  <c:v>7162.0744108387553</c:v>
                </c:pt>
                <c:pt idx="165">
                  <c:v>7192.0744108387553</c:v>
                </c:pt>
                <c:pt idx="166">
                  <c:v>7222.0744108387553</c:v>
                </c:pt>
                <c:pt idx="167">
                  <c:v>7252.0744108387553</c:v>
                </c:pt>
                <c:pt idx="168">
                  <c:v>7282.0744108387553</c:v>
                </c:pt>
                <c:pt idx="169">
                  <c:v>7312.0744108387553</c:v>
                </c:pt>
                <c:pt idx="170">
                  <c:v>7342.0744108387553</c:v>
                </c:pt>
                <c:pt idx="171">
                  <c:v>7372.0744108387553</c:v>
                </c:pt>
                <c:pt idx="172">
                  <c:v>7402.0744108387553</c:v>
                </c:pt>
                <c:pt idx="173">
                  <c:v>7432.0744108387553</c:v>
                </c:pt>
                <c:pt idx="174">
                  <c:v>7462.0744108387553</c:v>
                </c:pt>
                <c:pt idx="175">
                  <c:v>7492.0744108387553</c:v>
                </c:pt>
                <c:pt idx="176">
                  <c:v>7522.0744108387553</c:v>
                </c:pt>
                <c:pt idx="177">
                  <c:v>7552.0744108387553</c:v>
                </c:pt>
                <c:pt idx="178">
                  <c:v>7582.0744108387553</c:v>
                </c:pt>
                <c:pt idx="179">
                  <c:v>7612.0744108387553</c:v>
                </c:pt>
                <c:pt idx="180">
                  <c:v>7642.0744108387553</c:v>
                </c:pt>
                <c:pt idx="181">
                  <c:v>7672.0744108387553</c:v>
                </c:pt>
                <c:pt idx="182">
                  <c:v>7702.0744108387553</c:v>
                </c:pt>
                <c:pt idx="183">
                  <c:v>7732.0744108387553</c:v>
                </c:pt>
                <c:pt idx="184">
                  <c:v>7762.0744108387553</c:v>
                </c:pt>
                <c:pt idx="185">
                  <c:v>7792.0744108387553</c:v>
                </c:pt>
                <c:pt idx="186">
                  <c:v>7822.0744108387553</c:v>
                </c:pt>
                <c:pt idx="187">
                  <c:v>7852.0744108387553</c:v>
                </c:pt>
                <c:pt idx="188">
                  <c:v>7882.0744108387553</c:v>
                </c:pt>
                <c:pt idx="189">
                  <c:v>7912.0744108387553</c:v>
                </c:pt>
                <c:pt idx="190">
                  <c:v>7942.0744108387553</c:v>
                </c:pt>
                <c:pt idx="191">
                  <c:v>7972.0744108387553</c:v>
                </c:pt>
                <c:pt idx="192">
                  <c:v>8002.0744108387553</c:v>
                </c:pt>
                <c:pt idx="193">
                  <c:v>8032.0744108387553</c:v>
                </c:pt>
                <c:pt idx="194">
                  <c:v>8062.0744108387553</c:v>
                </c:pt>
                <c:pt idx="195">
                  <c:v>8092.0744108387553</c:v>
                </c:pt>
                <c:pt idx="196">
                  <c:v>8122.0744108387553</c:v>
                </c:pt>
                <c:pt idx="197">
                  <c:v>8152.0744108387553</c:v>
                </c:pt>
                <c:pt idx="198">
                  <c:v>8182.0744108387553</c:v>
                </c:pt>
                <c:pt idx="199">
                  <c:v>8212.0744108387553</c:v>
                </c:pt>
                <c:pt idx="200">
                  <c:v>8242.0744108387553</c:v>
                </c:pt>
                <c:pt idx="201">
                  <c:v>8272.0744108387553</c:v>
                </c:pt>
                <c:pt idx="202">
                  <c:v>8302.0744108387553</c:v>
                </c:pt>
                <c:pt idx="203">
                  <c:v>8332.0744108387553</c:v>
                </c:pt>
                <c:pt idx="204">
                  <c:v>8362.0744108387553</c:v>
                </c:pt>
                <c:pt idx="205">
                  <c:v>8392.0744108387553</c:v>
                </c:pt>
                <c:pt idx="206">
                  <c:v>8422.0744108387553</c:v>
                </c:pt>
                <c:pt idx="207">
                  <c:v>8452.0744108387553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F-4408-A5E1-CF16219D0A34}"/>
            </c:ext>
          </c:extLst>
        </c:ser>
        <c:ser>
          <c:idx val="2"/>
          <c:order val="2"/>
          <c:tx>
            <c:strRef>
              <c:f>'Graph X'!$U$2</c:f>
              <c:strCache>
                <c:ptCount val="1"/>
                <c:pt idx="0">
                  <c:v>EST-VF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'Graph X'!$R$3:$R$210</c:f>
              <c:numCache>
                <c:formatCode>General</c:formatCode>
                <c:ptCount val="20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0.6</c:v>
                </c:pt>
                <c:pt idx="4">
                  <c:v>1</c:v>
                </c:pt>
                <c:pt idx="5">
                  <c:v>1.6305769884278885</c:v>
                </c:pt>
                <c:pt idx="6">
                  <c:v>2</c:v>
                </c:pt>
                <c:pt idx="7">
                  <c:v>2.4761590453028886</c:v>
                </c:pt>
                <c:pt idx="8">
                  <c:v>3</c:v>
                </c:pt>
                <c:pt idx="9">
                  <c:v>3.4866764999999997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  <c:pt idx="57">
                  <c:v>51</c:v>
                </c:pt>
                <c:pt idx="58">
                  <c:v>52</c:v>
                </c:pt>
                <c:pt idx="59">
                  <c:v>53</c:v>
                </c:pt>
                <c:pt idx="60">
                  <c:v>54</c:v>
                </c:pt>
                <c:pt idx="61">
                  <c:v>55</c:v>
                </c:pt>
                <c:pt idx="62">
                  <c:v>56</c:v>
                </c:pt>
                <c:pt idx="63">
                  <c:v>57</c:v>
                </c:pt>
                <c:pt idx="64">
                  <c:v>58</c:v>
                </c:pt>
                <c:pt idx="65">
                  <c:v>59</c:v>
                </c:pt>
                <c:pt idx="66">
                  <c:v>60</c:v>
                </c:pt>
                <c:pt idx="67">
                  <c:v>61</c:v>
                </c:pt>
                <c:pt idx="68">
                  <c:v>62</c:v>
                </c:pt>
                <c:pt idx="69">
                  <c:v>63</c:v>
                </c:pt>
                <c:pt idx="70">
                  <c:v>64</c:v>
                </c:pt>
                <c:pt idx="71">
                  <c:v>65</c:v>
                </c:pt>
                <c:pt idx="72">
                  <c:v>66</c:v>
                </c:pt>
                <c:pt idx="73">
                  <c:v>67</c:v>
                </c:pt>
                <c:pt idx="74">
                  <c:v>68</c:v>
                </c:pt>
                <c:pt idx="75">
                  <c:v>69</c:v>
                </c:pt>
                <c:pt idx="76">
                  <c:v>70</c:v>
                </c:pt>
                <c:pt idx="77">
                  <c:v>71</c:v>
                </c:pt>
                <c:pt idx="78">
                  <c:v>72</c:v>
                </c:pt>
                <c:pt idx="79">
                  <c:v>73</c:v>
                </c:pt>
                <c:pt idx="80">
                  <c:v>74</c:v>
                </c:pt>
                <c:pt idx="81">
                  <c:v>75</c:v>
                </c:pt>
                <c:pt idx="82">
                  <c:v>76</c:v>
                </c:pt>
                <c:pt idx="83">
                  <c:v>77</c:v>
                </c:pt>
                <c:pt idx="84">
                  <c:v>78</c:v>
                </c:pt>
                <c:pt idx="85">
                  <c:v>79</c:v>
                </c:pt>
                <c:pt idx="86">
                  <c:v>80</c:v>
                </c:pt>
                <c:pt idx="87">
                  <c:v>81</c:v>
                </c:pt>
                <c:pt idx="88">
                  <c:v>82</c:v>
                </c:pt>
                <c:pt idx="89">
                  <c:v>83</c:v>
                </c:pt>
                <c:pt idx="90">
                  <c:v>84</c:v>
                </c:pt>
                <c:pt idx="91">
                  <c:v>85</c:v>
                </c:pt>
                <c:pt idx="92">
                  <c:v>86</c:v>
                </c:pt>
                <c:pt idx="93">
                  <c:v>87</c:v>
                </c:pt>
                <c:pt idx="94">
                  <c:v>88</c:v>
                </c:pt>
                <c:pt idx="95">
                  <c:v>89</c:v>
                </c:pt>
                <c:pt idx="96">
                  <c:v>90</c:v>
                </c:pt>
                <c:pt idx="97">
                  <c:v>91</c:v>
                </c:pt>
                <c:pt idx="98">
                  <c:v>92</c:v>
                </c:pt>
                <c:pt idx="99">
                  <c:v>93</c:v>
                </c:pt>
                <c:pt idx="100">
                  <c:v>94</c:v>
                </c:pt>
                <c:pt idx="101">
                  <c:v>95</c:v>
                </c:pt>
                <c:pt idx="102">
                  <c:v>96</c:v>
                </c:pt>
                <c:pt idx="103">
                  <c:v>97</c:v>
                </c:pt>
                <c:pt idx="104">
                  <c:v>98</c:v>
                </c:pt>
                <c:pt idx="105">
                  <c:v>99</c:v>
                </c:pt>
                <c:pt idx="106">
                  <c:v>100</c:v>
                </c:pt>
                <c:pt idx="107">
                  <c:v>101</c:v>
                </c:pt>
                <c:pt idx="108">
                  <c:v>102</c:v>
                </c:pt>
                <c:pt idx="109">
                  <c:v>103</c:v>
                </c:pt>
                <c:pt idx="110">
                  <c:v>104</c:v>
                </c:pt>
                <c:pt idx="111">
                  <c:v>105</c:v>
                </c:pt>
                <c:pt idx="112">
                  <c:v>106</c:v>
                </c:pt>
                <c:pt idx="113">
                  <c:v>107</c:v>
                </c:pt>
                <c:pt idx="114">
                  <c:v>108</c:v>
                </c:pt>
                <c:pt idx="115">
                  <c:v>109</c:v>
                </c:pt>
                <c:pt idx="116">
                  <c:v>110</c:v>
                </c:pt>
                <c:pt idx="117">
                  <c:v>111</c:v>
                </c:pt>
                <c:pt idx="118">
                  <c:v>112</c:v>
                </c:pt>
                <c:pt idx="119">
                  <c:v>113</c:v>
                </c:pt>
                <c:pt idx="120">
                  <c:v>114</c:v>
                </c:pt>
                <c:pt idx="121">
                  <c:v>115</c:v>
                </c:pt>
                <c:pt idx="122">
                  <c:v>116</c:v>
                </c:pt>
                <c:pt idx="123">
                  <c:v>117</c:v>
                </c:pt>
                <c:pt idx="124">
                  <c:v>118</c:v>
                </c:pt>
                <c:pt idx="125">
                  <c:v>119</c:v>
                </c:pt>
                <c:pt idx="126">
                  <c:v>120</c:v>
                </c:pt>
                <c:pt idx="127">
                  <c:v>121</c:v>
                </c:pt>
                <c:pt idx="128">
                  <c:v>122</c:v>
                </c:pt>
                <c:pt idx="129">
                  <c:v>123</c:v>
                </c:pt>
                <c:pt idx="130">
                  <c:v>124</c:v>
                </c:pt>
                <c:pt idx="131">
                  <c:v>125</c:v>
                </c:pt>
                <c:pt idx="132">
                  <c:v>126</c:v>
                </c:pt>
                <c:pt idx="133">
                  <c:v>127</c:v>
                </c:pt>
                <c:pt idx="134">
                  <c:v>128</c:v>
                </c:pt>
                <c:pt idx="135">
                  <c:v>128.78715</c:v>
                </c:pt>
                <c:pt idx="136">
                  <c:v>129</c:v>
                </c:pt>
                <c:pt idx="137">
                  <c:v>130</c:v>
                </c:pt>
                <c:pt idx="138">
                  <c:v>131</c:v>
                </c:pt>
                <c:pt idx="139">
                  <c:v>132</c:v>
                </c:pt>
                <c:pt idx="140">
                  <c:v>133</c:v>
                </c:pt>
                <c:pt idx="141">
                  <c:v>134</c:v>
                </c:pt>
                <c:pt idx="142">
                  <c:v>135</c:v>
                </c:pt>
                <c:pt idx="143">
                  <c:v>136</c:v>
                </c:pt>
                <c:pt idx="144">
                  <c:v>137</c:v>
                </c:pt>
                <c:pt idx="145">
                  <c:v>138</c:v>
                </c:pt>
                <c:pt idx="146">
                  <c:v>139</c:v>
                </c:pt>
                <c:pt idx="147">
                  <c:v>140</c:v>
                </c:pt>
                <c:pt idx="148">
                  <c:v>141</c:v>
                </c:pt>
                <c:pt idx="149">
                  <c:v>142</c:v>
                </c:pt>
                <c:pt idx="150">
                  <c:v>143</c:v>
                </c:pt>
                <c:pt idx="151">
                  <c:v>144</c:v>
                </c:pt>
                <c:pt idx="152">
                  <c:v>145</c:v>
                </c:pt>
                <c:pt idx="153">
                  <c:v>146</c:v>
                </c:pt>
                <c:pt idx="154">
                  <c:v>147</c:v>
                </c:pt>
                <c:pt idx="155">
                  <c:v>148</c:v>
                </c:pt>
                <c:pt idx="156">
                  <c:v>149</c:v>
                </c:pt>
                <c:pt idx="157">
                  <c:v>150</c:v>
                </c:pt>
                <c:pt idx="158">
                  <c:v>151</c:v>
                </c:pt>
                <c:pt idx="159">
                  <c:v>152</c:v>
                </c:pt>
                <c:pt idx="160">
                  <c:v>153</c:v>
                </c:pt>
                <c:pt idx="161">
                  <c:v>154</c:v>
                </c:pt>
                <c:pt idx="162">
                  <c:v>155</c:v>
                </c:pt>
                <c:pt idx="163">
                  <c:v>156</c:v>
                </c:pt>
                <c:pt idx="164">
                  <c:v>157</c:v>
                </c:pt>
                <c:pt idx="165">
                  <c:v>158</c:v>
                </c:pt>
                <c:pt idx="166">
                  <c:v>159</c:v>
                </c:pt>
                <c:pt idx="167">
                  <c:v>160</c:v>
                </c:pt>
                <c:pt idx="168">
                  <c:v>161</c:v>
                </c:pt>
                <c:pt idx="169">
                  <c:v>162</c:v>
                </c:pt>
                <c:pt idx="170">
                  <c:v>163</c:v>
                </c:pt>
                <c:pt idx="171">
                  <c:v>164</c:v>
                </c:pt>
                <c:pt idx="172">
                  <c:v>165</c:v>
                </c:pt>
                <c:pt idx="173">
                  <c:v>166</c:v>
                </c:pt>
                <c:pt idx="174">
                  <c:v>167</c:v>
                </c:pt>
                <c:pt idx="175">
                  <c:v>168</c:v>
                </c:pt>
                <c:pt idx="176">
                  <c:v>169</c:v>
                </c:pt>
                <c:pt idx="177">
                  <c:v>170</c:v>
                </c:pt>
                <c:pt idx="178">
                  <c:v>171</c:v>
                </c:pt>
                <c:pt idx="179">
                  <c:v>172</c:v>
                </c:pt>
                <c:pt idx="180">
                  <c:v>173</c:v>
                </c:pt>
                <c:pt idx="181">
                  <c:v>174</c:v>
                </c:pt>
                <c:pt idx="182">
                  <c:v>175</c:v>
                </c:pt>
                <c:pt idx="183">
                  <c:v>176</c:v>
                </c:pt>
                <c:pt idx="184">
                  <c:v>177</c:v>
                </c:pt>
                <c:pt idx="185">
                  <c:v>178</c:v>
                </c:pt>
                <c:pt idx="186">
                  <c:v>179</c:v>
                </c:pt>
                <c:pt idx="187">
                  <c:v>180</c:v>
                </c:pt>
                <c:pt idx="188">
                  <c:v>181</c:v>
                </c:pt>
                <c:pt idx="189">
                  <c:v>182</c:v>
                </c:pt>
                <c:pt idx="190">
                  <c:v>183</c:v>
                </c:pt>
                <c:pt idx="191">
                  <c:v>184</c:v>
                </c:pt>
                <c:pt idx="192">
                  <c:v>185</c:v>
                </c:pt>
                <c:pt idx="193">
                  <c:v>186</c:v>
                </c:pt>
                <c:pt idx="194">
                  <c:v>187</c:v>
                </c:pt>
                <c:pt idx="195">
                  <c:v>188</c:v>
                </c:pt>
                <c:pt idx="196">
                  <c:v>189</c:v>
                </c:pt>
                <c:pt idx="197">
                  <c:v>190</c:v>
                </c:pt>
                <c:pt idx="198">
                  <c:v>191</c:v>
                </c:pt>
                <c:pt idx="199">
                  <c:v>192</c:v>
                </c:pt>
                <c:pt idx="200">
                  <c:v>193</c:v>
                </c:pt>
                <c:pt idx="201">
                  <c:v>194</c:v>
                </c:pt>
                <c:pt idx="202">
                  <c:v>195</c:v>
                </c:pt>
                <c:pt idx="203">
                  <c:v>196</c:v>
                </c:pt>
                <c:pt idx="204">
                  <c:v>197</c:v>
                </c:pt>
                <c:pt idx="205">
                  <c:v>198</c:v>
                </c:pt>
                <c:pt idx="206">
                  <c:v>199</c:v>
                </c:pt>
                <c:pt idx="207">
                  <c:v>200</c:v>
                </c:pt>
              </c:numCache>
            </c:numRef>
          </c:xVal>
          <c:yVal>
            <c:numRef>
              <c:f>'Graph X'!$U$3:$U$210</c:f>
              <c:numCache>
                <c:formatCode>General</c:formatCode>
                <c:ptCount val="208"/>
                <c:pt idx="0">
                  <c:v>572.84862813041843</c:v>
                </c:pt>
                <c:pt idx="1">
                  <c:v>575.84862813041843</c:v>
                </c:pt>
                <c:pt idx="2">
                  <c:v>578.84862813041843</c:v>
                </c:pt>
                <c:pt idx="3">
                  <c:v>587.84862813041843</c:v>
                </c:pt>
                <c:pt idx="4">
                  <c:v>599.84862813041843</c:v>
                </c:pt>
                <c:pt idx="5">
                  <c:v>618.76593778325514</c:v>
                </c:pt>
                <c:pt idx="6">
                  <c:v>629.84862813041843</c:v>
                </c:pt>
                <c:pt idx="7">
                  <c:v>644.13339948950511</c:v>
                </c:pt>
                <c:pt idx="8">
                  <c:v>659.84862813041843</c:v>
                </c:pt>
                <c:pt idx="9">
                  <c:v>674.44892313041839</c:v>
                </c:pt>
                <c:pt idx="10">
                  <c:v>689.84862813041843</c:v>
                </c:pt>
                <c:pt idx="11">
                  <c:v>719.84862813041843</c:v>
                </c:pt>
                <c:pt idx="12">
                  <c:v>749.84862813041843</c:v>
                </c:pt>
                <c:pt idx="13">
                  <c:v>779.84862813041843</c:v>
                </c:pt>
                <c:pt idx="14">
                  <c:v>809.84862813041843</c:v>
                </c:pt>
                <c:pt idx="15">
                  <c:v>839.84862813041843</c:v>
                </c:pt>
                <c:pt idx="16">
                  <c:v>869.84862813041843</c:v>
                </c:pt>
                <c:pt idx="17">
                  <c:v>899.84862813041843</c:v>
                </c:pt>
                <c:pt idx="18">
                  <c:v>929.84862813041843</c:v>
                </c:pt>
                <c:pt idx="19">
                  <c:v>959.84862813041843</c:v>
                </c:pt>
                <c:pt idx="20">
                  <c:v>989.84862813041843</c:v>
                </c:pt>
                <c:pt idx="21">
                  <c:v>1019.8486281304184</c:v>
                </c:pt>
                <c:pt idx="22">
                  <c:v>1049.8486281304185</c:v>
                </c:pt>
                <c:pt idx="23">
                  <c:v>1079.8486281304185</c:v>
                </c:pt>
                <c:pt idx="24">
                  <c:v>1109.8486281304185</c:v>
                </c:pt>
                <c:pt idx="25">
                  <c:v>1139.8486281304185</c:v>
                </c:pt>
                <c:pt idx="26">
                  <c:v>1169.8486281304185</c:v>
                </c:pt>
                <c:pt idx="27">
                  <c:v>1199.8486281304185</c:v>
                </c:pt>
                <c:pt idx="28">
                  <c:v>1229.8486281304185</c:v>
                </c:pt>
                <c:pt idx="29">
                  <c:v>1259.8486281304185</c:v>
                </c:pt>
                <c:pt idx="30">
                  <c:v>1289.8486281304185</c:v>
                </c:pt>
                <c:pt idx="31">
                  <c:v>1319.8486281304185</c:v>
                </c:pt>
                <c:pt idx="32">
                  <c:v>1349.8486281304185</c:v>
                </c:pt>
                <c:pt idx="33">
                  <c:v>1379.8486281304185</c:v>
                </c:pt>
                <c:pt idx="34">
                  <c:v>1409.8486281304185</c:v>
                </c:pt>
                <c:pt idx="35">
                  <c:v>1439.8486281304185</c:v>
                </c:pt>
                <c:pt idx="36">
                  <c:v>1469.8486281304185</c:v>
                </c:pt>
                <c:pt idx="37">
                  <c:v>1499.8486281304185</c:v>
                </c:pt>
                <c:pt idx="38">
                  <c:v>1529.8486281304185</c:v>
                </c:pt>
                <c:pt idx="39">
                  <c:v>1559.8486281304185</c:v>
                </c:pt>
                <c:pt idx="40">
                  <c:v>1589.8486281304185</c:v>
                </c:pt>
                <c:pt idx="41">
                  <c:v>1619.8486281304185</c:v>
                </c:pt>
                <c:pt idx="42">
                  <c:v>1649.8486281304185</c:v>
                </c:pt>
                <c:pt idx="43">
                  <c:v>1679.8486281304185</c:v>
                </c:pt>
                <c:pt idx="44">
                  <c:v>1709.8486281304185</c:v>
                </c:pt>
                <c:pt idx="45">
                  <c:v>1739.8486281304185</c:v>
                </c:pt>
                <c:pt idx="46">
                  <c:v>1769.8486281304185</c:v>
                </c:pt>
                <c:pt idx="47">
                  <c:v>1799.8486281304185</c:v>
                </c:pt>
                <c:pt idx="48">
                  <c:v>1829.8486281304185</c:v>
                </c:pt>
                <c:pt idx="49">
                  <c:v>1859.8486281304185</c:v>
                </c:pt>
                <c:pt idx="50">
                  <c:v>1889.8486281304185</c:v>
                </c:pt>
                <c:pt idx="51">
                  <c:v>1919.8486281304185</c:v>
                </c:pt>
                <c:pt idx="52">
                  <c:v>1949.8486281304185</c:v>
                </c:pt>
                <c:pt idx="53">
                  <c:v>1979.8486281304185</c:v>
                </c:pt>
                <c:pt idx="54">
                  <c:v>2009.8486281304185</c:v>
                </c:pt>
                <c:pt idx="55">
                  <c:v>2039.8486281304185</c:v>
                </c:pt>
                <c:pt idx="56">
                  <c:v>2069.8486281304185</c:v>
                </c:pt>
                <c:pt idx="57">
                  <c:v>2099.8486281304185</c:v>
                </c:pt>
                <c:pt idx="58">
                  <c:v>2129.8486281304185</c:v>
                </c:pt>
                <c:pt idx="59">
                  <c:v>2159.8486281304185</c:v>
                </c:pt>
                <c:pt idx="60">
                  <c:v>2189.8486281304185</c:v>
                </c:pt>
                <c:pt idx="61">
                  <c:v>2219.8486281304185</c:v>
                </c:pt>
                <c:pt idx="62">
                  <c:v>2249.8486281304185</c:v>
                </c:pt>
                <c:pt idx="63">
                  <c:v>2279.8486281304185</c:v>
                </c:pt>
                <c:pt idx="64">
                  <c:v>2309.8486281304185</c:v>
                </c:pt>
                <c:pt idx="65">
                  <c:v>2339.8486281304185</c:v>
                </c:pt>
                <c:pt idx="66">
                  <c:v>2369.8486281304185</c:v>
                </c:pt>
                <c:pt idx="67">
                  <c:v>2399.8486281304185</c:v>
                </c:pt>
                <c:pt idx="68">
                  <c:v>2429.8486281304185</c:v>
                </c:pt>
                <c:pt idx="69">
                  <c:v>2459.8486281304185</c:v>
                </c:pt>
                <c:pt idx="70">
                  <c:v>2489.8486281304185</c:v>
                </c:pt>
                <c:pt idx="71">
                  <c:v>2519.8486281304185</c:v>
                </c:pt>
                <c:pt idx="72">
                  <c:v>2549.8486281304185</c:v>
                </c:pt>
                <c:pt idx="73">
                  <c:v>2579.8486281304185</c:v>
                </c:pt>
                <c:pt idx="74">
                  <c:v>2609.8486281304185</c:v>
                </c:pt>
                <c:pt idx="75">
                  <c:v>2639.8486281304185</c:v>
                </c:pt>
                <c:pt idx="76">
                  <c:v>2669.8486281304185</c:v>
                </c:pt>
                <c:pt idx="77">
                  <c:v>2699.8486281304185</c:v>
                </c:pt>
                <c:pt idx="78">
                  <c:v>2729.8486281304185</c:v>
                </c:pt>
                <c:pt idx="79">
                  <c:v>2759.8486281304185</c:v>
                </c:pt>
                <c:pt idx="80">
                  <c:v>2789.8486281304185</c:v>
                </c:pt>
                <c:pt idx="81">
                  <c:v>2819.8486281304185</c:v>
                </c:pt>
                <c:pt idx="82">
                  <c:v>2849.8486281304185</c:v>
                </c:pt>
                <c:pt idx="83">
                  <c:v>2879.8486281304185</c:v>
                </c:pt>
                <c:pt idx="84">
                  <c:v>2909.8486281304185</c:v>
                </c:pt>
                <c:pt idx="85">
                  <c:v>2939.8486281304185</c:v>
                </c:pt>
                <c:pt idx="86">
                  <c:v>2969.8486281304185</c:v>
                </c:pt>
                <c:pt idx="87">
                  <c:v>2999.8486281304185</c:v>
                </c:pt>
                <c:pt idx="88">
                  <c:v>3029.8486281304185</c:v>
                </c:pt>
                <c:pt idx="89">
                  <c:v>3059.8486281304185</c:v>
                </c:pt>
                <c:pt idx="90">
                  <c:v>3089.8486281304185</c:v>
                </c:pt>
                <c:pt idx="91">
                  <c:v>3119.8486281304185</c:v>
                </c:pt>
                <c:pt idx="92">
                  <c:v>3149.8486281304185</c:v>
                </c:pt>
                <c:pt idx="93">
                  <c:v>3179.8486281304185</c:v>
                </c:pt>
                <c:pt idx="94">
                  <c:v>3209.8486281304185</c:v>
                </c:pt>
                <c:pt idx="95">
                  <c:v>3239.8486281304185</c:v>
                </c:pt>
                <c:pt idx="96">
                  <c:v>3269.8486281304185</c:v>
                </c:pt>
                <c:pt idx="97">
                  <c:v>3299.8486281304185</c:v>
                </c:pt>
                <c:pt idx="98">
                  <c:v>3329.8486281304185</c:v>
                </c:pt>
                <c:pt idx="99">
                  <c:v>3359.8486281304185</c:v>
                </c:pt>
                <c:pt idx="100">
                  <c:v>3389.8486281304185</c:v>
                </c:pt>
                <c:pt idx="101">
                  <c:v>3419.8486281304185</c:v>
                </c:pt>
                <c:pt idx="102">
                  <c:v>3449.8486281304185</c:v>
                </c:pt>
                <c:pt idx="103">
                  <c:v>3479.8486281304185</c:v>
                </c:pt>
                <c:pt idx="104">
                  <c:v>3509.8486281304185</c:v>
                </c:pt>
                <c:pt idx="105">
                  <c:v>3539.8486281304185</c:v>
                </c:pt>
                <c:pt idx="106">
                  <c:v>3569.8486281304185</c:v>
                </c:pt>
                <c:pt idx="107">
                  <c:v>3599.8486281304185</c:v>
                </c:pt>
                <c:pt idx="108">
                  <c:v>3629.8486281304185</c:v>
                </c:pt>
                <c:pt idx="109">
                  <c:v>3659.8486281304185</c:v>
                </c:pt>
                <c:pt idx="110">
                  <c:v>3689.8486281304185</c:v>
                </c:pt>
                <c:pt idx="111">
                  <c:v>3719.8486281304185</c:v>
                </c:pt>
                <c:pt idx="112">
                  <c:v>3749.8486281304185</c:v>
                </c:pt>
                <c:pt idx="113">
                  <c:v>3779.8486281304185</c:v>
                </c:pt>
                <c:pt idx="114">
                  <c:v>3809.8486281304185</c:v>
                </c:pt>
                <c:pt idx="115">
                  <c:v>3839.8486281304185</c:v>
                </c:pt>
                <c:pt idx="116">
                  <c:v>3869.8486281304185</c:v>
                </c:pt>
                <c:pt idx="117">
                  <c:v>3899.8486281304185</c:v>
                </c:pt>
                <c:pt idx="118">
                  <c:v>3929.8486281304185</c:v>
                </c:pt>
                <c:pt idx="119">
                  <c:v>3959.8486281304185</c:v>
                </c:pt>
                <c:pt idx="120">
                  <c:v>3989.8486281304185</c:v>
                </c:pt>
                <c:pt idx="121">
                  <c:v>4019.8486281304185</c:v>
                </c:pt>
                <c:pt idx="122">
                  <c:v>4049.8486281304185</c:v>
                </c:pt>
                <c:pt idx="123">
                  <c:v>4079.8486281304185</c:v>
                </c:pt>
                <c:pt idx="124">
                  <c:v>4109.8486281304185</c:v>
                </c:pt>
                <c:pt idx="125">
                  <c:v>4139.8486281304185</c:v>
                </c:pt>
                <c:pt idx="126">
                  <c:v>4169.8486281304185</c:v>
                </c:pt>
                <c:pt idx="127">
                  <c:v>4199.8486281304185</c:v>
                </c:pt>
                <c:pt idx="128">
                  <c:v>4229.8486281304185</c:v>
                </c:pt>
                <c:pt idx="129">
                  <c:v>4259.8486281304185</c:v>
                </c:pt>
                <c:pt idx="130">
                  <c:v>4289.8486281304185</c:v>
                </c:pt>
                <c:pt idx="131">
                  <c:v>4319.8486281304185</c:v>
                </c:pt>
                <c:pt idx="132">
                  <c:v>4349.8486281304185</c:v>
                </c:pt>
                <c:pt idx="133">
                  <c:v>4379.8486281304185</c:v>
                </c:pt>
                <c:pt idx="134">
                  <c:v>4409.8486281304185</c:v>
                </c:pt>
                <c:pt idx="135">
                  <c:v>4433.4631281304182</c:v>
                </c:pt>
                <c:pt idx="136">
                  <c:v>4439.8486281304185</c:v>
                </c:pt>
                <c:pt idx="137">
                  <c:v>4469.8486281304185</c:v>
                </c:pt>
                <c:pt idx="138">
                  <c:v>4499.8486281304185</c:v>
                </c:pt>
                <c:pt idx="139">
                  <c:v>4529.8486281304185</c:v>
                </c:pt>
                <c:pt idx="140">
                  <c:v>4559.8486281304185</c:v>
                </c:pt>
                <c:pt idx="141">
                  <c:v>4589.8486281304185</c:v>
                </c:pt>
                <c:pt idx="142">
                  <c:v>4619.8486281304185</c:v>
                </c:pt>
                <c:pt idx="143">
                  <c:v>4649.8486281304185</c:v>
                </c:pt>
                <c:pt idx="144">
                  <c:v>4679.8486281304185</c:v>
                </c:pt>
                <c:pt idx="145">
                  <c:v>4709.8486281304185</c:v>
                </c:pt>
                <c:pt idx="146">
                  <c:v>4739.8486281304185</c:v>
                </c:pt>
                <c:pt idx="147">
                  <c:v>4769.8486281304185</c:v>
                </c:pt>
                <c:pt idx="148">
                  <c:v>4799.8486281304185</c:v>
                </c:pt>
                <c:pt idx="149">
                  <c:v>4829.8486281304185</c:v>
                </c:pt>
                <c:pt idx="150">
                  <c:v>4859.8486281304185</c:v>
                </c:pt>
                <c:pt idx="151">
                  <c:v>4889.8486281304185</c:v>
                </c:pt>
                <c:pt idx="152">
                  <c:v>4919.8486281304185</c:v>
                </c:pt>
                <c:pt idx="153">
                  <c:v>4949.8486281304185</c:v>
                </c:pt>
                <c:pt idx="154">
                  <c:v>4979.8486281304185</c:v>
                </c:pt>
                <c:pt idx="155">
                  <c:v>5009.8486281304185</c:v>
                </c:pt>
                <c:pt idx="156">
                  <c:v>5039.8486281304185</c:v>
                </c:pt>
                <c:pt idx="157">
                  <c:v>5069.8486281304185</c:v>
                </c:pt>
                <c:pt idx="158">
                  <c:v>5099.8486281304185</c:v>
                </c:pt>
                <c:pt idx="159">
                  <c:v>5129.8486281304185</c:v>
                </c:pt>
                <c:pt idx="160">
                  <c:v>5159.8486281304185</c:v>
                </c:pt>
                <c:pt idx="161">
                  <c:v>5189.8486281304185</c:v>
                </c:pt>
                <c:pt idx="162">
                  <c:v>5219.8486281304185</c:v>
                </c:pt>
                <c:pt idx="163">
                  <c:v>5249.8486281304185</c:v>
                </c:pt>
                <c:pt idx="164">
                  <c:v>5279.8486281304185</c:v>
                </c:pt>
                <c:pt idx="165">
                  <c:v>5309.8486281304185</c:v>
                </c:pt>
                <c:pt idx="166">
                  <c:v>5339.8486281304185</c:v>
                </c:pt>
                <c:pt idx="167">
                  <c:v>5369.8486281304185</c:v>
                </c:pt>
                <c:pt idx="168">
                  <c:v>5399.8486281304185</c:v>
                </c:pt>
                <c:pt idx="169">
                  <c:v>5429.8486281304185</c:v>
                </c:pt>
                <c:pt idx="170">
                  <c:v>5459.8486281304185</c:v>
                </c:pt>
                <c:pt idx="171">
                  <c:v>5489.8486281304185</c:v>
                </c:pt>
                <c:pt idx="172">
                  <c:v>5519.8486281304185</c:v>
                </c:pt>
                <c:pt idx="173">
                  <c:v>5549.8486281304185</c:v>
                </c:pt>
                <c:pt idx="174">
                  <c:v>5579.8486281304185</c:v>
                </c:pt>
                <c:pt idx="175">
                  <c:v>5609.8486281304185</c:v>
                </c:pt>
                <c:pt idx="176">
                  <c:v>5639.8486281304185</c:v>
                </c:pt>
                <c:pt idx="177">
                  <c:v>5669.8486281304185</c:v>
                </c:pt>
                <c:pt idx="178">
                  <c:v>5699.8486281304185</c:v>
                </c:pt>
                <c:pt idx="179">
                  <c:v>5729.8486281304185</c:v>
                </c:pt>
                <c:pt idx="180">
                  <c:v>5759.8486281304185</c:v>
                </c:pt>
                <c:pt idx="181">
                  <c:v>5789.8486281304185</c:v>
                </c:pt>
                <c:pt idx="182">
                  <c:v>5819.8486281304185</c:v>
                </c:pt>
                <c:pt idx="183">
                  <c:v>5849.8486281304185</c:v>
                </c:pt>
                <c:pt idx="184">
                  <c:v>5879.8486281304185</c:v>
                </c:pt>
                <c:pt idx="185">
                  <c:v>5909.8486281304185</c:v>
                </c:pt>
                <c:pt idx="186">
                  <c:v>5939.8486281304185</c:v>
                </c:pt>
                <c:pt idx="187">
                  <c:v>5969.8486281304185</c:v>
                </c:pt>
                <c:pt idx="188">
                  <c:v>5999.8486281304185</c:v>
                </c:pt>
                <c:pt idx="189">
                  <c:v>6029.8486281304185</c:v>
                </c:pt>
                <c:pt idx="190">
                  <c:v>6059.8486281304185</c:v>
                </c:pt>
                <c:pt idx="191">
                  <c:v>6089.8486281304185</c:v>
                </c:pt>
                <c:pt idx="192">
                  <c:v>6119.8486281304185</c:v>
                </c:pt>
                <c:pt idx="193">
                  <c:v>6149.8486281304185</c:v>
                </c:pt>
                <c:pt idx="194">
                  <c:v>6179.8486281304185</c:v>
                </c:pt>
                <c:pt idx="195">
                  <c:v>6209.8486281304185</c:v>
                </c:pt>
                <c:pt idx="196">
                  <c:v>6239.8486281304185</c:v>
                </c:pt>
                <c:pt idx="197">
                  <c:v>6269.8486281304185</c:v>
                </c:pt>
                <c:pt idx="198">
                  <c:v>6299.8486281304185</c:v>
                </c:pt>
                <c:pt idx="199">
                  <c:v>6329.8486281304185</c:v>
                </c:pt>
                <c:pt idx="200">
                  <c:v>6359.8486281304185</c:v>
                </c:pt>
                <c:pt idx="201">
                  <c:v>6389.8486281304185</c:v>
                </c:pt>
                <c:pt idx="202">
                  <c:v>6419.8486281304185</c:v>
                </c:pt>
                <c:pt idx="203">
                  <c:v>6449.8486281304185</c:v>
                </c:pt>
                <c:pt idx="204">
                  <c:v>6479.8486281304185</c:v>
                </c:pt>
                <c:pt idx="205">
                  <c:v>6509.8486281304185</c:v>
                </c:pt>
                <c:pt idx="206">
                  <c:v>6539.8486281304185</c:v>
                </c:pt>
                <c:pt idx="207">
                  <c:v>6569.8486281304185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5BF-4408-A5E1-CF16219D0A34}"/>
            </c:ext>
          </c:extLst>
        </c:ser>
        <c:ser>
          <c:idx val="3"/>
          <c:order val="3"/>
          <c:tx>
            <c:strRef>
              <c:f>'Graph X'!$V$2</c:f>
              <c:strCache>
                <c:ptCount val="1"/>
                <c:pt idx="0">
                  <c:v>EST-AHF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'Graph X'!$R$3:$R$210</c:f>
              <c:numCache>
                <c:formatCode>General</c:formatCode>
                <c:ptCount val="20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0.6</c:v>
                </c:pt>
                <c:pt idx="4">
                  <c:v>1</c:v>
                </c:pt>
                <c:pt idx="5">
                  <c:v>1.6305769884278885</c:v>
                </c:pt>
                <c:pt idx="6">
                  <c:v>2</c:v>
                </c:pt>
                <c:pt idx="7">
                  <c:v>2.4761590453028886</c:v>
                </c:pt>
                <c:pt idx="8">
                  <c:v>3</c:v>
                </c:pt>
                <c:pt idx="9">
                  <c:v>3.4866764999999997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  <c:pt idx="57">
                  <c:v>51</c:v>
                </c:pt>
                <c:pt idx="58">
                  <c:v>52</c:v>
                </c:pt>
                <c:pt idx="59">
                  <c:v>53</c:v>
                </c:pt>
                <c:pt idx="60">
                  <c:v>54</c:v>
                </c:pt>
                <c:pt idx="61">
                  <c:v>55</c:v>
                </c:pt>
                <c:pt idx="62">
                  <c:v>56</c:v>
                </c:pt>
                <c:pt idx="63">
                  <c:v>57</c:v>
                </c:pt>
                <c:pt idx="64">
                  <c:v>58</c:v>
                </c:pt>
                <c:pt idx="65">
                  <c:v>59</c:v>
                </c:pt>
                <c:pt idx="66">
                  <c:v>60</c:v>
                </c:pt>
                <c:pt idx="67">
                  <c:v>61</c:v>
                </c:pt>
                <c:pt idx="68">
                  <c:v>62</c:v>
                </c:pt>
                <c:pt idx="69">
                  <c:v>63</c:v>
                </c:pt>
                <c:pt idx="70">
                  <c:v>64</c:v>
                </c:pt>
                <c:pt idx="71">
                  <c:v>65</c:v>
                </c:pt>
                <c:pt idx="72">
                  <c:v>66</c:v>
                </c:pt>
                <c:pt idx="73">
                  <c:v>67</c:v>
                </c:pt>
                <c:pt idx="74">
                  <c:v>68</c:v>
                </c:pt>
                <c:pt idx="75">
                  <c:v>69</c:v>
                </c:pt>
                <c:pt idx="76">
                  <c:v>70</c:v>
                </c:pt>
                <c:pt idx="77">
                  <c:v>71</c:v>
                </c:pt>
                <c:pt idx="78">
                  <c:v>72</c:v>
                </c:pt>
                <c:pt idx="79">
                  <c:v>73</c:v>
                </c:pt>
                <c:pt idx="80">
                  <c:v>74</c:v>
                </c:pt>
                <c:pt idx="81">
                  <c:v>75</c:v>
                </c:pt>
                <c:pt idx="82">
                  <c:v>76</c:v>
                </c:pt>
                <c:pt idx="83">
                  <c:v>77</c:v>
                </c:pt>
                <c:pt idx="84">
                  <c:v>78</c:v>
                </c:pt>
                <c:pt idx="85">
                  <c:v>79</c:v>
                </c:pt>
                <c:pt idx="86">
                  <c:v>80</c:v>
                </c:pt>
                <c:pt idx="87">
                  <c:v>81</c:v>
                </c:pt>
                <c:pt idx="88">
                  <c:v>82</c:v>
                </c:pt>
                <c:pt idx="89">
                  <c:v>83</c:v>
                </c:pt>
                <c:pt idx="90">
                  <c:v>84</c:v>
                </c:pt>
                <c:pt idx="91">
                  <c:v>85</c:v>
                </c:pt>
                <c:pt idx="92">
                  <c:v>86</c:v>
                </c:pt>
                <c:pt idx="93">
                  <c:v>87</c:v>
                </c:pt>
                <c:pt idx="94">
                  <c:v>88</c:v>
                </c:pt>
                <c:pt idx="95">
                  <c:v>89</c:v>
                </c:pt>
                <c:pt idx="96">
                  <c:v>90</c:v>
                </c:pt>
                <c:pt idx="97">
                  <c:v>91</c:v>
                </c:pt>
                <c:pt idx="98">
                  <c:v>92</c:v>
                </c:pt>
                <c:pt idx="99">
                  <c:v>93</c:v>
                </c:pt>
                <c:pt idx="100">
                  <c:v>94</c:v>
                </c:pt>
                <c:pt idx="101">
                  <c:v>95</c:v>
                </c:pt>
                <c:pt idx="102">
                  <c:v>96</c:v>
                </c:pt>
                <c:pt idx="103">
                  <c:v>97</c:v>
                </c:pt>
                <c:pt idx="104">
                  <c:v>98</c:v>
                </c:pt>
                <c:pt idx="105">
                  <c:v>99</c:v>
                </c:pt>
                <c:pt idx="106">
                  <c:v>100</c:v>
                </c:pt>
                <c:pt idx="107">
                  <c:v>101</c:v>
                </c:pt>
                <c:pt idx="108">
                  <c:v>102</c:v>
                </c:pt>
                <c:pt idx="109">
                  <c:v>103</c:v>
                </c:pt>
                <c:pt idx="110">
                  <c:v>104</c:v>
                </c:pt>
                <c:pt idx="111">
                  <c:v>105</c:v>
                </c:pt>
                <c:pt idx="112">
                  <c:v>106</c:v>
                </c:pt>
                <c:pt idx="113">
                  <c:v>107</c:v>
                </c:pt>
                <c:pt idx="114">
                  <c:v>108</c:v>
                </c:pt>
                <c:pt idx="115">
                  <c:v>109</c:v>
                </c:pt>
                <c:pt idx="116">
                  <c:v>110</c:v>
                </c:pt>
                <c:pt idx="117">
                  <c:v>111</c:v>
                </c:pt>
                <c:pt idx="118">
                  <c:v>112</c:v>
                </c:pt>
                <c:pt idx="119">
                  <c:v>113</c:v>
                </c:pt>
                <c:pt idx="120">
                  <c:v>114</c:v>
                </c:pt>
                <c:pt idx="121">
                  <c:v>115</c:v>
                </c:pt>
                <c:pt idx="122">
                  <c:v>116</c:v>
                </c:pt>
                <c:pt idx="123">
                  <c:v>117</c:v>
                </c:pt>
                <c:pt idx="124">
                  <c:v>118</c:v>
                </c:pt>
                <c:pt idx="125">
                  <c:v>119</c:v>
                </c:pt>
                <c:pt idx="126">
                  <c:v>120</c:v>
                </c:pt>
                <c:pt idx="127">
                  <c:v>121</c:v>
                </c:pt>
                <c:pt idx="128">
                  <c:v>122</c:v>
                </c:pt>
                <c:pt idx="129">
                  <c:v>123</c:v>
                </c:pt>
                <c:pt idx="130">
                  <c:v>124</c:v>
                </c:pt>
                <c:pt idx="131">
                  <c:v>125</c:v>
                </c:pt>
                <c:pt idx="132">
                  <c:v>126</c:v>
                </c:pt>
                <c:pt idx="133">
                  <c:v>127</c:v>
                </c:pt>
                <c:pt idx="134">
                  <c:v>128</c:v>
                </c:pt>
                <c:pt idx="135">
                  <c:v>128.78715</c:v>
                </c:pt>
                <c:pt idx="136">
                  <c:v>129</c:v>
                </c:pt>
                <c:pt idx="137">
                  <c:v>130</c:v>
                </c:pt>
                <c:pt idx="138">
                  <c:v>131</c:v>
                </c:pt>
                <c:pt idx="139">
                  <c:v>132</c:v>
                </c:pt>
                <c:pt idx="140">
                  <c:v>133</c:v>
                </c:pt>
                <c:pt idx="141">
                  <c:v>134</c:v>
                </c:pt>
                <c:pt idx="142">
                  <c:v>135</c:v>
                </c:pt>
                <c:pt idx="143">
                  <c:v>136</c:v>
                </c:pt>
                <c:pt idx="144">
                  <c:v>137</c:v>
                </c:pt>
                <c:pt idx="145">
                  <c:v>138</c:v>
                </c:pt>
                <c:pt idx="146">
                  <c:v>139</c:v>
                </c:pt>
                <c:pt idx="147">
                  <c:v>140</c:v>
                </c:pt>
                <c:pt idx="148">
                  <c:v>141</c:v>
                </c:pt>
                <c:pt idx="149">
                  <c:v>142</c:v>
                </c:pt>
                <c:pt idx="150">
                  <c:v>143</c:v>
                </c:pt>
                <c:pt idx="151">
                  <c:v>144</c:v>
                </c:pt>
                <c:pt idx="152">
                  <c:v>145</c:v>
                </c:pt>
                <c:pt idx="153">
                  <c:v>146</c:v>
                </c:pt>
                <c:pt idx="154">
                  <c:v>147</c:v>
                </c:pt>
                <c:pt idx="155">
                  <c:v>148</c:v>
                </c:pt>
                <c:pt idx="156">
                  <c:v>149</c:v>
                </c:pt>
                <c:pt idx="157">
                  <c:v>150</c:v>
                </c:pt>
                <c:pt idx="158">
                  <c:v>151</c:v>
                </c:pt>
                <c:pt idx="159">
                  <c:v>152</c:v>
                </c:pt>
                <c:pt idx="160">
                  <c:v>153</c:v>
                </c:pt>
                <c:pt idx="161">
                  <c:v>154</c:v>
                </c:pt>
                <c:pt idx="162">
                  <c:v>155</c:v>
                </c:pt>
                <c:pt idx="163">
                  <c:v>156</c:v>
                </c:pt>
                <c:pt idx="164">
                  <c:v>157</c:v>
                </c:pt>
                <c:pt idx="165">
                  <c:v>158</c:v>
                </c:pt>
                <c:pt idx="166">
                  <c:v>159</c:v>
                </c:pt>
                <c:pt idx="167">
                  <c:v>160</c:v>
                </c:pt>
                <c:pt idx="168">
                  <c:v>161</c:v>
                </c:pt>
                <c:pt idx="169">
                  <c:v>162</c:v>
                </c:pt>
                <c:pt idx="170">
                  <c:v>163</c:v>
                </c:pt>
                <c:pt idx="171">
                  <c:v>164</c:v>
                </c:pt>
                <c:pt idx="172">
                  <c:v>165</c:v>
                </c:pt>
                <c:pt idx="173">
                  <c:v>166</c:v>
                </c:pt>
                <c:pt idx="174">
                  <c:v>167</c:v>
                </c:pt>
                <c:pt idx="175">
                  <c:v>168</c:v>
                </c:pt>
                <c:pt idx="176">
                  <c:v>169</c:v>
                </c:pt>
                <c:pt idx="177">
                  <c:v>170</c:v>
                </c:pt>
                <c:pt idx="178">
                  <c:v>171</c:v>
                </c:pt>
                <c:pt idx="179">
                  <c:v>172</c:v>
                </c:pt>
                <c:pt idx="180">
                  <c:v>173</c:v>
                </c:pt>
                <c:pt idx="181">
                  <c:v>174</c:v>
                </c:pt>
                <c:pt idx="182">
                  <c:v>175</c:v>
                </c:pt>
                <c:pt idx="183">
                  <c:v>176</c:v>
                </c:pt>
                <c:pt idx="184">
                  <c:v>177</c:v>
                </c:pt>
                <c:pt idx="185">
                  <c:v>178</c:v>
                </c:pt>
                <c:pt idx="186">
                  <c:v>179</c:v>
                </c:pt>
                <c:pt idx="187">
                  <c:v>180</c:v>
                </c:pt>
                <c:pt idx="188">
                  <c:v>181</c:v>
                </c:pt>
                <c:pt idx="189">
                  <c:v>182</c:v>
                </c:pt>
                <c:pt idx="190">
                  <c:v>183</c:v>
                </c:pt>
                <c:pt idx="191">
                  <c:v>184</c:v>
                </c:pt>
                <c:pt idx="192">
                  <c:v>185</c:v>
                </c:pt>
                <c:pt idx="193">
                  <c:v>186</c:v>
                </c:pt>
                <c:pt idx="194">
                  <c:v>187</c:v>
                </c:pt>
                <c:pt idx="195">
                  <c:v>188</c:v>
                </c:pt>
                <c:pt idx="196">
                  <c:v>189</c:v>
                </c:pt>
                <c:pt idx="197">
                  <c:v>190</c:v>
                </c:pt>
                <c:pt idx="198">
                  <c:v>191</c:v>
                </c:pt>
                <c:pt idx="199">
                  <c:v>192</c:v>
                </c:pt>
                <c:pt idx="200">
                  <c:v>193</c:v>
                </c:pt>
                <c:pt idx="201">
                  <c:v>194</c:v>
                </c:pt>
                <c:pt idx="202">
                  <c:v>195</c:v>
                </c:pt>
                <c:pt idx="203">
                  <c:v>196</c:v>
                </c:pt>
                <c:pt idx="204">
                  <c:v>197</c:v>
                </c:pt>
                <c:pt idx="205">
                  <c:v>198</c:v>
                </c:pt>
                <c:pt idx="206">
                  <c:v>199</c:v>
                </c:pt>
                <c:pt idx="207">
                  <c:v>200</c:v>
                </c:pt>
              </c:numCache>
            </c:numRef>
          </c:xVal>
          <c:yVal>
            <c:numRef>
              <c:f>'Graph X'!$V$3:$V$210</c:f>
              <c:numCache>
                <c:formatCode>General</c:formatCode>
                <c:ptCount val="208"/>
                <c:pt idx="0">
                  <c:v>612.08330988614148</c:v>
                </c:pt>
                <c:pt idx="1">
                  <c:v>615.08330988614148</c:v>
                </c:pt>
                <c:pt idx="2">
                  <c:v>618.08330988614148</c:v>
                </c:pt>
                <c:pt idx="3">
                  <c:v>627.08330988614148</c:v>
                </c:pt>
                <c:pt idx="4">
                  <c:v>639.08330988614148</c:v>
                </c:pt>
                <c:pt idx="5">
                  <c:v>658.00061953897807</c:v>
                </c:pt>
                <c:pt idx="6">
                  <c:v>669.08330988614148</c:v>
                </c:pt>
                <c:pt idx="7">
                  <c:v>683.36808124522815</c:v>
                </c:pt>
                <c:pt idx="8">
                  <c:v>699.08330988614148</c:v>
                </c:pt>
                <c:pt idx="9">
                  <c:v>713.68360488614144</c:v>
                </c:pt>
                <c:pt idx="10">
                  <c:v>729.08330988614148</c:v>
                </c:pt>
                <c:pt idx="11">
                  <c:v>759.08330988614148</c:v>
                </c:pt>
                <c:pt idx="12">
                  <c:v>789.08330988614148</c:v>
                </c:pt>
                <c:pt idx="13">
                  <c:v>819.08330988614148</c:v>
                </c:pt>
                <c:pt idx="14">
                  <c:v>849.08330988614148</c:v>
                </c:pt>
                <c:pt idx="15">
                  <c:v>879.08330988614148</c:v>
                </c:pt>
                <c:pt idx="16">
                  <c:v>909.08330988614148</c:v>
                </c:pt>
                <c:pt idx="17">
                  <c:v>939.08330988614148</c:v>
                </c:pt>
                <c:pt idx="18">
                  <c:v>969.08330988614148</c:v>
                </c:pt>
                <c:pt idx="19">
                  <c:v>999.08330988614148</c:v>
                </c:pt>
                <c:pt idx="20">
                  <c:v>1029.0833098861415</c:v>
                </c:pt>
                <c:pt idx="21">
                  <c:v>1059.0833098861415</c:v>
                </c:pt>
                <c:pt idx="22">
                  <c:v>1089.0833098861415</c:v>
                </c:pt>
                <c:pt idx="23">
                  <c:v>1119.0833098861415</c:v>
                </c:pt>
                <c:pt idx="24">
                  <c:v>1149.0833098861415</c:v>
                </c:pt>
                <c:pt idx="25">
                  <c:v>1179.0833098861415</c:v>
                </c:pt>
                <c:pt idx="26">
                  <c:v>1209.0833098861415</c:v>
                </c:pt>
                <c:pt idx="27">
                  <c:v>1239.0833098861415</c:v>
                </c:pt>
                <c:pt idx="28">
                  <c:v>1269.0833098861415</c:v>
                </c:pt>
                <c:pt idx="29">
                  <c:v>1299.0833098861415</c:v>
                </c:pt>
                <c:pt idx="30">
                  <c:v>1329.0833098861415</c:v>
                </c:pt>
                <c:pt idx="31">
                  <c:v>1359.0833098861415</c:v>
                </c:pt>
                <c:pt idx="32">
                  <c:v>1389.0833098861415</c:v>
                </c:pt>
                <c:pt idx="33">
                  <c:v>1419.0833098861415</c:v>
                </c:pt>
                <c:pt idx="34">
                  <c:v>1449.0833098861415</c:v>
                </c:pt>
                <c:pt idx="35">
                  <c:v>1479.0833098861415</c:v>
                </c:pt>
                <c:pt idx="36">
                  <c:v>1509.0833098861415</c:v>
                </c:pt>
                <c:pt idx="37">
                  <c:v>1539.0833098861415</c:v>
                </c:pt>
                <c:pt idx="38">
                  <c:v>1569.0833098861415</c:v>
                </c:pt>
                <c:pt idx="39">
                  <c:v>1599.0833098861415</c:v>
                </c:pt>
                <c:pt idx="40">
                  <c:v>1629.0833098861415</c:v>
                </c:pt>
                <c:pt idx="41">
                  <c:v>1659.0833098861415</c:v>
                </c:pt>
                <c:pt idx="42">
                  <c:v>1689.0833098861415</c:v>
                </c:pt>
                <c:pt idx="43">
                  <c:v>1719.0833098861415</c:v>
                </c:pt>
                <c:pt idx="44">
                  <c:v>1749.0833098861415</c:v>
                </c:pt>
                <c:pt idx="45">
                  <c:v>1779.0833098861415</c:v>
                </c:pt>
                <c:pt idx="46">
                  <c:v>1809.0833098861415</c:v>
                </c:pt>
                <c:pt idx="47">
                  <c:v>1839.0833098861415</c:v>
                </c:pt>
                <c:pt idx="48">
                  <c:v>1869.0833098861415</c:v>
                </c:pt>
                <c:pt idx="49">
                  <c:v>1899.0833098861415</c:v>
                </c:pt>
                <c:pt idx="50">
                  <c:v>1929.0833098861415</c:v>
                </c:pt>
                <c:pt idx="51">
                  <c:v>1959.0833098861415</c:v>
                </c:pt>
                <c:pt idx="52">
                  <c:v>1989.0833098861415</c:v>
                </c:pt>
                <c:pt idx="53">
                  <c:v>2019.0833098861415</c:v>
                </c:pt>
                <c:pt idx="54">
                  <c:v>2049.0833098861413</c:v>
                </c:pt>
                <c:pt idx="55">
                  <c:v>2079.0833098861413</c:v>
                </c:pt>
                <c:pt idx="56">
                  <c:v>2109.0833098861413</c:v>
                </c:pt>
                <c:pt idx="57">
                  <c:v>2139.0833098861413</c:v>
                </c:pt>
                <c:pt idx="58">
                  <c:v>2169.0833098861413</c:v>
                </c:pt>
                <c:pt idx="59">
                  <c:v>2199.0833098861413</c:v>
                </c:pt>
                <c:pt idx="60">
                  <c:v>2229.0833098861413</c:v>
                </c:pt>
                <c:pt idx="61">
                  <c:v>2259.0833098861413</c:v>
                </c:pt>
                <c:pt idx="62">
                  <c:v>2289.0833098861413</c:v>
                </c:pt>
                <c:pt idx="63">
                  <c:v>2319.0833098861413</c:v>
                </c:pt>
                <c:pt idx="64">
                  <c:v>2349.0833098861413</c:v>
                </c:pt>
                <c:pt idx="65">
                  <c:v>2379.0833098861413</c:v>
                </c:pt>
                <c:pt idx="66">
                  <c:v>2409.0833098861413</c:v>
                </c:pt>
                <c:pt idx="67">
                  <c:v>2439.0833098861413</c:v>
                </c:pt>
                <c:pt idx="68">
                  <c:v>2469.0833098861413</c:v>
                </c:pt>
                <c:pt idx="69">
                  <c:v>2499.0833098861413</c:v>
                </c:pt>
                <c:pt idx="70">
                  <c:v>2529.0833098861413</c:v>
                </c:pt>
                <c:pt idx="71">
                  <c:v>2559.0833098861413</c:v>
                </c:pt>
                <c:pt idx="72">
                  <c:v>2589.0833098861413</c:v>
                </c:pt>
                <c:pt idx="73">
                  <c:v>2619.0833098861413</c:v>
                </c:pt>
                <c:pt idx="74">
                  <c:v>2649.0833098861413</c:v>
                </c:pt>
                <c:pt idx="75">
                  <c:v>2679.0833098861413</c:v>
                </c:pt>
                <c:pt idx="76">
                  <c:v>2709.0833098861413</c:v>
                </c:pt>
                <c:pt idx="77">
                  <c:v>2739.0833098861413</c:v>
                </c:pt>
                <c:pt idx="78">
                  <c:v>2769.0833098861413</c:v>
                </c:pt>
                <c:pt idx="79">
                  <c:v>2799.0833098861413</c:v>
                </c:pt>
                <c:pt idx="80">
                  <c:v>2829.0833098861413</c:v>
                </c:pt>
                <c:pt idx="81">
                  <c:v>2859.0833098861413</c:v>
                </c:pt>
                <c:pt idx="82">
                  <c:v>2889.0833098861413</c:v>
                </c:pt>
                <c:pt idx="83">
                  <c:v>2919.0833098861413</c:v>
                </c:pt>
                <c:pt idx="84">
                  <c:v>2949.0833098861413</c:v>
                </c:pt>
                <c:pt idx="85">
                  <c:v>2979.0833098861413</c:v>
                </c:pt>
                <c:pt idx="86">
                  <c:v>3009.0833098861413</c:v>
                </c:pt>
                <c:pt idx="87">
                  <c:v>3039.0833098861413</c:v>
                </c:pt>
                <c:pt idx="88">
                  <c:v>3069.0833098861413</c:v>
                </c:pt>
                <c:pt idx="89">
                  <c:v>3099.0833098861413</c:v>
                </c:pt>
                <c:pt idx="90">
                  <c:v>3129.0833098861413</c:v>
                </c:pt>
                <c:pt idx="91">
                  <c:v>3159.0833098861413</c:v>
                </c:pt>
                <c:pt idx="92">
                  <c:v>3189.0833098861413</c:v>
                </c:pt>
                <c:pt idx="93">
                  <c:v>3219.0833098861413</c:v>
                </c:pt>
                <c:pt idx="94">
                  <c:v>3249.0833098861413</c:v>
                </c:pt>
                <c:pt idx="95">
                  <c:v>3279.0833098861413</c:v>
                </c:pt>
                <c:pt idx="96">
                  <c:v>3309.0833098861413</c:v>
                </c:pt>
                <c:pt idx="97">
                  <c:v>3339.0833098861413</c:v>
                </c:pt>
                <c:pt idx="98">
                  <c:v>3369.0833098861413</c:v>
                </c:pt>
                <c:pt idx="99">
                  <c:v>3399.0833098861413</c:v>
                </c:pt>
                <c:pt idx="100">
                  <c:v>3429.0833098861413</c:v>
                </c:pt>
                <c:pt idx="101">
                  <c:v>3459.0833098861413</c:v>
                </c:pt>
                <c:pt idx="102">
                  <c:v>3489.0833098861413</c:v>
                </c:pt>
                <c:pt idx="103">
                  <c:v>3519.0833098861413</c:v>
                </c:pt>
                <c:pt idx="104">
                  <c:v>3549.0833098861413</c:v>
                </c:pt>
                <c:pt idx="105">
                  <c:v>3579.0833098861413</c:v>
                </c:pt>
                <c:pt idx="106">
                  <c:v>3609.0833098861413</c:v>
                </c:pt>
                <c:pt idx="107">
                  <c:v>3639.0833098861413</c:v>
                </c:pt>
                <c:pt idx="108">
                  <c:v>3669.0833098861413</c:v>
                </c:pt>
                <c:pt idx="109">
                  <c:v>3699.0833098861413</c:v>
                </c:pt>
                <c:pt idx="110">
                  <c:v>3729.0833098861413</c:v>
                </c:pt>
                <c:pt idx="111">
                  <c:v>3759.0833098861413</c:v>
                </c:pt>
                <c:pt idx="112">
                  <c:v>3789.0833098861413</c:v>
                </c:pt>
                <c:pt idx="113">
                  <c:v>3819.0833098861413</c:v>
                </c:pt>
                <c:pt idx="114">
                  <c:v>3849.0833098861413</c:v>
                </c:pt>
                <c:pt idx="115">
                  <c:v>3879.0833098861413</c:v>
                </c:pt>
                <c:pt idx="116">
                  <c:v>3909.0833098861413</c:v>
                </c:pt>
                <c:pt idx="117">
                  <c:v>3939.0833098861413</c:v>
                </c:pt>
                <c:pt idx="118">
                  <c:v>3969.0833098861413</c:v>
                </c:pt>
                <c:pt idx="119">
                  <c:v>3999.0833098861413</c:v>
                </c:pt>
                <c:pt idx="120">
                  <c:v>4029.0833098861413</c:v>
                </c:pt>
                <c:pt idx="121">
                  <c:v>4059.0833098861413</c:v>
                </c:pt>
                <c:pt idx="122">
                  <c:v>4089.0833098861413</c:v>
                </c:pt>
                <c:pt idx="123">
                  <c:v>4119.0833098861413</c:v>
                </c:pt>
                <c:pt idx="124">
                  <c:v>4149.0833098861413</c:v>
                </c:pt>
                <c:pt idx="125">
                  <c:v>4179.0833098861413</c:v>
                </c:pt>
                <c:pt idx="126">
                  <c:v>4209.0833098861413</c:v>
                </c:pt>
                <c:pt idx="127">
                  <c:v>4239.0833098861413</c:v>
                </c:pt>
                <c:pt idx="128">
                  <c:v>4269.0833098861413</c:v>
                </c:pt>
                <c:pt idx="129">
                  <c:v>4299.0833098861413</c:v>
                </c:pt>
                <c:pt idx="130">
                  <c:v>4329.0833098861413</c:v>
                </c:pt>
                <c:pt idx="131">
                  <c:v>4359.0833098861413</c:v>
                </c:pt>
                <c:pt idx="132">
                  <c:v>4389.0833098861413</c:v>
                </c:pt>
                <c:pt idx="133">
                  <c:v>4419.0833098861413</c:v>
                </c:pt>
                <c:pt idx="134">
                  <c:v>4449.0833098861413</c:v>
                </c:pt>
                <c:pt idx="135">
                  <c:v>4472.6978098861409</c:v>
                </c:pt>
                <c:pt idx="136">
                  <c:v>4479.0833098861413</c:v>
                </c:pt>
                <c:pt idx="137">
                  <c:v>4509.0833098861413</c:v>
                </c:pt>
                <c:pt idx="138">
                  <c:v>4539.0833098861413</c:v>
                </c:pt>
                <c:pt idx="139">
                  <c:v>4569.0833098861413</c:v>
                </c:pt>
                <c:pt idx="140">
                  <c:v>4599.0833098861413</c:v>
                </c:pt>
                <c:pt idx="141">
                  <c:v>4629.0833098861413</c:v>
                </c:pt>
                <c:pt idx="142">
                  <c:v>4659.0833098861413</c:v>
                </c:pt>
                <c:pt idx="143">
                  <c:v>4689.0833098861413</c:v>
                </c:pt>
                <c:pt idx="144">
                  <c:v>4719.0833098861413</c:v>
                </c:pt>
                <c:pt idx="145">
                  <c:v>4749.0833098861413</c:v>
                </c:pt>
                <c:pt idx="146">
                  <c:v>4779.0833098861413</c:v>
                </c:pt>
                <c:pt idx="147">
                  <c:v>4809.0833098861413</c:v>
                </c:pt>
                <c:pt idx="148">
                  <c:v>4839.0833098861413</c:v>
                </c:pt>
                <c:pt idx="149">
                  <c:v>4869.0833098861413</c:v>
                </c:pt>
                <c:pt idx="150">
                  <c:v>4899.0833098861413</c:v>
                </c:pt>
                <c:pt idx="151">
                  <c:v>4929.0833098861413</c:v>
                </c:pt>
                <c:pt idx="152">
                  <c:v>4959.0833098861413</c:v>
                </c:pt>
                <c:pt idx="153">
                  <c:v>4989.0833098861413</c:v>
                </c:pt>
                <c:pt idx="154">
                  <c:v>5019.0833098861413</c:v>
                </c:pt>
                <c:pt idx="155">
                  <c:v>5049.0833098861413</c:v>
                </c:pt>
                <c:pt idx="156">
                  <c:v>5079.0833098861413</c:v>
                </c:pt>
                <c:pt idx="157">
                  <c:v>5109.0833098861413</c:v>
                </c:pt>
                <c:pt idx="158">
                  <c:v>5139.0833098861413</c:v>
                </c:pt>
                <c:pt idx="159">
                  <c:v>5169.0833098861413</c:v>
                </c:pt>
                <c:pt idx="160">
                  <c:v>5199.0833098861413</c:v>
                </c:pt>
                <c:pt idx="161">
                  <c:v>5229.0833098861413</c:v>
                </c:pt>
                <c:pt idx="162">
                  <c:v>5259.0833098861413</c:v>
                </c:pt>
                <c:pt idx="163">
                  <c:v>5289.0833098861413</c:v>
                </c:pt>
                <c:pt idx="164">
                  <c:v>5319.0833098861413</c:v>
                </c:pt>
                <c:pt idx="165">
                  <c:v>5349.0833098861413</c:v>
                </c:pt>
                <c:pt idx="166">
                  <c:v>5379.0833098861413</c:v>
                </c:pt>
                <c:pt idx="167">
                  <c:v>5409.0833098861413</c:v>
                </c:pt>
                <c:pt idx="168">
                  <c:v>5439.0833098861413</c:v>
                </c:pt>
                <c:pt idx="169">
                  <c:v>5469.0833098861413</c:v>
                </c:pt>
                <c:pt idx="170">
                  <c:v>5499.0833098861413</c:v>
                </c:pt>
                <c:pt idx="171">
                  <c:v>5529.0833098861413</c:v>
                </c:pt>
                <c:pt idx="172">
                  <c:v>5559.0833098861413</c:v>
                </c:pt>
                <c:pt idx="173">
                  <c:v>5589.0833098861413</c:v>
                </c:pt>
                <c:pt idx="174">
                  <c:v>5619.0833098861413</c:v>
                </c:pt>
                <c:pt idx="175">
                  <c:v>5649.0833098861413</c:v>
                </c:pt>
                <c:pt idx="176">
                  <c:v>5679.0833098861413</c:v>
                </c:pt>
                <c:pt idx="177">
                  <c:v>5709.0833098861413</c:v>
                </c:pt>
                <c:pt idx="178">
                  <c:v>5739.0833098861413</c:v>
                </c:pt>
                <c:pt idx="179">
                  <c:v>5769.0833098861413</c:v>
                </c:pt>
                <c:pt idx="180">
                  <c:v>5799.0833098861413</c:v>
                </c:pt>
                <c:pt idx="181">
                  <c:v>5829.0833098861413</c:v>
                </c:pt>
                <c:pt idx="182">
                  <c:v>5859.0833098861413</c:v>
                </c:pt>
                <c:pt idx="183">
                  <c:v>5889.0833098861413</c:v>
                </c:pt>
                <c:pt idx="184">
                  <c:v>5919.0833098861413</c:v>
                </c:pt>
                <c:pt idx="185">
                  <c:v>5949.0833098861413</c:v>
                </c:pt>
                <c:pt idx="186">
                  <c:v>5979.0833098861413</c:v>
                </c:pt>
                <c:pt idx="187">
                  <c:v>6009.0833098861413</c:v>
                </c:pt>
                <c:pt idx="188">
                  <c:v>6039.0833098861413</c:v>
                </c:pt>
                <c:pt idx="189">
                  <c:v>6069.0833098861413</c:v>
                </c:pt>
                <c:pt idx="190">
                  <c:v>6099.0833098861413</c:v>
                </c:pt>
                <c:pt idx="191">
                  <c:v>6129.0833098861413</c:v>
                </c:pt>
                <c:pt idx="192">
                  <c:v>6159.0833098861413</c:v>
                </c:pt>
                <c:pt idx="193">
                  <c:v>6189.0833098861413</c:v>
                </c:pt>
                <c:pt idx="194">
                  <c:v>6219.0833098861413</c:v>
                </c:pt>
                <c:pt idx="195">
                  <c:v>6249.0833098861413</c:v>
                </c:pt>
                <c:pt idx="196">
                  <c:v>6279.0833098861413</c:v>
                </c:pt>
                <c:pt idx="197">
                  <c:v>6309.0833098861413</c:v>
                </c:pt>
                <c:pt idx="198">
                  <c:v>6339.0833098861413</c:v>
                </c:pt>
                <c:pt idx="199">
                  <c:v>6369.0833098861413</c:v>
                </c:pt>
                <c:pt idx="200">
                  <c:v>6399.0833098861413</c:v>
                </c:pt>
                <c:pt idx="201">
                  <c:v>6429.0833098861413</c:v>
                </c:pt>
                <c:pt idx="202">
                  <c:v>6459.0833098861413</c:v>
                </c:pt>
                <c:pt idx="203">
                  <c:v>6489.0833098861413</c:v>
                </c:pt>
                <c:pt idx="204">
                  <c:v>6519.0833098861413</c:v>
                </c:pt>
                <c:pt idx="205">
                  <c:v>6549.0833098861413</c:v>
                </c:pt>
                <c:pt idx="206">
                  <c:v>6579.0833098861413</c:v>
                </c:pt>
                <c:pt idx="207">
                  <c:v>6609.0833098861413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5BF-4408-A5E1-CF16219D0A34}"/>
            </c:ext>
          </c:extLst>
        </c:ser>
        <c:ser>
          <c:idx val="4"/>
          <c:order val="4"/>
          <c:tx>
            <c:strRef>
              <c:f>'Graph X'!$W$2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'Graph X'!$R$3:$R$210</c:f>
              <c:numCache>
                <c:formatCode>General</c:formatCode>
                <c:ptCount val="20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0.6</c:v>
                </c:pt>
                <c:pt idx="4">
                  <c:v>1</c:v>
                </c:pt>
                <c:pt idx="5">
                  <c:v>1.6305769884278885</c:v>
                </c:pt>
                <c:pt idx="6">
                  <c:v>2</c:v>
                </c:pt>
                <c:pt idx="7">
                  <c:v>2.4761590453028886</c:v>
                </c:pt>
                <c:pt idx="8">
                  <c:v>3</c:v>
                </c:pt>
                <c:pt idx="9">
                  <c:v>3.4866764999999997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  <c:pt idx="57">
                  <c:v>51</c:v>
                </c:pt>
                <c:pt idx="58">
                  <c:v>52</c:v>
                </c:pt>
                <c:pt idx="59">
                  <c:v>53</c:v>
                </c:pt>
                <c:pt idx="60">
                  <c:v>54</c:v>
                </c:pt>
                <c:pt idx="61">
                  <c:v>55</c:v>
                </c:pt>
                <c:pt idx="62">
                  <c:v>56</c:v>
                </c:pt>
                <c:pt idx="63">
                  <c:v>57</c:v>
                </c:pt>
                <c:pt idx="64">
                  <c:v>58</c:v>
                </c:pt>
                <c:pt idx="65">
                  <c:v>59</c:v>
                </c:pt>
                <c:pt idx="66">
                  <c:v>60</c:v>
                </c:pt>
                <c:pt idx="67">
                  <c:v>61</c:v>
                </c:pt>
                <c:pt idx="68">
                  <c:v>62</c:v>
                </c:pt>
                <c:pt idx="69">
                  <c:v>63</c:v>
                </c:pt>
                <c:pt idx="70">
                  <c:v>64</c:v>
                </c:pt>
                <c:pt idx="71">
                  <c:v>65</c:v>
                </c:pt>
                <c:pt idx="72">
                  <c:v>66</c:v>
                </c:pt>
                <c:pt idx="73">
                  <c:v>67</c:v>
                </c:pt>
                <c:pt idx="74">
                  <c:v>68</c:v>
                </c:pt>
                <c:pt idx="75">
                  <c:v>69</c:v>
                </c:pt>
                <c:pt idx="76">
                  <c:v>70</c:v>
                </c:pt>
                <c:pt idx="77">
                  <c:v>71</c:v>
                </c:pt>
                <c:pt idx="78">
                  <c:v>72</c:v>
                </c:pt>
                <c:pt idx="79">
                  <c:v>73</c:v>
                </c:pt>
                <c:pt idx="80">
                  <c:v>74</c:v>
                </c:pt>
                <c:pt idx="81">
                  <c:v>75</c:v>
                </c:pt>
                <c:pt idx="82">
                  <c:v>76</c:v>
                </c:pt>
                <c:pt idx="83">
                  <c:v>77</c:v>
                </c:pt>
                <c:pt idx="84">
                  <c:v>78</c:v>
                </c:pt>
                <c:pt idx="85">
                  <c:v>79</c:v>
                </c:pt>
                <c:pt idx="86">
                  <c:v>80</c:v>
                </c:pt>
                <c:pt idx="87">
                  <c:v>81</c:v>
                </c:pt>
                <c:pt idx="88">
                  <c:v>82</c:v>
                </c:pt>
                <c:pt idx="89">
                  <c:v>83</c:v>
                </c:pt>
                <c:pt idx="90">
                  <c:v>84</c:v>
                </c:pt>
                <c:pt idx="91">
                  <c:v>85</c:v>
                </c:pt>
                <c:pt idx="92">
                  <c:v>86</c:v>
                </c:pt>
                <c:pt idx="93">
                  <c:v>87</c:v>
                </c:pt>
                <c:pt idx="94">
                  <c:v>88</c:v>
                </c:pt>
                <c:pt idx="95">
                  <c:v>89</c:v>
                </c:pt>
                <c:pt idx="96">
                  <c:v>90</c:v>
                </c:pt>
                <c:pt idx="97">
                  <c:v>91</c:v>
                </c:pt>
                <c:pt idx="98">
                  <c:v>92</c:v>
                </c:pt>
                <c:pt idx="99">
                  <c:v>93</c:v>
                </c:pt>
                <c:pt idx="100">
                  <c:v>94</c:v>
                </c:pt>
                <c:pt idx="101">
                  <c:v>95</c:v>
                </c:pt>
                <c:pt idx="102">
                  <c:v>96</c:v>
                </c:pt>
                <c:pt idx="103">
                  <c:v>97</c:v>
                </c:pt>
                <c:pt idx="104">
                  <c:v>98</c:v>
                </c:pt>
                <c:pt idx="105">
                  <c:v>99</c:v>
                </c:pt>
                <c:pt idx="106">
                  <c:v>100</c:v>
                </c:pt>
                <c:pt idx="107">
                  <c:v>101</c:v>
                </c:pt>
                <c:pt idx="108">
                  <c:v>102</c:v>
                </c:pt>
                <c:pt idx="109">
                  <c:v>103</c:v>
                </c:pt>
                <c:pt idx="110">
                  <c:v>104</c:v>
                </c:pt>
                <c:pt idx="111">
                  <c:v>105</c:v>
                </c:pt>
                <c:pt idx="112">
                  <c:v>106</c:v>
                </c:pt>
                <c:pt idx="113">
                  <c:v>107</c:v>
                </c:pt>
                <c:pt idx="114">
                  <c:v>108</c:v>
                </c:pt>
                <c:pt idx="115">
                  <c:v>109</c:v>
                </c:pt>
                <c:pt idx="116">
                  <c:v>110</c:v>
                </c:pt>
                <c:pt idx="117">
                  <c:v>111</c:v>
                </c:pt>
                <c:pt idx="118">
                  <c:v>112</c:v>
                </c:pt>
                <c:pt idx="119">
                  <c:v>113</c:v>
                </c:pt>
                <c:pt idx="120">
                  <c:v>114</c:v>
                </c:pt>
                <c:pt idx="121">
                  <c:v>115</c:v>
                </c:pt>
                <c:pt idx="122">
                  <c:v>116</c:v>
                </c:pt>
                <c:pt idx="123">
                  <c:v>117</c:v>
                </c:pt>
                <c:pt idx="124">
                  <c:v>118</c:v>
                </c:pt>
                <c:pt idx="125">
                  <c:v>119</c:v>
                </c:pt>
                <c:pt idx="126">
                  <c:v>120</c:v>
                </c:pt>
                <c:pt idx="127">
                  <c:v>121</c:v>
                </c:pt>
                <c:pt idx="128">
                  <c:v>122</c:v>
                </c:pt>
                <c:pt idx="129">
                  <c:v>123</c:v>
                </c:pt>
                <c:pt idx="130">
                  <c:v>124</c:v>
                </c:pt>
                <c:pt idx="131">
                  <c:v>125</c:v>
                </c:pt>
                <c:pt idx="132">
                  <c:v>126</c:v>
                </c:pt>
                <c:pt idx="133">
                  <c:v>127</c:v>
                </c:pt>
                <c:pt idx="134">
                  <c:v>128</c:v>
                </c:pt>
                <c:pt idx="135">
                  <c:v>128.78715</c:v>
                </c:pt>
                <c:pt idx="136">
                  <c:v>129</c:v>
                </c:pt>
                <c:pt idx="137">
                  <c:v>130</c:v>
                </c:pt>
                <c:pt idx="138">
                  <c:v>131</c:v>
                </c:pt>
                <c:pt idx="139">
                  <c:v>132</c:v>
                </c:pt>
                <c:pt idx="140">
                  <c:v>133</c:v>
                </c:pt>
                <c:pt idx="141">
                  <c:v>134</c:v>
                </c:pt>
                <c:pt idx="142">
                  <c:v>135</c:v>
                </c:pt>
                <c:pt idx="143">
                  <c:v>136</c:v>
                </c:pt>
                <c:pt idx="144">
                  <c:v>137</c:v>
                </c:pt>
                <c:pt idx="145">
                  <c:v>138</c:v>
                </c:pt>
                <c:pt idx="146">
                  <c:v>139</c:v>
                </c:pt>
                <c:pt idx="147">
                  <c:v>140</c:v>
                </c:pt>
                <c:pt idx="148">
                  <c:v>141</c:v>
                </c:pt>
                <c:pt idx="149">
                  <c:v>142</c:v>
                </c:pt>
                <c:pt idx="150">
                  <c:v>143</c:v>
                </c:pt>
                <c:pt idx="151">
                  <c:v>144</c:v>
                </c:pt>
                <c:pt idx="152">
                  <c:v>145</c:v>
                </c:pt>
                <c:pt idx="153">
                  <c:v>146</c:v>
                </c:pt>
                <c:pt idx="154">
                  <c:v>147</c:v>
                </c:pt>
                <c:pt idx="155">
                  <c:v>148</c:v>
                </c:pt>
                <c:pt idx="156">
                  <c:v>149</c:v>
                </c:pt>
                <c:pt idx="157">
                  <c:v>150</c:v>
                </c:pt>
                <c:pt idx="158">
                  <c:v>151</c:v>
                </c:pt>
                <c:pt idx="159">
                  <c:v>152</c:v>
                </c:pt>
                <c:pt idx="160">
                  <c:v>153</c:v>
                </c:pt>
                <c:pt idx="161">
                  <c:v>154</c:v>
                </c:pt>
                <c:pt idx="162">
                  <c:v>155</c:v>
                </c:pt>
                <c:pt idx="163">
                  <c:v>156</c:v>
                </c:pt>
                <c:pt idx="164">
                  <c:v>157</c:v>
                </c:pt>
                <c:pt idx="165">
                  <c:v>158</c:v>
                </c:pt>
                <c:pt idx="166">
                  <c:v>159</c:v>
                </c:pt>
                <c:pt idx="167">
                  <c:v>160</c:v>
                </c:pt>
                <c:pt idx="168">
                  <c:v>161</c:v>
                </c:pt>
                <c:pt idx="169">
                  <c:v>162</c:v>
                </c:pt>
                <c:pt idx="170">
                  <c:v>163</c:v>
                </c:pt>
                <c:pt idx="171">
                  <c:v>164</c:v>
                </c:pt>
                <c:pt idx="172">
                  <c:v>165</c:v>
                </c:pt>
                <c:pt idx="173">
                  <c:v>166</c:v>
                </c:pt>
                <c:pt idx="174">
                  <c:v>167</c:v>
                </c:pt>
                <c:pt idx="175">
                  <c:v>168</c:v>
                </c:pt>
                <c:pt idx="176">
                  <c:v>169</c:v>
                </c:pt>
                <c:pt idx="177">
                  <c:v>170</c:v>
                </c:pt>
                <c:pt idx="178">
                  <c:v>171</c:v>
                </c:pt>
                <c:pt idx="179">
                  <c:v>172</c:v>
                </c:pt>
                <c:pt idx="180">
                  <c:v>173</c:v>
                </c:pt>
                <c:pt idx="181">
                  <c:v>174</c:v>
                </c:pt>
                <c:pt idx="182">
                  <c:v>175</c:v>
                </c:pt>
                <c:pt idx="183">
                  <c:v>176</c:v>
                </c:pt>
                <c:pt idx="184">
                  <c:v>177</c:v>
                </c:pt>
                <c:pt idx="185">
                  <c:v>178</c:v>
                </c:pt>
                <c:pt idx="186">
                  <c:v>179</c:v>
                </c:pt>
                <c:pt idx="187">
                  <c:v>180</c:v>
                </c:pt>
                <c:pt idx="188">
                  <c:v>181</c:v>
                </c:pt>
                <c:pt idx="189">
                  <c:v>182</c:v>
                </c:pt>
                <c:pt idx="190">
                  <c:v>183</c:v>
                </c:pt>
                <c:pt idx="191">
                  <c:v>184</c:v>
                </c:pt>
                <c:pt idx="192">
                  <c:v>185</c:v>
                </c:pt>
                <c:pt idx="193">
                  <c:v>186</c:v>
                </c:pt>
                <c:pt idx="194">
                  <c:v>187</c:v>
                </c:pt>
                <c:pt idx="195">
                  <c:v>188</c:v>
                </c:pt>
                <c:pt idx="196">
                  <c:v>189</c:v>
                </c:pt>
                <c:pt idx="197">
                  <c:v>190</c:v>
                </c:pt>
                <c:pt idx="198">
                  <c:v>191</c:v>
                </c:pt>
                <c:pt idx="199">
                  <c:v>192</c:v>
                </c:pt>
                <c:pt idx="200">
                  <c:v>193</c:v>
                </c:pt>
                <c:pt idx="201">
                  <c:v>194</c:v>
                </c:pt>
                <c:pt idx="202">
                  <c:v>195</c:v>
                </c:pt>
                <c:pt idx="203">
                  <c:v>196</c:v>
                </c:pt>
                <c:pt idx="204">
                  <c:v>197</c:v>
                </c:pt>
                <c:pt idx="205">
                  <c:v>198</c:v>
                </c:pt>
                <c:pt idx="206">
                  <c:v>199</c:v>
                </c:pt>
                <c:pt idx="207">
                  <c:v>200</c:v>
                </c:pt>
              </c:numCache>
            </c:numRef>
          </c:xVal>
          <c:yVal>
            <c:numRef>
              <c:f>'Graph X'!$W$3:$W$210</c:f>
              <c:numCache>
                <c:formatCode>General</c:formatCode>
                <c:ptCount val="208"/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3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5BF-4408-A5E1-CF16219D0A34}"/>
            </c:ext>
          </c:extLst>
        </c:ser>
        <c:ser>
          <c:idx val="5"/>
          <c:order val="5"/>
          <c:tx>
            <c:strRef>
              <c:f>'Graph X'!$X$2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'Graph X'!$R$3:$R$210</c:f>
              <c:numCache>
                <c:formatCode>General</c:formatCode>
                <c:ptCount val="20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0.6</c:v>
                </c:pt>
                <c:pt idx="4">
                  <c:v>1</c:v>
                </c:pt>
                <c:pt idx="5">
                  <c:v>1.6305769884278885</c:v>
                </c:pt>
                <c:pt idx="6">
                  <c:v>2</c:v>
                </c:pt>
                <c:pt idx="7">
                  <c:v>2.4761590453028886</c:v>
                </c:pt>
                <c:pt idx="8">
                  <c:v>3</c:v>
                </c:pt>
                <c:pt idx="9">
                  <c:v>3.4866764999999997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  <c:pt idx="57">
                  <c:v>51</c:v>
                </c:pt>
                <c:pt idx="58">
                  <c:v>52</c:v>
                </c:pt>
                <c:pt idx="59">
                  <c:v>53</c:v>
                </c:pt>
                <c:pt idx="60">
                  <c:v>54</c:v>
                </c:pt>
                <c:pt idx="61">
                  <c:v>55</c:v>
                </c:pt>
                <c:pt idx="62">
                  <c:v>56</c:v>
                </c:pt>
                <c:pt idx="63">
                  <c:v>57</c:v>
                </c:pt>
                <c:pt idx="64">
                  <c:v>58</c:v>
                </c:pt>
                <c:pt idx="65">
                  <c:v>59</c:v>
                </c:pt>
                <c:pt idx="66">
                  <c:v>60</c:v>
                </c:pt>
                <c:pt idx="67">
                  <c:v>61</c:v>
                </c:pt>
                <c:pt idx="68">
                  <c:v>62</c:v>
                </c:pt>
                <c:pt idx="69">
                  <c:v>63</c:v>
                </c:pt>
                <c:pt idx="70">
                  <c:v>64</c:v>
                </c:pt>
                <c:pt idx="71">
                  <c:v>65</c:v>
                </c:pt>
                <c:pt idx="72">
                  <c:v>66</c:v>
                </c:pt>
                <c:pt idx="73">
                  <c:v>67</c:v>
                </c:pt>
                <c:pt idx="74">
                  <c:v>68</c:v>
                </c:pt>
                <c:pt idx="75">
                  <c:v>69</c:v>
                </c:pt>
                <c:pt idx="76">
                  <c:v>70</c:v>
                </c:pt>
                <c:pt idx="77">
                  <c:v>71</c:v>
                </c:pt>
                <c:pt idx="78">
                  <c:v>72</c:v>
                </c:pt>
                <c:pt idx="79">
                  <c:v>73</c:v>
                </c:pt>
                <c:pt idx="80">
                  <c:v>74</c:v>
                </c:pt>
                <c:pt idx="81">
                  <c:v>75</c:v>
                </c:pt>
                <c:pt idx="82">
                  <c:v>76</c:v>
                </c:pt>
                <c:pt idx="83">
                  <c:v>77</c:v>
                </c:pt>
                <c:pt idx="84">
                  <c:v>78</c:v>
                </c:pt>
                <c:pt idx="85">
                  <c:v>79</c:v>
                </c:pt>
                <c:pt idx="86">
                  <c:v>80</c:v>
                </c:pt>
                <c:pt idx="87">
                  <c:v>81</c:v>
                </c:pt>
                <c:pt idx="88">
                  <c:v>82</c:v>
                </c:pt>
                <c:pt idx="89">
                  <c:v>83</c:v>
                </c:pt>
                <c:pt idx="90">
                  <c:v>84</c:v>
                </c:pt>
                <c:pt idx="91">
                  <c:v>85</c:v>
                </c:pt>
                <c:pt idx="92">
                  <c:v>86</c:v>
                </c:pt>
                <c:pt idx="93">
                  <c:v>87</c:v>
                </c:pt>
                <c:pt idx="94">
                  <c:v>88</c:v>
                </c:pt>
                <c:pt idx="95">
                  <c:v>89</c:v>
                </c:pt>
                <c:pt idx="96">
                  <c:v>90</c:v>
                </c:pt>
                <c:pt idx="97">
                  <c:v>91</c:v>
                </c:pt>
                <c:pt idx="98">
                  <c:v>92</c:v>
                </c:pt>
                <c:pt idx="99">
                  <c:v>93</c:v>
                </c:pt>
                <c:pt idx="100">
                  <c:v>94</c:v>
                </c:pt>
                <c:pt idx="101">
                  <c:v>95</c:v>
                </c:pt>
                <c:pt idx="102">
                  <c:v>96</c:v>
                </c:pt>
                <c:pt idx="103">
                  <c:v>97</c:v>
                </c:pt>
                <c:pt idx="104">
                  <c:v>98</c:v>
                </c:pt>
                <c:pt idx="105">
                  <c:v>99</c:v>
                </c:pt>
                <c:pt idx="106">
                  <c:v>100</c:v>
                </c:pt>
                <c:pt idx="107">
                  <c:v>101</c:v>
                </c:pt>
                <c:pt idx="108">
                  <c:v>102</c:v>
                </c:pt>
                <c:pt idx="109">
                  <c:v>103</c:v>
                </c:pt>
                <c:pt idx="110">
                  <c:v>104</c:v>
                </c:pt>
                <c:pt idx="111">
                  <c:v>105</c:v>
                </c:pt>
                <c:pt idx="112">
                  <c:v>106</c:v>
                </c:pt>
                <c:pt idx="113">
                  <c:v>107</c:v>
                </c:pt>
                <c:pt idx="114">
                  <c:v>108</c:v>
                </c:pt>
                <c:pt idx="115">
                  <c:v>109</c:v>
                </c:pt>
                <c:pt idx="116">
                  <c:v>110</c:v>
                </c:pt>
                <c:pt idx="117">
                  <c:v>111</c:v>
                </c:pt>
                <c:pt idx="118">
                  <c:v>112</c:v>
                </c:pt>
                <c:pt idx="119">
                  <c:v>113</c:v>
                </c:pt>
                <c:pt idx="120">
                  <c:v>114</c:v>
                </c:pt>
                <c:pt idx="121">
                  <c:v>115</c:v>
                </c:pt>
                <c:pt idx="122">
                  <c:v>116</c:v>
                </c:pt>
                <c:pt idx="123">
                  <c:v>117</c:v>
                </c:pt>
                <c:pt idx="124">
                  <c:v>118</c:v>
                </c:pt>
                <c:pt idx="125">
                  <c:v>119</c:v>
                </c:pt>
                <c:pt idx="126">
                  <c:v>120</c:v>
                </c:pt>
                <c:pt idx="127">
                  <c:v>121</c:v>
                </c:pt>
                <c:pt idx="128">
                  <c:v>122</c:v>
                </c:pt>
                <c:pt idx="129">
                  <c:v>123</c:v>
                </c:pt>
                <c:pt idx="130">
                  <c:v>124</c:v>
                </c:pt>
                <c:pt idx="131">
                  <c:v>125</c:v>
                </c:pt>
                <c:pt idx="132">
                  <c:v>126</c:v>
                </c:pt>
                <c:pt idx="133">
                  <c:v>127</c:v>
                </c:pt>
                <c:pt idx="134">
                  <c:v>128</c:v>
                </c:pt>
                <c:pt idx="135">
                  <c:v>128.78715</c:v>
                </c:pt>
                <c:pt idx="136">
                  <c:v>129</c:v>
                </c:pt>
                <c:pt idx="137">
                  <c:v>130</c:v>
                </c:pt>
                <c:pt idx="138">
                  <c:v>131</c:v>
                </c:pt>
                <c:pt idx="139">
                  <c:v>132</c:v>
                </c:pt>
                <c:pt idx="140">
                  <c:v>133</c:v>
                </c:pt>
                <c:pt idx="141">
                  <c:v>134</c:v>
                </c:pt>
                <c:pt idx="142">
                  <c:v>135</c:v>
                </c:pt>
                <c:pt idx="143">
                  <c:v>136</c:v>
                </c:pt>
                <c:pt idx="144">
                  <c:v>137</c:v>
                </c:pt>
                <c:pt idx="145">
                  <c:v>138</c:v>
                </c:pt>
                <c:pt idx="146">
                  <c:v>139</c:v>
                </c:pt>
                <c:pt idx="147">
                  <c:v>140</c:v>
                </c:pt>
                <c:pt idx="148">
                  <c:v>141</c:v>
                </c:pt>
                <c:pt idx="149">
                  <c:v>142</c:v>
                </c:pt>
                <c:pt idx="150">
                  <c:v>143</c:v>
                </c:pt>
                <c:pt idx="151">
                  <c:v>144</c:v>
                </c:pt>
                <c:pt idx="152">
                  <c:v>145</c:v>
                </c:pt>
                <c:pt idx="153">
                  <c:v>146</c:v>
                </c:pt>
                <c:pt idx="154">
                  <c:v>147</c:v>
                </c:pt>
                <c:pt idx="155">
                  <c:v>148</c:v>
                </c:pt>
                <c:pt idx="156">
                  <c:v>149</c:v>
                </c:pt>
                <c:pt idx="157">
                  <c:v>150</c:v>
                </c:pt>
                <c:pt idx="158">
                  <c:v>151</c:v>
                </c:pt>
                <c:pt idx="159">
                  <c:v>152</c:v>
                </c:pt>
                <c:pt idx="160">
                  <c:v>153</c:v>
                </c:pt>
                <c:pt idx="161">
                  <c:v>154</c:v>
                </c:pt>
                <c:pt idx="162">
                  <c:v>155</c:v>
                </c:pt>
                <c:pt idx="163">
                  <c:v>156</c:v>
                </c:pt>
                <c:pt idx="164">
                  <c:v>157</c:v>
                </c:pt>
                <c:pt idx="165">
                  <c:v>158</c:v>
                </c:pt>
                <c:pt idx="166">
                  <c:v>159</c:v>
                </c:pt>
                <c:pt idx="167">
                  <c:v>160</c:v>
                </c:pt>
                <c:pt idx="168">
                  <c:v>161</c:v>
                </c:pt>
                <c:pt idx="169">
                  <c:v>162</c:v>
                </c:pt>
                <c:pt idx="170">
                  <c:v>163</c:v>
                </c:pt>
                <c:pt idx="171">
                  <c:v>164</c:v>
                </c:pt>
                <c:pt idx="172">
                  <c:v>165</c:v>
                </c:pt>
                <c:pt idx="173">
                  <c:v>166</c:v>
                </c:pt>
                <c:pt idx="174">
                  <c:v>167</c:v>
                </c:pt>
                <c:pt idx="175">
                  <c:v>168</c:v>
                </c:pt>
                <c:pt idx="176">
                  <c:v>169</c:v>
                </c:pt>
                <c:pt idx="177">
                  <c:v>170</c:v>
                </c:pt>
                <c:pt idx="178">
                  <c:v>171</c:v>
                </c:pt>
                <c:pt idx="179">
                  <c:v>172</c:v>
                </c:pt>
                <c:pt idx="180">
                  <c:v>173</c:v>
                </c:pt>
                <c:pt idx="181">
                  <c:v>174</c:v>
                </c:pt>
                <c:pt idx="182">
                  <c:v>175</c:v>
                </c:pt>
                <c:pt idx="183">
                  <c:v>176</c:v>
                </c:pt>
                <c:pt idx="184">
                  <c:v>177</c:v>
                </c:pt>
                <c:pt idx="185">
                  <c:v>178</c:v>
                </c:pt>
                <c:pt idx="186">
                  <c:v>179</c:v>
                </c:pt>
                <c:pt idx="187">
                  <c:v>180</c:v>
                </c:pt>
                <c:pt idx="188">
                  <c:v>181</c:v>
                </c:pt>
                <c:pt idx="189">
                  <c:v>182</c:v>
                </c:pt>
                <c:pt idx="190">
                  <c:v>183</c:v>
                </c:pt>
                <c:pt idx="191">
                  <c:v>184</c:v>
                </c:pt>
                <c:pt idx="192">
                  <c:v>185</c:v>
                </c:pt>
                <c:pt idx="193">
                  <c:v>186</c:v>
                </c:pt>
                <c:pt idx="194">
                  <c:v>187</c:v>
                </c:pt>
                <c:pt idx="195">
                  <c:v>188</c:v>
                </c:pt>
                <c:pt idx="196">
                  <c:v>189</c:v>
                </c:pt>
                <c:pt idx="197">
                  <c:v>190</c:v>
                </c:pt>
                <c:pt idx="198">
                  <c:v>191</c:v>
                </c:pt>
                <c:pt idx="199">
                  <c:v>192</c:v>
                </c:pt>
                <c:pt idx="200">
                  <c:v>193</c:v>
                </c:pt>
                <c:pt idx="201">
                  <c:v>194</c:v>
                </c:pt>
                <c:pt idx="202">
                  <c:v>195</c:v>
                </c:pt>
                <c:pt idx="203">
                  <c:v>196</c:v>
                </c:pt>
                <c:pt idx="204">
                  <c:v>197</c:v>
                </c:pt>
                <c:pt idx="205">
                  <c:v>198</c:v>
                </c:pt>
                <c:pt idx="206">
                  <c:v>199</c:v>
                </c:pt>
                <c:pt idx="207">
                  <c:v>200</c:v>
                </c:pt>
              </c:numCache>
            </c:numRef>
          </c:xVal>
          <c:yVal>
            <c:numRef>
              <c:f>'Graph X'!$X$3:$X$210</c:f>
              <c:numCache>
                <c:formatCode>General</c:formatCode>
                <c:ptCount val="208"/>
                <c:pt idx="5">
                  <c:v>8000</c:v>
                </c:pt>
                <c:pt idx="7">
                  <c:v>8000</c:v>
                </c:pt>
                <c:pt idx="9">
                  <c:v>8000</c:v>
                </c:pt>
                <c:pt idx="135">
                  <c:v>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5BF-4408-A5E1-CF16219D0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822159"/>
        <c:axId val="862815087"/>
      </c:scatterChart>
      <c:valAx>
        <c:axId val="862822159"/>
        <c:scaling>
          <c:logBase val="10"/>
          <c:orientation val="minMax"/>
          <c:max val="2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Process Emission Rate (kg CO2 eq PE-1</a:t>
                </a:r>
                <a:r>
                  <a:rPr lang="en-GB" baseline="0">
                    <a:solidFill>
                      <a:sysClr val="windowText" lastClr="000000"/>
                    </a:solidFill>
                  </a:rPr>
                  <a:t> yr-1)</a:t>
                </a:r>
                <a:endParaRPr lang="en-GB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815087"/>
        <c:crosses val="autoZero"/>
        <c:crossBetween val="midCat"/>
      </c:valAx>
      <c:valAx>
        <c:axId val="86281508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LCE (kg CO2 eq PE-1)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151276611256926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822159"/>
        <c:crossesAt val="0.1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'Graph X'!$AI$3</c:f>
              <c:strCache>
                <c:ptCount val="1"/>
                <c:pt idx="0">
                  <c:v>STS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'Graph X'!$AH$4:$AH$46</c:f>
              <c:numCache>
                <c:formatCode>General</c:formatCode>
                <c:ptCount val="43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735.6982857142857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1012.6080000000001</c:v>
                </c:pt>
                <c:pt idx="22">
                  <c:v>1050</c:v>
                </c:pt>
                <c:pt idx="23">
                  <c:v>1100</c:v>
                </c:pt>
                <c:pt idx="24">
                  <c:v>1120.4507520000002</c:v>
                </c:pt>
                <c:pt idx="25">
                  <c:v>1150</c:v>
                </c:pt>
                <c:pt idx="26">
                  <c:v>1200</c:v>
                </c:pt>
                <c:pt idx="27">
                  <c:v>1250</c:v>
                </c:pt>
                <c:pt idx="28">
                  <c:v>1300</c:v>
                </c:pt>
                <c:pt idx="29">
                  <c:v>1350</c:v>
                </c:pt>
                <c:pt idx="30">
                  <c:v>1400</c:v>
                </c:pt>
                <c:pt idx="31">
                  <c:v>1450</c:v>
                </c:pt>
                <c:pt idx="32">
                  <c:v>1500</c:v>
                </c:pt>
                <c:pt idx="33">
                  <c:v>1550</c:v>
                </c:pt>
                <c:pt idx="34">
                  <c:v>1600</c:v>
                </c:pt>
                <c:pt idx="35">
                  <c:v>1650</c:v>
                </c:pt>
                <c:pt idx="36">
                  <c:v>1700</c:v>
                </c:pt>
                <c:pt idx="37">
                  <c:v>1750</c:v>
                </c:pt>
                <c:pt idx="38">
                  <c:v>1800</c:v>
                </c:pt>
                <c:pt idx="39">
                  <c:v>1850</c:v>
                </c:pt>
                <c:pt idx="40">
                  <c:v>1900</c:v>
                </c:pt>
                <c:pt idx="41">
                  <c:v>1950</c:v>
                </c:pt>
                <c:pt idx="42">
                  <c:v>2000</c:v>
                </c:pt>
              </c:numCache>
            </c:numRef>
          </c:xVal>
          <c:yVal>
            <c:numRef>
              <c:f>'Graph X'!$AI$4:$AI$46</c:f>
              <c:numCache>
                <c:formatCode>General</c:formatCode>
                <c:ptCount val="43"/>
                <c:pt idx="0">
                  <c:v>427688.85000000003</c:v>
                </c:pt>
                <c:pt idx="1">
                  <c:v>428216.25</c:v>
                </c:pt>
                <c:pt idx="2">
                  <c:v>428743.65</c:v>
                </c:pt>
                <c:pt idx="3">
                  <c:v>429271.05</c:v>
                </c:pt>
                <c:pt idx="4">
                  <c:v>429798.45</c:v>
                </c:pt>
                <c:pt idx="5">
                  <c:v>430325.85000000003</c:v>
                </c:pt>
                <c:pt idx="6">
                  <c:v>430853.25</c:v>
                </c:pt>
                <c:pt idx="7">
                  <c:v>431380.65</c:v>
                </c:pt>
                <c:pt idx="8">
                  <c:v>431908.05</c:v>
                </c:pt>
                <c:pt idx="9">
                  <c:v>432435.45</c:v>
                </c:pt>
                <c:pt idx="10">
                  <c:v>432962.85000000003</c:v>
                </c:pt>
                <c:pt idx="11">
                  <c:v>433490.25</c:v>
                </c:pt>
                <c:pt idx="12">
                  <c:v>434017.65</c:v>
                </c:pt>
                <c:pt idx="13">
                  <c:v>434545.05</c:v>
                </c:pt>
                <c:pt idx="14">
                  <c:v>434921.59551771428</c:v>
                </c:pt>
                <c:pt idx="15">
                  <c:v>435072.45</c:v>
                </c:pt>
                <c:pt idx="16">
                  <c:v>435599.85000000003</c:v>
                </c:pt>
                <c:pt idx="17">
                  <c:v>436127.25</c:v>
                </c:pt>
                <c:pt idx="18">
                  <c:v>436654.65</c:v>
                </c:pt>
                <c:pt idx="19">
                  <c:v>437182.05</c:v>
                </c:pt>
                <c:pt idx="20">
                  <c:v>437709.45</c:v>
                </c:pt>
                <c:pt idx="21">
                  <c:v>437842.43918400002</c:v>
                </c:pt>
                <c:pt idx="22">
                  <c:v>438236.85000000003</c:v>
                </c:pt>
                <c:pt idx="23">
                  <c:v>438764.25</c:v>
                </c:pt>
                <c:pt idx="24">
                  <c:v>438979.964532096</c:v>
                </c:pt>
                <c:pt idx="25">
                  <c:v>439291.65</c:v>
                </c:pt>
                <c:pt idx="26">
                  <c:v>439819.05</c:v>
                </c:pt>
                <c:pt idx="27">
                  <c:v>440346.45</c:v>
                </c:pt>
                <c:pt idx="28">
                  <c:v>440873.85000000003</c:v>
                </c:pt>
                <c:pt idx="29">
                  <c:v>441401.25</c:v>
                </c:pt>
                <c:pt idx="30">
                  <c:v>441928.65</c:v>
                </c:pt>
                <c:pt idx="31">
                  <c:v>442456.05</c:v>
                </c:pt>
                <c:pt idx="32">
                  <c:v>442983.45</c:v>
                </c:pt>
                <c:pt idx="33">
                  <c:v>443510.85000000003</c:v>
                </c:pt>
                <c:pt idx="34">
                  <c:v>444038.25</c:v>
                </c:pt>
                <c:pt idx="35">
                  <c:v>444565.65</c:v>
                </c:pt>
                <c:pt idx="36">
                  <c:v>445093.05</c:v>
                </c:pt>
                <c:pt idx="37">
                  <c:v>445620.45</c:v>
                </c:pt>
                <c:pt idx="38">
                  <c:v>446147.85000000003</c:v>
                </c:pt>
                <c:pt idx="39">
                  <c:v>446675.25</c:v>
                </c:pt>
                <c:pt idx="40">
                  <c:v>447202.65</c:v>
                </c:pt>
                <c:pt idx="41">
                  <c:v>447730.05</c:v>
                </c:pt>
                <c:pt idx="42">
                  <c:v>448257.45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7F-488A-B0E9-38974A3B77B1}"/>
            </c:ext>
          </c:extLst>
        </c:ser>
        <c:ser>
          <c:idx val="1"/>
          <c:order val="1"/>
          <c:tx>
            <c:strRef>
              <c:f>'Graph X'!$AJ$3</c:f>
              <c:strCache>
                <c:ptCount val="1"/>
                <c:pt idx="0">
                  <c:v>SAF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'Graph X'!$AH$4:$AH$46</c:f>
              <c:numCache>
                <c:formatCode>General</c:formatCode>
                <c:ptCount val="43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735.6982857142857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1012.6080000000001</c:v>
                </c:pt>
                <c:pt idx="22">
                  <c:v>1050</c:v>
                </c:pt>
                <c:pt idx="23">
                  <c:v>1100</c:v>
                </c:pt>
                <c:pt idx="24">
                  <c:v>1120.4507520000002</c:v>
                </c:pt>
                <c:pt idx="25">
                  <c:v>1150</c:v>
                </c:pt>
                <c:pt idx="26">
                  <c:v>1200</c:v>
                </c:pt>
                <c:pt idx="27">
                  <c:v>1250</c:v>
                </c:pt>
                <c:pt idx="28">
                  <c:v>1300</c:v>
                </c:pt>
                <c:pt idx="29">
                  <c:v>1350</c:v>
                </c:pt>
                <c:pt idx="30">
                  <c:v>1400</c:v>
                </c:pt>
                <c:pt idx="31">
                  <c:v>1450</c:v>
                </c:pt>
                <c:pt idx="32">
                  <c:v>1500</c:v>
                </c:pt>
                <c:pt idx="33">
                  <c:v>1550</c:v>
                </c:pt>
                <c:pt idx="34">
                  <c:v>1600</c:v>
                </c:pt>
                <c:pt idx="35">
                  <c:v>1650</c:v>
                </c:pt>
                <c:pt idx="36">
                  <c:v>1700</c:v>
                </c:pt>
                <c:pt idx="37">
                  <c:v>1750</c:v>
                </c:pt>
                <c:pt idx="38">
                  <c:v>1800</c:v>
                </c:pt>
                <c:pt idx="39">
                  <c:v>1850</c:v>
                </c:pt>
                <c:pt idx="40">
                  <c:v>1900</c:v>
                </c:pt>
                <c:pt idx="41">
                  <c:v>1950</c:v>
                </c:pt>
                <c:pt idx="42">
                  <c:v>2000</c:v>
                </c:pt>
              </c:numCache>
            </c:numRef>
          </c:xVal>
          <c:yVal>
            <c:numRef>
              <c:f>'Graph X'!$AJ$4:$AJ$46</c:f>
              <c:numCache>
                <c:formatCode>General</c:formatCode>
                <c:ptCount val="43"/>
                <c:pt idx="0">
                  <c:v>240839.6926225927</c:v>
                </c:pt>
                <c:pt idx="1">
                  <c:v>241367.0926225927</c:v>
                </c:pt>
                <c:pt idx="2">
                  <c:v>241894.49262259272</c:v>
                </c:pt>
                <c:pt idx="3">
                  <c:v>242421.89262259271</c:v>
                </c:pt>
                <c:pt idx="4">
                  <c:v>242949.29262259271</c:v>
                </c:pt>
                <c:pt idx="5">
                  <c:v>243476.6926225927</c:v>
                </c:pt>
                <c:pt idx="6">
                  <c:v>244004.0926225927</c:v>
                </c:pt>
                <c:pt idx="7">
                  <c:v>244531.49262259272</c:v>
                </c:pt>
                <c:pt idx="8">
                  <c:v>245058.89262259271</c:v>
                </c:pt>
                <c:pt idx="9">
                  <c:v>245586.29262259271</c:v>
                </c:pt>
                <c:pt idx="10">
                  <c:v>246113.6926225927</c:v>
                </c:pt>
                <c:pt idx="11">
                  <c:v>246641.0926225927</c:v>
                </c:pt>
                <c:pt idx="12">
                  <c:v>247168.49262259272</c:v>
                </c:pt>
                <c:pt idx="13">
                  <c:v>247695.89262259271</c:v>
                </c:pt>
                <c:pt idx="14">
                  <c:v>248072.438140307</c:v>
                </c:pt>
                <c:pt idx="15">
                  <c:v>248223.29262259271</c:v>
                </c:pt>
                <c:pt idx="16">
                  <c:v>248750.6926225927</c:v>
                </c:pt>
                <c:pt idx="17">
                  <c:v>249278.0926225927</c:v>
                </c:pt>
                <c:pt idx="18">
                  <c:v>249805.49262259272</c:v>
                </c:pt>
                <c:pt idx="19">
                  <c:v>250332.89262259271</c:v>
                </c:pt>
                <c:pt idx="20">
                  <c:v>250860.29262259271</c:v>
                </c:pt>
                <c:pt idx="21">
                  <c:v>250993.28180659271</c:v>
                </c:pt>
                <c:pt idx="22">
                  <c:v>251387.6926225927</c:v>
                </c:pt>
                <c:pt idx="23">
                  <c:v>251915.0926225927</c:v>
                </c:pt>
                <c:pt idx="24">
                  <c:v>252130.80715468872</c:v>
                </c:pt>
                <c:pt idx="25">
                  <c:v>252442.49262259272</c:v>
                </c:pt>
                <c:pt idx="26">
                  <c:v>252969.89262259271</c:v>
                </c:pt>
                <c:pt idx="27">
                  <c:v>253497.29262259271</c:v>
                </c:pt>
                <c:pt idx="28">
                  <c:v>254024.6926225927</c:v>
                </c:pt>
                <c:pt idx="29">
                  <c:v>254552.0926225927</c:v>
                </c:pt>
                <c:pt idx="30">
                  <c:v>255079.49262259272</c:v>
                </c:pt>
                <c:pt idx="31">
                  <c:v>255606.89262259271</c:v>
                </c:pt>
                <c:pt idx="32">
                  <c:v>256134.29262259271</c:v>
                </c:pt>
                <c:pt idx="33">
                  <c:v>256661.6926225927</c:v>
                </c:pt>
                <c:pt idx="34">
                  <c:v>257189.0926225927</c:v>
                </c:pt>
                <c:pt idx="35">
                  <c:v>257716.49262259272</c:v>
                </c:pt>
                <c:pt idx="36">
                  <c:v>258243.89262259271</c:v>
                </c:pt>
                <c:pt idx="37">
                  <c:v>258771.29262259271</c:v>
                </c:pt>
                <c:pt idx="38">
                  <c:v>259298.6926225927</c:v>
                </c:pt>
                <c:pt idx="39">
                  <c:v>259826.0926225927</c:v>
                </c:pt>
                <c:pt idx="40">
                  <c:v>260353.49262259272</c:v>
                </c:pt>
                <c:pt idx="41">
                  <c:v>260880.89262259271</c:v>
                </c:pt>
                <c:pt idx="42">
                  <c:v>261408.29262259271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C7F-488A-B0E9-38974A3B77B1}"/>
            </c:ext>
          </c:extLst>
        </c:ser>
        <c:ser>
          <c:idx val="2"/>
          <c:order val="2"/>
          <c:tx>
            <c:strRef>
              <c:f>'Graph X'!$AK$3</c:f>
              <c:strCache>
                <c:ptCount val="1"/>
                <c:pt idx="0">
                  <c:v>EST-VF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'Graph X'!$AH$4:$AH$46</c:f>
              <c:numCache>
                <c:formatCode>General</c:formatCode>
                <c:ptCount val="43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735.6982857142857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1012.6080000000001</c:v>
                </c:pt>
                <c:pt idx="22">
                  <c:v>1050</c:v>
                </c:pt>
                <c:pt idx="23">
                  <c:v>1100</c:v>
                </c:pt>
                <c:pt idx="24">
                  <c:v>1120.4507520000002</c:v>
                </c:pt>
                <c:pt idx="25">
                  <c:v>1150</c:v>
                </c:pt>
                <c:pt idx="26">
                  <c:v>1200</c:v>
                </c:pt>
                <c:pt idx="27">
                  <c:v>1250</c:v>
                </c:pt>
                <c:pt idx="28">
                  <c:v>1300</c:v>
                </c:pt>
                <c:pt idx="29">
                  <c:v>1350</c:v>
                </c:pt>
                <c:pt idx="30">
                  <c:v>1400</c:v>
                </c:pt>
                <c:pt idx="31">
                  <c:v>1450</c:v>
                </c:pt>
                <c:pt idx="32">
                  <c:v>1500</c:v>
                </c:pt>
                <c:pt idx="33">
                  <c:v>1550</c:v>
                </c:pt>
                <c:pt idx="34">
                  <c:v>1600</c:v>
                </c:pt>
                <c:pt idx="35">
                  <c:v>1650</c:v>
                </c:pt>
                <c:pt idx="36">
                  <c:v>1700</c:v>
                </c:pt>
                <c:pt idx="37">
                  <c:v>1750</c:v>
                </c:pt>
                <c:pt idx="38">
                  <c:v>1800</c:v>
                </c:pt>
                <c:pt idx="39">
                  <c:v>1850</c:v>
                </c:pt>
                <c:pt idx="40">
                  <c:v>1900</c:v>
                </c:pt>
                <c:pt idx="41">
                  <c:v>1950</c:v>
                </c:pt>
                <c:pt idx="42">
                  <c:v>2000</c:v>
                </c:pt>
              </c:numCache>
            </c:numRef>
          </c:xVal>
          <c:yVal>
            <c:numRef>
              <c:f>'Graph X'!$AK$4:$AK$46</c:f>
              <c:numCache>
                <c:formatCode>General</c:formatCode>
                <c:ptCount val="43"/>
                <c:pt idx="0">
                  <c:v>64612.660582657656</c:v>
                </c:pt>
                <c:pt idx="1">
                  <c:v>65140.060582657658</c:v>
                </c:pt>
                <c:pt idx="2">
                  <c:v>65667.460582657659</c:v>
                </c:pt>
                <c:pt idx="3">
                  <c:v>66194.860582657653</c:v>
                </c:pt>
                <c:pt idx="4">
                  <c:v>66722.260582657647</c:v>
                </c:pt>
                <c:pt idx="5">
                  <c:v>67249.660582657656</c:v>
                </c:pt>
                <c:pt idx="6">
                  <c:v>67777.06058265765</c:v>
                </c:pt>
                <c:pt idx="7">
                  <c:v>68304.460582657659</c:v>
                </c:pt>
                <c:pt idx="8">
                  <c:v>68831.860582657653</c:v>
                </c:pt>
                <c:pt idx="9">
                  <c:v>69359.260582657647</c:v>
                </c:pt>
                <c:pt idx="10">
                  <c:v>69886.660582657656</c:v>
                </c:pt>
                <c:pt idx="11">
                  <c:v>70414.06058265765</c:v>
                </c:pt>
                <c:pt idx="12">
                  <c:v>70941.460582657659</c:v>
                </c:pt>
                <c:pt idx="13">
                  <c:v>71468.860582657653</c:v>
                </c:pt>
                <c:pt idx="14">
                  <c:v>71845.40610037194</c:v>
                </c:pt>
                <c:pt idx="15">
                  <c:v>71996.260582657662</c:v>
                </c:pt>
                <c:pt idx="16">
                  <c:v>72523.660582657656</c:v>
                </c:pt>
                <c:pt idx="17">
                  <c:v>73051.06058265765</c:v>
                </c:pt>
                <c:pt idx="18">
                  <c:v>73578.460582657659</c:v>
                </c:pt>
                <c:pt idx="19">
                  <c:v>74105.860582657653</c:v>
                </c:pt>
                <c:pt idx="20">
                  <c:v>74633.260582657647</c:v>
                </c:pt>
                <c:pt idx="21">
                  <c:v>74766.249766657653</c:v>
                </c:pt>
                <c:pt idx="22">
                  <c:v>75160.660582657656</c:v>
                </c:pt>
                <c:pt idx="23">
                  <c:v>75688.06058265765</c:v>
                </c:pt>
                <c:pt idx="24">
                  <c:v>75903.775114753662</c:v>
                </c:pt>
                <c:pt idx="25">
                  <c:v>76215.460582657659</c:v>
                </c:pt>
                <c:pt idx="26">
                  <c:v>76742.860582657653</c:v>
                </c:pt>
                <c:pt idx="27">
                  <c:v>77270.260582657662</c:v>
                </c:pt>
                <c:pt idx="28">
                  <c:v>77797.660582657656</c:v>
                </c:pt>
                <c:pt idx="29">
                  <c:v>78325.06058265765</c:v>
                </c:pt>
                <c:pt idx="30">
                  <c:v>78852.460582657659</c:v>
                </c:pt>
                <c:pt idx="31">
                  <c:v>79379.860582657653</c:v>
                </c:pt>
                <c:pt idx="32">
                  <c:v>79907.260582657662</c:v>
                </c:pt>
                <c:pt idx="33">
                  <c:v>80434.660582657656</c:v>
                </c:pt>
                <c:pt idx="34">
                  <c:v>80962.060582657665</c:v>
                </c:pt>
                <c:pt idx="35">
                  <c:v>81489.460582657659</c:v>
                </c:pt>
                <c:pt idx="36">
                  <c:v>82016.860582657653</c:v>
                </c:pt>
                <c:pt idx="37">
                  <c:v>82544.260582657662</c:v>
                </c:pt>
                <c:pt idx="38">
                  <c:v>83071.660582657656</c:v>
                </c:pt>
                <c:pt idx="39">
                  <c:v>83599.060582657665</c:v>
                </c:pt>
                <c:pt idx="40">
                  <c:v>84126.460582657659</c:v>
                </c:pt>
                <c:pt idx="41">
                  <c:v>84653.860582657653</c:v>
                </c:pt>
                <c:pt idx="42">
                  <c:v>85181.260582657647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C7F-488A-B0E9-38974A3B77B1}"/>
            </c:ext>
          </c:extLst>
        </c:ser>
        <c:ser>
          <c:idx val="3"/>
          <c:order val="3"/>
          <c:tx>
            <c:strRef>
              <c:f>'Graph X'!$AL$3</c:f>
              <c:strCache>
                <c:ptCount val="1"/>
                <c:pt idx="0">
                  <c:v>EST-AHF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'Graph X'!$AH$4:$AH$46</c:f>
              <c:numCache>
                <c:formatCode>General</c:formatCode>
                <c:ptCount val="43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735.6982857142857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1012.6080000000001</c:v>
                </c:pt>
                <c:pt idx="22">
                  <c:v>1050</c:v>
                </c:pt>
                <c:pt idx="23">
                  <c:v>1100</c:v>
                </c:pt>
                <c:pt idx="24">
                  <c:v>1120.4507520000002</c:v>
                </c:pt>
                <c:pt idx="25">
                  <c:v>1150</c:v>
                </c:pt>
                <c:pt idx="26">
                  <c:v>1200</c:v>
                </c:pt>
                <c:pt idx="27">
                  <c:v>1250</c:v>
                </c:pt>
                <c:pt idx="28">
                  <c:v>1300</c:v>
                </c:pt>
                <c:pt idx="29">
                  <c:v>1350</c:v>
                </c:pt>
                <c:pt idx="30">
                  <c:v>1400</c:v>
                </c:pt>
                <c:pt idx="31">
                  <c:v>1450</c:v>
                </c:pt>
                <c:pt idx="32">
                  <c:v>1500</c:v>
                </c:pt>
                <c:pt idx="33">
                  <c:v>1550</c:v>
                </c:pt>
                <c:pt idx="34">
                  <c:v>1600</c:v>
                </c:pt>
                <c:pt idx="35">
                  <c:v>1650</c:v>
                </c:pt>
                <c:pt idx="36">
                  <c:v>1700</c:v>
                </c:pt>
                <c:pt idx="37">
                  <c:v>1750</c:v>
                </c:pt>
                <c:pt idx="38">
                  <c:v>1800</c:v>
                </c:pt>
                <c:pt idx="39">
                  <c:v>1850</c:v>
                </c:pt>
                <c:pt idx="40">
                  <c:v>1900</c:v>
                </c:pt>
                <c:pt idx="41">
                  <c:v>1950</c:v>
                </c:pt>
                <c:pt idx="42">
                  <c:v>2000</c:v>
                </c:pt>
              </c:numCache>
            </c:numRef>
          </c:xVal>
          <c:yVal>
            <c:numRef>
              <c:f>'Graph X'!$AL$4:$AL$46</c:f>
              <c:numCache>
                <c:formatCode>General</c:formatCode>
                <c:ptCount val="43"/>
                <c:pt idx="0">
                  <c:v>65999.382587604967</c:v>
                </c:pt>
                <c:pt idx="1">
                  <c:v>66526.782587604961</c:v>
                </c:pt>
                <c:pt idx="2">
                  <c:v>67054.18258760497</c:v>
                </c:pt>
                <c:pt idx="3">
                  <c:v>67581.582587604964</c:v>
                </c:pt>
                <c:pt idx="4">
                  <c:v>68108.982587604958</c:v>
                </c:pt>
                <c:pt idx="5">
                  <c:v>68636.382587604967</c:v>
                </c:pt>
                <c:pt idx="6">
                  <c:v>69163.782587604961</c:v>
                </c:pt>
                <c:pt idx="7">
                  <c:v>69691.18258760497</c:v>
                </c:pt>
                <c:pt idx="8">
                  <c:v>70218.582587604964</c:v>
                </c:pt>
                <c:pt idx="9">
                  <c:v>70745.982587604958</c:v>
                </c:pt>
                <c:pt idx="10">
                  <c:v>71273.382587604967</c:v>
                </c:pt>
                <c:pt idx="11">
                  <c:v>71800.782587604961</c:v>
                </c:pt>
                <c:pt idx="12">
                  <c:v>72328.18258760497</c:v>
                </c:pt>
                <c:pt idx="13">
                  <c:v>72855.582587604964</c:v>
                </c:pt>
                <c:pt idx="14">
                  <c:v>73232.128105319251</c:v>
                </c:pt>
                <c:pt idx="15">
                  <c:v>73382.982587604973</c:v>
                </c:pt>
                <c:pt idx="16">
                  <c:v>73910.382587604967</c:v>
                </c:pt>
                <c:pt idx="17">
                  <c:v>74437.782587604961</c:v>
                </c:pt>
                <c:pt idx="18">
                  <c:v>74965.18258760497</c:v>
                </c:pt>
                <c:pt idx="19">
                  <c:v>75492.582587604964</c:v>
                </c:pt>
                <c:pt idx="20">
                  <c:v>76019.982587604958</c:v>
                </c:pt>
                <c:pt idx="21">
                  <c:v>76152.971771604964</c:v>
                </c:pt>
                <c:pt idx="22">
                  <c:v>76547.382587604967</c:v>
                </c:pt>
                <c:pt idx="23">
                  <c:v>77074.782587604961</c:v>
                </c:pt>
                <c:pt idx="24">
                  <c:v>77290.497119700973</c:v>
                </c:pt>
                <c:pt idx="25">
                  <c:v>77602.18258760497</c:v>
                </c:pt>
                <c:pt idx="26">
                  <c:v>78129.582587604964</c:v>
                </c:pt>
                <c:pt idx="27">
                  <c:v>78656.982587604973</c:v>
                </c:pt>
                <c:pt idx="28">
                  <c:v>79184.382587604967</c:v>
                </c:pt>
                <c:pt idx="29">
                  <c:v>79711.782587604961</c:v>
                </c:pt>
                <c:pt idx="30">
                  <c:v>80239.18258760497</c:v>
                </c:pt>
                <c:pt idx="31">
                  <c:v>80766.582587604964</c:v>
                </c:pt>
                <c:pt idx="32">
                  <c:v>81293.982587604973</c:v>
                </c:pt>
                <c:pt idx="33">
                  <c:v>81821.382587604967</c:v>
                </c:pt>
                <c:pt idx="34">
                  <c:v>82348.782587604976</c:v>
                </c:pt>
                <c:pt idx="35">
                  <c:v>82876.18258760497</c:v>
                </c:pt>
                <c:pt idx="36">
                  <c:v>83403.582587604964</c:v>
                </c:pt>
                <c:pt idx="37">
                  <c:v>83930.982587604973</c:v>
                </c:pt>
                <c:pt idx="38">
                  <c:v>84458.382587604967</c:v>
                </c:pt>
                <c:pt idx="39">
                  <c:v>84985.782587604976</c:v>
                </c:pt>
                <c:pt idx="40">
                  <c:v>85513.18258760497</c:v>
                </c:pt>
                <c:pt idx="41">
                  <c:v>86040.582587604964</c:v>
                </c:pt>
                <c:pt idx="42">
                  <c:v>86567.982587604958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C7F-488A-B0E9-38974A3B7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728720"/>
        <c:axId val="1112714576"/>
      </c:scatterChart>
      <c:valAx>
        <c:axId val="1112728720"/>
        <c:scaling>
          <c:orientation val="minMax"/>
          <c:max val="2000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2714576"/>
        <c:crosses val="autoZero"/>
        <c:crossBetween val="midCat"/>
      </c:valAx>
      <c:valAx>
        <c:axId val="1112714576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2728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'Graph X'!$AX$4</c:f>
              <c:strCache>
                <c:ptCount val="1"/>
                <c:pt idx="0">
                  <c:v>STS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'Graph X'!$AW$5:$AW$21</c:f>
              <c:numCache>
                <c:formatCode>General</c:formatCode>
                <c:ptCount val="17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150</c:v>
                </c:pt>
                <c:pt idx="12">
                  <c:v>160</c:v>
                </c:pt>
                <c:pt idx="13">
                  <c:v>200</c:v>
                </c:pt>
                <c:pt idx="14">
                  <c:v>300</c:v>
                </c:pt>
                <c:pt idx="15">
                  <c:v>400</c:v>
                </c:pt>
                <c:pt idx="16">
                  <c:v>500</c:v>
                </c:pt>
              </c:numCache>
            </c:numRef>
          </c:xVal>
          <c:yVal>
            <c:numRef>
              <c:f>'Graph X'!$AX$5:$AX$21</c:f>
              <c:numCache>
                <c:formatCode>General</c:formatCode>
                <c:ptCount val="17"/>
                <c:pt idx="0">
                  <c:v>4324.1356289999994</c:v>
                </c:pt>
                <c:pt idx="1">
                  <c:v>4376.6567580000001</c:v>
                </c:pt>
                <c:pt idx="2">
                  <c:v>4429.1778869999998</c:v>
                </c:pt>
                <c:pt idx="3">
                  <c:v>4481.6990159999996</c:v>
                </c:pt>
                <c:pt idx="4">
                  <c:v>4534.2201449999993</c:v>
                </c:pt>
                <c:pt idx="5">
                  <c:v>4586.741274</c:v>
                </c:pt>
                <c:pt idx="6">
                  <c:v>4639.2624029999997</c:v>
                </c:pt>
                <c:pt idx="7">
                  <c:v>4691.7835319999995</c:v>
                </c:pt>
                <c:pt idx="8">
                  <c:v>4744.3046610000001</c:v>
                </c:pt>
                <c:pt idx="9">
                  <c:v>4796.8257899999999</c:v>
                </c:pt>
                <c:pt idx="10">
                  <c:v>4849.3469189999996</c:v>
                </c:pt>
                <c:pt idx="11">
                  <c:v>5059.4314349999995</c:v>
                </c:pt>
                <c:pt idx="12">
                  <c:v>5111.9525639999993</c:v>
                </c:pt>
                <c:pt idx="13">
                  <c:v>5322.0370800000001</c:v>
                </c:pt>
                <c:pt idx="14">
                  <c:v>5847.2483699999993</c:v>
                </c:pt>
                <c:pt idx="15">
                  <c:v>6372.4596599999995</c:v>
                </c:pt>
                <c:pt idx="16">
                  <c:v>6897.6709499999997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0F-40E3-ABF7-479E3B6BEDF6}"/>
            </c:ext>
          </c:extLst>
        </c:ser>
        <c:ser>
          <c:idx val="1"/>
          <c:order val="1"/>
          <c:tx>
            <c:strRef>
              <c:f>'Graph X'!$AY$4</c:f>
              <c:strCache>
                <c:ptCount val="1"/>
                <c:pt idx="0">
                  <c:v>SAF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'Graph X'!$AW$5:$AW$21</c:f>
              <c:numCache>
                <c:formatCode>General</c:formatCode>
                <c:ptCount val="17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150</c:v>
                </c:pt>
                <c:pt idx="12">
                  <c:v>160</c:v>
                </c:pt>
                <c:pt idx="13">
                  <c:v>200</c:v>
                </c:pt>
                <c:pt idx="14">
                  <c:v>300</c:v>
                </c:pt>
                <c:pt idx="15">
                  <c:v>400</c:v>
                </c:pt>
                <c:pt idx="16">
                  <c:v>500</c:v>
                </c:pt>
              </c:numCache>
            </c:numRef>
          </c:xVal>
          <c:yVal>
            <c:numRef>
              <c:f>'Graph X'!$AY$5:$AY$21</c:f>
              <c:numCache>
                <c:formatCode>General</c:formatCode>
                <c:ptCount val="17"/>
                <c:pt idx="0">
                  <c:v>2479.8988160323411</c:v>
                </c:pt>
                <c:pt idx="1">
                  <c:v>2556.674705838755</c:v>
                </c:pt>
                <c:pt idx="2">
                  <c:v>2633.450595645169</c:v>
                </c:pt>
                <c:pt idx="3">
                  <c:v>2710.2264854515829</c:v>
                </c:pt>
                <c:pt idx="4">
                  <c:v>2787.0023752579968</c:v>
                </c:pt>
                <c:pt idx="5">
                  <c:v>2863.7782650644108</c:v>
                </c:pt>
                <c:pt idx="6">
                  <c:v>2940.5541548708247</c:v>
                </c:pt>
                <c:pt idx="7">
                  <c:v>3017.3300446772387</c:v>
                </c:pt>
                <c:pt idx="8">
                  <c:v>3094.1059344836526</c:v>
                </c:pt>
                <c:pt idx="9">
                  <c:v>3170.8818242900666</c:v>
                </c:pt>
                <c:pt idx="10">
                  <c:v>3247.6577140964805</c:v>
                </c:pt>
                <c:pt idx="11">
                  <c:v>3554.7612733221358</c:v>
                </c:pt>
                <c:pt idx="12">
                  <c:v>3631.5371631285498</c:v>
                </c:pt>
                <c:pt idx="13">
                  <c:v>3938.6407223542055</c:v>
                </c:pt>
                <c:pt idx="14">
                  <c:v>4706.399620418345</c:v>
                </c:pt>
                <c:pt idx="15">
                  <c:v>5474.1585184824844</c:v>
                </c:pt>
                <c:pt idx="16">
                  <c:v>6241.9174165466229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0F-40E3-ABF7-479E3B6BEDF6}"/>
            </c:ext>
          </c:extLst>
        </c:ser>
        <c:ser>
          <c:idx val="2"/>
          <c:order val="2"/>
          <c:tx>
            <c:strRef>
              <c:f>'Graph X'!$AZ$4</c:f>
              <c:strCache>
                <c:ptCount val="1"/>
                <c:pt idx="0">
                  <c:v>EST-VF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'Graph X'!$AW$5:$AW$21</c:f>
              <c:numCache>
                <c:formatCode>General</c:formatCode>
                <c:ptCount val="17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150</c:v>
                </c:pt>
                <c:pt idx="12">
                  <c:v>160</c:v>
                </c:pt>
                <c:pt idx="13">
                  <c:v>200</c:v>
                </c:pt>
                <c:pt idx="14">
                  <c:v>300</c:v>
                </c:pt>
                <c:pt idx="15">
                  <c:v>400</c:v>
                </c:pt>
                <c:pt idx="16">
                  <c:v>500</c:v>
                </c:pt>
              </c:numCache>
            </c:numRef>
          </c:xVal>
          <c:yVal>
            <c:numRef>
              <c:f>'Graph X'!$AZ$5:$AZ$21</c:f>
              <c:numCache>
                <c:formatCode>General</c:formatCode>
                <c:ptCount val="17"/>
                <c:pt idx="0">
                  <c:v>652.61228311229081</c:v>
                </c:pt>
                <c:pt idx="1">
                  <c:v>664.37196039800517</c:v>
                </c:pt>
                <c:pt idx="2">
                  <c:v>676.13163768371942</c:v>
                </c:pt>
                <c:pt idx="3">
                  <c:v>687.89131496943367</c:v>
                </c:pt>
                <c:pt idx="4">
                  <c:v>699.65099225514803</c:v>
                </c:pt>
                <c:pt idx="5">
                  <c:v>711.41066954086227</c:v>
                </c:pt>
                <c:pt idx="6">
                  <c:v>723.17034682657663</c:v>
                </c:pt>
                <c:pt idx="7">
                  <c:v>734.93002411229088</c:v>
                </c:pt>
                <c:pt idx="8">
                  <c:v>746.68970139800513</c:v>
                </c:pt>
                <c:pt idx="9">
                  <c:v>758.44937868371949</c:v>
                </c:pt>
                <c:pt idx="10">
                  <c:v>770.20905596943373</c:v>
                </c:pt>
                <c:pt idx="11">
                  <c:v>817.24776511229084</c:v>
                </c:pt>
                <c:pt idx="12">
                  <c:v>829.0074423980052</c:v>
                </c:pt>
                <c:pt idx="13">
                  <c:v>876.0461515408623</c:v>
                </c:pt>
                <c:pt idx="14">
                  <c:v>993.64292439800511</c:v>
                </c:pt>
                <c:pt idx="15">
                  <c:v>1111.239697255148</c:v>
                </c:pt>
                <c:pt idx="16">
                  <c:v>1228.836470112291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E0F-40E3-ABF7-479E3B6BEDF6}"/>
            </c:ext>
          </c:extLst>
        </c:ser>
        <c:ser>
          <c:idx val="3"/>
          <c:order val="3"/>
          <c:tx>
            <c:strRef>
              <c:f>'Graph X'!$BA$4</c:f>
              <c:strCache>
                <c:ptCount val="1"/>
                <c:pt idx="0">
                  <c:v>EST-AHF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'Graph X'!$AW$5:$AW$21</c:f>
              <c:numCache>
                <c:formatCode>General</c:formatCode>
                <c:ptCount val="17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150</c:v>
                </c:pt>
                <c:pt idx="12">
                  <c:v>160</c:v>
                </c:pt>
                <c:pt idx="13">
                  <c:v>200</c:v>
                </c:pt>
                <c:pt idx="14">
                  <c:v>300</c:v>
                </c:pt>
                <c:pt idx="15">
                  <c:v>400</c:v>
                </c:pt>
                <c:pt idx="16">
                  <c:v>500</c:v>
                </c:pt>
              </c:numCache>
            </c:numRef>
          </c:xVal>
          <c:yVal>
            <c:numRef>
              <c:f>'Graph X'!$BA$5:$BA$21</c:f>
              <c:numCache>
                <c:formatCode>General</c:formatCode>
                <c:ptCount val="17"/>
                <c:pt idx="0">
                  <c:v>666.47950316176389</c:v>
                </c:pt>
                <c:pt idx="1">
                  <c:v>678.23918044747825</c:v>
                </c:pt>
                <c:pt idx="2">
                  <c:v>689.99885773319249</c:v>
                </c:pt>
                <c:pt idx="3">
                  <c:v>701.75853501890674</c:v>
                </c:pt>
                <c:pt idx="4">
                  <c:v>713.5182123046211</c:v>
                </c:pt>
                <c:pt idx="5">
                  <c:v>725.27788959033535</c:v>
                </c:pt>
                <c:pt idx="6">
                  <c:v>737.0375668760496</c:v>
                </c:pt>
                <c:pt idx="7">
                  <c:v>748.79724416176396</c:v>
                </c:pt>
                <c:pt idx="8">
                  <c:v>760.5569214474782</c:v>
                </c:pt>
                <c:pt idx="9">
                  <c:v>772.31659873319245</c:v>
                </c:pt>
                <c:pt idx="10">
                  <c:v>784.07627601890681</c:v>
                </c:pt>
                <c:pt idx="11">
                  <c:v>831.11498516176391</c:v>
                </c:pt>
                <c:pt idx="12">
                  <c:v>842.87466244747816</c:v>
                </c:pt>
                <c:pt idx="13">
                  <c:v>889.91337159033537</c:v>
                </c:pt>
                <c:pt idx="14">
                  <c:v>1007.5101444474783</c:v>
                </c:pt>
                <c:pt idx="15">
                  <c:v>1125.1069173046212</c:v>
                </c:pt>
                <c:pt idx="16">
                  <c:v>1242.7036901617639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E0F-40E3-ABF7-479E3B6BE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3566239"/>
        <c:axId val="723567487"/>
      </c:scatterChart>
      <c:valAx>
        <c:axId val="7235662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Desludging Distance (miles)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567487"/>
        <c:crosses val="autoZero"/>
        <c:crossBetween val="midCat"/>
      </c:valAx>
      <c:valAx>
        <c:axId val="72356748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LCE (kg Co2 eq PE-1)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5662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'Septic Tank - British '!$AC$22:$AC$31</c:f>
              <c:numCache>
                <c:formatCode>General</c:formatCode>
                <c:ptCount val="10"/>
                <c:pt idx="0">
                  <c:v>12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'Septic Tank - British '!$AG$22:$AG$31</c:f>
              <c:numCache>
                <c:formatCode>0</c:formatCode>
                <c:ptCount val="10"/>
                <c:pt idx="0">
                  <c:v>9912.5000000000018</c:v>
                </c:pt>
                <c:pt idx="1">
                  <c:v>14487.5</c:v>
                </c:pt>
                <c:pt idx="2">
                  <c:v>20206.25</c:v>
                </c:pt>
                <c:pt idx="3">
                  <c:v>25925</c:v>
                </c:pt>
                <c:pt idx="4">
                  <c:v>29991.666666666675</c:v>
                </c:pt>
                <c:pt idx="5">
                  <c:v>35075</c:v>
                </c:pt>
                <c:pt idx="6">
                  <c:v>39459.375</c:v>
                </c:pt>
                <c:pt idx="7">
                  <c:v>44225</c:v>
                </c:pt>
                <c:pt idx="8">
                  <c:v>48800</c:v>
                </c:pt>
                <c:pt idx="9">
                  <c:v>53375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F5-4109-94A0-4E5E2A62B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953840"/>
        <c:axId val="2006948016"/>
      </c:scatterChart>
      <c:valAx>
        <c:axId val="200695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948016"/>
        <c:crosses val="autoZero"/>
        <c:crossBetween val="midCat"/>
      </c:valAx>
      <c:valAx>
        <c:axId val="2006948016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953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25371828521434E-2"/>
          <c:y val="5.0925925925925923E-2"/>
          <c:w val="0.88386351706036748"/>
          <c:h val="0.841674686497521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'Septic Tank - British '!$AC$40:$AC$49</c:f>
              <c:numCache>
                <c:formatCode>General</c:formatCode>
                <c:ptCount val="10"/>
                <c:pt idx="0">
                  <c:v>12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'Septic Tank - British '!$AJ$40:$AJ$49</c:f>
              <c:numCache>
                <c:formatCode>0.0</c:formatCode>
                <c:ptCount val="10"/>
                <c:pt idx="0">
                  <c:v>10.400000000000002</c:v>
                </c:pt>
                <c:pt idx="1">
                  <c:v>15.200000000000001</c:v>
                </c:pt>
                <c:pt idx="2">
                  <c:v>21.2</c:v>
                </c:pt>
                <c:pt idx="3">
                  <c:v>27.2</c:v>
                </c:pt>
                <c:pt idx="4">
                  <c:v>31.466666666666672</c:v>
                </c:pt>
                <c:pt idx="5">
                  <c:v>36.799999999999997</c:v>
                </c:pt>
                <c:pt idx="6">
                  <c:v>41.399999999999991</c:v>
                </c:pt>
                <c:pt idx="7">
                  <c:v>46.4</c:v>
                </c:pt>
                <c:pt idx="8">
                  <c:v>51.2</c:v>
                </c:pt>
                <c:pt idx="9">
                  <c:v>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3D-4592-97C1-31801059F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953840"/>
        <c:axId val="2006948016"/>
      </c:scatterChart>
      <c:valAx>
        <c:axId val="200695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948016"/>
        <c:crosses val="autoZero"/>
        <c:crossBetween val="midCat"/>
      </c:valAx>
      <c:valAx>
        <c:axId val="200694801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953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'Septic Tank - British '!$CP$40:$CP$49</c:f>
              <c:numCache>
                <c:formatCode>General</c:formatCode>
                <c:ptCount val="10"/>
                <c:pt idx="0">
                  <c:v>12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'Septic Tank - British '!$CX$40:$CX$49</c:f>
              <c:numCache>
                <c:formatCode>0.0</c:formatCode>
                <c:ptCount val="10"/>
                <c:pt idx="0">
                  <c:v>65.599999999999994</c:v>
                </c:pt>
                <c:pt idx="1">
                  <c:v>104</c:v>
                </c:pt>
                <c:pt idx="2">
                  <c:v>152</c:v>
                </c:pt>
                <c:pt idx="3">
                  <c:v>200</c:v>
                </c:pt>
                <c:pt idx="4">
                  <c:v>248</c:v>
                </c:pt>
                <c:pt idx="5">
                  <c:v>296</c:v>
                </c:pt>
                <c:pt idx="6">
                  <c:v>344</c:v>
                </c:pt>
                <c:pt idx="7">
                  <c:v>392</c:v>
                </c:pt>
                <c:pt idx="8">
                  <c:v>440</c:v>
                </c:pt>
                <c:pt idx="9">
                  <c:v>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A3-4940-B8A0-8D6A2FC02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840328"/>
        <c:axId val="753842248"/>
      </c:scatterChart>
      <c:valAx>
        <c:axId val="75384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842248"/>
        <c:crosses val="autoZero"/>
        <c:crossBetween val="midCat"/>
      </c:valAx>
      <c:valAx>
        <c:axId val="75384224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840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13" Type="http://schemas.openxmlformats.org/officeDocument/2006/relationships/chart" Target="../charts/chart42.xml"/><Relationship Id="rId18" Type="http://schemas.openxmlformats.org/officeDocument/2006/relationships/chart" Target="../charts/chart47.xml"/><Relationship Id="rId3" Type="http://schemas.openxmlformats.org/officeDocument/2006/relationships/chart" Target="../charts/chart33.xml"/><Relationship Id="rId7" Type="http://schemas.openxmlformats.org/officeDocument/2006/relationships/image" Target="../media/image1.png"/><Relationship Id="rId12" Type="http://schemas.openxmlformats.org/officeDocument/2006/relationships/chart" Target="../charts/chart41.xml"/><Relationship Id="rId17" Type="http://schemas.openxmlformats.org/officeDocument/2006/relationships/chart" Target="../charts/chart46.xml"/><Relationship Id="rId2" Type="http://schemas.openxmlformats.org/officeDocument/2006/relationships/chart" Target="../charts/chart32.xml"/><Relationship Id="rId16" Type="http://schemas.openxmlformats.org/officeDocument/2006/relationships/chart" Target="../charts/chart45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0.xml"/><Relationship Id="rId5" Type="http://schemas.openxmlformats.org/officeDocument/2006/relationships/chart" Target="../charts/chart35.xml"/><Relationship Id="rId15" Type="http://schemas.openxmlformats.org/officeDocument/2006/relationships/chart" Target="../charts/chart44.xml"/><Relationship Id="rId10" Type="http://schemas.openxmlformats.org/officeDocument/2006/relationships/chart" Target="../charts/chart39.xml"/><Relationship Id="rId19" Type="http://schemas.openxmlformats.org/officeDocument/2006/relationships/chart" Target="../charts/chart48.xml"/><Relationship Id="rId4" Type="http://schemas.openxmlformats.org/officeDocument/2006/relationships/chart" Target="../charts/chart34.xml"/><Relationship Id="rId9" Type="http://schemas.openxmlformats.org/officeDocument/2006/relationships/chart" Target="../charts/chart38.xml"/><Relationship Id="rId14" Type="http://schemas.openxmlformats.org/officeDocument/2006/relationships/chart" Target="../charts/chart43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5" Type="http://schemas.openxmlformats.org/officeDocument/2006/relationships/chart" Target="../charts/chart53.xml"/><Relationship Id="rId10" Type="http://schemas.openxmlformats.org/officeDocument/2006/relationships/chart" Target="../charts/chart58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5" Type="http://schemas.openxmlformats.org/officeDocument/2006/relationships/chart" Target="../charts/chart66.xml"/><Relationship Id="rId4" Type="http://schemas.openxmlformats.org/officeDocument/2006/relationships/chart" Target="../charts/chart6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366712</xdr:colOff>
      <xdr:row>11</xdr:row>
      <xdr:rowOff>90487</xdr:rowOff>
    </xdr:from>
    <xdr:to>
      <xdr:col>20</xdr:col>
      <xdr:colOff>138112</xdr:colOff>
      <xdr:row>26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2ACAD0-6459-40CE-9DDE-5D8D60527F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90487</xdr:colOff>
      <xdr:row>48</xdr:row>
      <xdr:rowOff>4762</xdr:rowOff>
    </xdr:from>
    <xdr:to>
      <xdr:col>17</xdr:col>
      <xdr:colOff>547687</xdr:colOff>
      <xdr:row>63</xdr:row>
      <xdr:rowOff>33337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1490355-BCAB-425A-ABE4-0CBCBBE540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366712</xdr:colOff>
      <xdr:row>62</xdr:row>
      <xdr:rowOff>128587</xdr:rowOff>
    </xdr:from>
    <xdr:to>
      <xdr:col>21</xdr:col>
      <xdr:colOff>138112</xdr:colOff>
      <xdr:row>77</xdr:row>
      <xdr:rowOff>157162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55EC8AA-205B-4870-9AB9-47C5B377D5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52387</xdr:colOff>
      <xdr:row>51</xdr:row>
      <xdr:rowOff>100012</xdr:rowOff>
    </xdr:from>
    <xdr:to>
      <xdr:col>21</xdr:col>
      <xdr:colOff>509587</xdr:colOff>
      <xdr:row>66</xdr:row>
      <xdr:rowOff>128587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4E2D7DF-098C-49E1-ABEF-61E5EB28C6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204787</xdr:colOff>
      <xdr:row>81</xdr:row>
      <xdr:rowOff>38100</xdr:rowOff>
    </xdr:from>
    <xdr:to>
      <xdr:col>14</xdr:col>
      <xdr:colOff>642937</xdr:colOff>
      <xdr:row>96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EA634D-E823-4243-B9A4-3DA2C0C65C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614557</xdr:colOff>
      <xdr:row>37</xdr:row>
      <xdr:rowOff>150358</xdr:rowOff>
    </xdr:from>
    <xdr:to>
      <xdr:col>21</xdr:col>
      <xdr:colOff>391400</xdr:colOff>
      <xdr:row>52</xdr:row>
      <xdr:rowOff>178933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053F540-38A9-4269-BC9D-FE7CBA5B70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132670</xdr:colOff>
      <xdr:row>68</xdr:row>
      <xdr:rowOff>4762</xdr:rowOff>
    </xdr:from>
    <xdr:to>
      <xdr:col>30</xdr:col>
      <xdr:colOff>560615</xdr:colOff>
      <xdr:row>90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BB3063-B7D5-48A7-AF4A-F748AE4832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185737</xdr:colOff>
      <xdr:row>76</xdr:row>
      <xdr:rowOff>176212</xdr:rowOff>
    </xdr:from>
    <xdr:to>
      <xdr:col>17</xdr:col>
      <xdr:colOff>642937</xdr:colOff>
      <xdr:row>92</xdr:row>
      <xdr:rowOff>23812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606E92B-9B74-4DB0-B264-910E71A84A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29256</xdr:colOff>
      <xdr:row>91</xdr:row>
      <xdr:rowOff>135389</xdr:rowOff>
    </xdr:from>
    <xdr:to>
      <xdr:col>23</xdr:col>
      <xdr:colOff>310244</xdr:colOff>
      <xdr:row>109</xdr:row>
      <xdr:rowOff>174171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F27FBA7-8B71-46EC-A04B-991A804717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371475</xdr:colOff>
      <xdr:row>142</xdr:row>
      <xdr:rowOff>9525</xdr:rowOff>
    </xdr:from>
    <xdr:to>
      <xdr:col>21</xdr:col>
      <xdr:colOff>523875</xdr:colOff>
      <xdr:row>157</xdr:row>
      <xdr:rowOff>38100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6B565DD-EAE5-4722-A525-E46847272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66675</xdr:colOff>
      <xdr:row>138</xdr:row>
      <xdr:rowOff>0</xdr:rowOff>
    </xdr:from>
    <xdr:to>
      <xdr:col>17</xdr:col>
      <xdr:colOff>276225</xdr:colOff>
      <xdr:row>155</xdr:row>
      <xdr:rowOff>66675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3B1C7A9-3873-48D7-90D9-65C5228885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21</xdr:col>
      <xdr:colOff>476250</xdr:colOff>
      <xdr:row>142</xdr:row>
      <xdr:rowOff>57149</xdr:rowOff>
    </xdr:from>
    <xdr:to>
      <xdr:col>23</xdr:col>
      <xdr:colOff>676275</xdr:colOff>
      <xdr:row>156</xdr:row>
      <xdr:rowOff>101236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60A02B30-65AC-4128-A608-FE924E53EA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t="17899" r="850"/>
        <a:stretch/>
      </xdr:blipFill>
      <xdr:spPr>
        <a:xfrm>
          <a:off x="14878050" y="25755599"/>
          <a:ext cx="1571625" cy="2577737"/>
        </a:xfrm>
        <a:prstGeom prst="rect">
          <a:avLst/>
        </a:prstGeom>
      </xdr:spPr>
    </xdr:pic>
    <xdr:clientData/>
  </xdr:twoCellAnchor>
  <xdr:twoCellAnchor>
    <xdr:from>
      <xdr:col>14</xdr:col>
      <xdr:colOff>188459</xdr:colOff>
      <xdr:row>111</xdr:row>
      <xdr:rowOff>149678</xdr:rowOff>
    </xdr:from>
    <xdr:to>
      <xdr:col>19</xdr:col>
      <xdr:colOff>250372</xdr:colOff>
      <xdr:row>127</xdr:row>
      <xdr:rowOff>27213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FF0016AF-4B88-4956-8AA8-E5746BCA19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200025</xdr:colOff>
      <xdr:row>111</xdr:row>
      <xdr:rowOff>171450</xdr:rowOff>
    </xdr:from>
    <xdr:to>
      <xdr:col>24</xdr:col>
      <xdr:colOff>333374</xdr:colOff>
      <xdr:row>127</xdr:row>
      <xdr:rowOff>19050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A5353E60-3D54-48A3-8BAC-464B81765D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171450</xdr:colOff>
      <xdr:row>126</xdr:row>
      <xdr:rowOff>161925</xdr:rowOff>
    </xdr:from>
    <xdr:to>
      <xdr:col>19</xdr:col>
      <xdr:colOff>219076</xdr:colOff>
      <xdr:row>142</xdr:row>
      <xdr:rowOff>9525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6142A529-4759-43F1-99ED-F7624381F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200025</xdr:colOff>
      <xdr:row>126</xdr:row>
      <xdr:rowOff>161925</xdr:rowOff>
    </xdr:from>
    <xdr:to>
      <xdr:col>24</xdr:col>
      <xdr:colOff>333375</xdr:colOff>
      <xdr:row>142</xdr:row>
      <xdr:rowOff>9525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60E98279-240D-4D91-99D7-97E015E96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183696</xdr:colOff>
      <xdr:row>52</xdr:row>
      <xdr:rowOff>138793</xdr:rowOff>
    </xdr:from>
    <xdr:to>
      <xdr:col>30</xdr:col>
      <xdr:colOff>673553</xdr:colOff>
      <xdr:row>68</xdr:row>
      <xdr:rowOff>51708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E85C26E-37F6-4E9D-8BDC-0C5ED0A845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510266</xdr:colOff>
      <xdr:row>180</xdr:row>
      <xdr:rowOff>97971</xdr:rowOff>
    </xdr:from>
    <xdr:to>
      <xdr:col>21</xdr:col>
      <xdr:colOff>190500</xdr:colOff>
      <xdr:row>205</xdr:row>
      <xdr:rowOff>95249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C352283-C4D2-4368-B6B8-A29ECBCC30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238123</xdr:colOff>
      <xdr:row>206</xdr:row>
      <xdr:rowOff>152399</xdr:rowOff>
    </xdr:from>
    <xdr:to>
      <xdr:col>20</xdr:col>
      <xdr:colOff>47623</xdr:colOff>
      <xdr:row>222</xdr:row>
      <xdr:rowOff>65314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4F99B43-68ED-4390-946C-B9CF84CBE3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190501</xdr:colOff>
      <xdr:row>231</xdr:row>
      <xdr:rowOff>43543</xdr:rowOff>
    </xdr:from>
    <xdr:to>
      <xdr:col>22</xdr:col>
      <xdr:colOff>1</xdr:colOff>
      <xdr:row>246</xdr:row>
      <xdr:rowOff>133350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965A89C-ED79-49E5-B2A7-6D19E76328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591910</xdr:colOff>
      <xdr:row>245</xdr:row>
      <xdr:rowOff>166007</xdr:rowOff>
    </xdr:from>
    <xdr:to>
      <xdr:col>19</xdr:col>
      <xdr:colOff>401410</xdr:colOff>
      <xdr:row>261</xdr:row>
      <xdr:rowOff>78921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1F4E8CB-9E8E-4975-8566-28916FBCD3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21</xdr:col>
      <xdr:colOff>88445</xdr:colOff>
      <xdr:row>245</xdr:row>
      <xdr:rowOff>111579</xdr:rowOff>
    </xdr:from>
    <xdr:to>
      <xdr:col>27</xdr:col>
      <xdr:colOff>578302</xdr:colOff>
      <xdr:row>261</xdr:row>
      <xdr:rowOff>24493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09AB141-25B3-481E-B0EC-20A4296E15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24</xdr:col>
      <xdr:colOff>442232</xdr:colOff>
      <xdr:row>26</xdr:row>
      <xdr:rowOff>29937</xdr:rowOff>
    </xdr:from>
    <xdr:to>
      <xdr:col>31</xdr:col>
      <xdr:colOff>251732</xdr:colOff>
      <xdr:row>41</xdr:row>
      <xdr:rowOff>119744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AD53385-0DF7-4767-9E70-C4C54B43B7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28</xdr:col>
      <xdr:colOff>469446</xdr:colOff>
      <xdr:row>205</xdr:row>
      <xdr:rowOff>166007</xdr:rowOff>
    </xdr:from>
    <xdr:to>
      <xdr:col>39</xdr:col>
      <xdr:colOff>0</xdr:colOff>
      <xdr:row>235</xdr:row>
      <xdr:rowOff>163286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11D940-A876-443A-91FB-21010337C6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295727</xdr:colOff>
      <xdr:row>22</xdr:row>
      <xdr:rowOff>27214</xdr:rowOff>
    </xdr:from>
    <xdr:to>
      <xdr:col>81</xdr:col>
      <xdr:colOff>544284</xdr:colOff>
      <xdr:row>46</xdr:row>
      <xdr:rowOff>170997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DCFFF9-FC57-47D4-A075-A0948EA41C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346979</xdr:colOff>
      <xdr:row>47</xdr:row>
      <xdr:rowOff>98425</xdr:rowOff>
    </xdr:from>
    <xdr:to>
      <xdr:col>8</xdr:col>
      <xdr:colOff>204106</xdr:colOff>
      <xdr:row>67</xdr:row>
      <xdr:rowOff>27215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8D42F51-1B0D-4E8F-9661-D45BF0F8B7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557893</xdr:colOff>
      <xdr:row>47</xdr:row>
      <xdr:rowOff>122465</xdr:rowOff>
    </xdr:from>
    <xdr:to>
      <xdr:col>23</xdr:col>
      <xdr:colOff>663577</xdr:colOff>
      <xdr:row>64</xdr:row>
      <xdr:rowOff>40821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992275B-C271-468F-B1A4-C9A5C03CCB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639967</xdr:colOff>
      <xdr:row>45</xdr:row>
      <xdr:rowOff>144028</xdr:rowOff>
    </xdr:from>
    <xdr:to>
      <xdr:col>41</xdr:col>
      <xdr:colOff>603447</xdr:colOff>
      <xdr:row>61</xdr:row>
      <xdr:rowOff>56943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EF76F0A-050D-4A57-A63F-800D690121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50</xdr:col>
      <xdr:colOff>678068</xdr:colOff>
      <xdr:row>14</xdr:row>
      <xdr:rowOff>96981</xdr:rowOff>
    </xdr:from>
    <xdr:to>
      <xdr:col>55</xdr:col>
      <xdr:colOff>655136</xdr:colOff>
      <xdr:row>30</xdr:row>
      <xdr:rowOff>136071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BC5E2A6-5635-473E-893F-5BFD9CCB94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333375</xdr:colOff>
      <xdr:row>18</xdr:row>
      <xdr:rowOff>149679</xdr:rowOff>
    </xdr:from>
    <xdr:to>
      <xdr:col>88</xdr:col>
      <xdr:colOff>476251</xdr:colOff>
      <xdr:row>42</xdr:row>
      <xdr:rowOff>27214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4498A59-9CBE-433F-B4FD-58988B9D9A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88</xdr:col>
      <xdr:colOff>517072</xdr:colOff>
      <xdr:row>18</xdr:row>
      <xdr:rowOff>149679</xdr:rowOff>
    </xdr:from>
    <xdr:to>
      <xdr:col>96</xdr:col>
      <xdr:colOff>108857</xdr:colOff>
      <xdr:row>42</xdr:row>
      <xdr:rowOff>27213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1AD2330-51C9-4DB7-A033-7327BEA55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619125</xdr:colOff>
      <xdr:row>48</xdr:row>
      <xdr:rowOff>63952</xdr:rowOff>
    </xdr:from>
    <xdr:to>
      <xdr:col>33</xdr:col>
      <xdr:colOff>476252</xdr:colOff>
      <xdr:row>65</xdr:row>
      <xdr:rowOff>136071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094B90-CC92-4C66-8186-92C730007A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102052</xdr:colOff>
      <xdr:row>104</xdr:row>
      <xdr:rowOff>166008</xdr:rowOff>
    </xdr:from>
    <xdr:to>
      <xdr:col>42</xdr:col>
      <xdr:colOff>163285</xdr:colOff>
      <xdr:row>124</xdr:row>
      <xdr:rowOff>54428</xdr:rowOff>
    </xdr:to>
    <xdr:graphicFrame macro="">
      <xdr:nvGraphicFramePr>
        <xdr:cNvPr id="17" name="Chart 7">
          <a:extLst>
            <a:ext uri="{FF2B5EF4-FFF2-40B4-BE49-F238E27FC236}">
              <a16:creationId xmlns:a16="http://schemas.microsoft.com/office/drawing/2014/main" id="{F8635428-1141-4E4D-BB25-A6D7784583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442231</xdr:colOff>
      <xdr:row>107</xdr:row>
      <xdr:rowOff>84366</xdr:rowOff>
    </xdr:from>
    <xdr:to>
      <xdr:col>17</xdr:col>
      <xdr:colOff>251731</xdr:colOff>
      <xdr:row>122</xdr:row>
      <xdr:rowOff>174173</xdr:rowOff>
    </xdr:to>
    <xdr:graphicFrame macro="">
      <xdr:nvGraphicFramePr>
        <xdr:cNvPr id="31" name="Chart 8">
          <a:extLst>
            <a:ext uri="{FF2B5EF4-FFF2-40B4-BE49-F238E27FC236}">
              <a16:creationId xmlns:a16="http://schemas.microsoft.com/office/drawing/2014/main" id="{D438C765-F2EF-471D-95EE-5F656DFA89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564696</xdr:colOff>
      <xdr:row>107</xdr:row>
      <xdr:rowOff>125186</xdr:rowOff>
    </xdr:from>
    <xdr:to>
      <xdr:col>30</xdr:col>
      <xdr:colOff>374196</xdr:colOff>
      <xdr:row>123</xdr:row>
      <xdr:rowOff>38100</xdr:rowOff>
    </xdr:to>
    <xdr:graphicFrame macro="">
      <xdr:nvGraphicFramePr>
        <xdr:cNvPr id="30" name="Chart 9">
          <a:extLst>
            <a:ext uri="{FF2B5EF4-FFF2-40B4-BE49-F238E27FC236}">
              <a16:creationId xmlns:a16="http://schemas.microsoft.com/office/drawing/2014/main" id="{C285F992-A9A0-4F64-9A1C-8C60CF3BC1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649363</xdr:colOff>
      <xdr:row>74</xdr:row>
      <xdr:rowOff>5746</xdr:rowOff>
    </xdr:from>
    <xdr:to>
      <xdr:col>33</xdr:col>
      <xdr:colOff>458863</xdr:colOff>
      <xdr:row>89</xdr:row>
      <xdr:rowOff>74386</xdr:rowOff>
    </xdr:to>
    <xdr:graphicFrame macro="">
      <xdr:nvGraphicFramePr>
        <xdr:cNvPr id="32" name="Chart 10">
          <a:extLst>
            <a:ext uri="{FF2B5EF4-FFF2-40B4-BE49-F238E27FC236}">
              <a16:creationId xmlns:a16="http://schemas.microsoft.com/office/drawing/2014/main" id="{A6334217-8F15-4E3B-BC75-C74587D010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646339</xdr:colOff>
      <xdr:row>19</xdr:row>
      <xdr:rowOff>172810</xdr:rowOff>
    </xdr:from>
    <xdr:to>
      <xdr:col>68</xdr:col>
      <xdr:colOff>646339</xdr:colOff>
      <xdr:row>35</xdr:row>
      <xdr:rowOff>85724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05B401B-96E0-DED1-A8B9-AF144E4488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100012</xdr:colOff>
      <xdr:row>50</xdr:row>
      <xdr:rowOff>76200</xdr:rowOff>
    </xdr:from>
    <xdr:to>
      <xdr:col>8</xdr:col>
      <xdr:colOff>557212</xdr:colOff>
      <xdr:row>65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5D01821-A034-2DA2-E415-2F7C5679EA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490537</xdr:colOff>
      <xdr:row>48</xdr:row>
      <xdr:rowOff>152400</xdr:rowOff>
    </xdr:from>
    <xdr:to>
      <xdr:col>21</xdr:col>
      <xdr:colOff>261937</xdr:colOff>
      <xdr:row>64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9302EC7-1D32-F65F-A855-A951DD235A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433387</xdr:colOff>
      <xdr:row>49</xdr:row>
      <xdr:rowOff>38100</xdr:rowOff>
    </xdr:from>
    <xdr:to>
      <xdr:col>29</xdr:col>
      <xdr:colOff>204787</xdr:colOff>
      <xdr:row>64</xdr:row>
      <xdr:rowOff>66675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932EB79-4851-E9A3-B74E-B489041731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105833</xdr:colOff>
      <xdr:row>67</xdr:row>
      <xdr:rowOff>99483</xdr:rowOff>
    </xdr:from>
    <xdr:to>
      <xdr:col>12</xdr:col>
      <xdr:colOff>550333</xdr:colOff>
      <xdr:row>82</xdr:row>
      <xdr:rowOff>143933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295A6B-2A7D-4CCC-782B-956B077A13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105833</xdr:colOff>
      <xdr:row>67</xdr:row>
      <xdr:rowOff>99483</xdr:rowOff>
    </xdr:from>
    <xdr:to>
      <xdr:col>12</xdr:col>
      <xdr:colOff>550333</xdr:colOff>
      <xdr:row>82</xdr:row>
      <xdr:rowOff>143933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341248F-4824-6EB9-BFEB-6F81B86CC4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576262</xdr:colOff>
      <xdr:row>20</xdr:row>
      <xdr:rowOff>42862</xdr:rowOff>
    </xdr:from>
    <xdr:to>
      <xdr:col>15</xdr:col>
      <xdr:colOff>347662</xdr:colOff>
      <xdr:row>35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29983B-1830-D5FA-5317-5148F0801D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4762</xdr:colOff>
      <xdr:row>9</xdr:row>
      <xdr:rowOff>133350</xdr:rowOff>
    </xdr:from>
    <xdr:to>
      <xdr:col>34</xdr:col>
      <xdr:colOff>461962</xdr:colOff>
      <xdr:row>24</xdr:row>
      <xdr:rowOff>152400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EC46751E-D3F8-7E22-1E39-4C714B15A0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61912</xdr:colOff>
      <xdr:row>6</xdr:row>
      <xdr:rowOff>61912</xdr:rowOff>
    </xdr:from>
    <xdr:to>
      <xdr:col>41</xdr:col>
      <xdr:colOff>519112</xdr:colOff>
      <xdr:row>21</xdr:row>
      <xdr:rowOff>80962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2CFDBEC-A769-DF9B-F4D3-F1C47D7031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34017</xdr:colOff>
      <xdr:row>82</xdr:row>
      <xdr:rowOff>57150</xdr:rowOff>
    </xdr:from>
    <xdr:to>
      <xdr:col>26</xdr:col>
      <xdr:colOff>306160</xdr:colOff>
      <xdr:row>88</xdr:row>
      <xdr:rowOff>255814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3EED00-DE76-45A8-BBC3-7F603410D1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126999</xdr:colOff>
      <xdr:row>36</xdr:row>
      <xdr:rowOff>74083</xdr:rowOff>
    </xdr:from>
    <xdr:to>
      <xdr:col>27</xdr:col>
      <xdr:colOff>571499</xdr:colOff>
      <xdr:row>50</xdr:row>
      <xdr:rowOff>150283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A8AC510-D61C-47CA-96C6-F3CAD22B1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52</xdr:col>
      <xdr:colOff>232833</xdr:colOff>
      <xdr:row>46</xdr:row>
      <xdr:rowOff>116417</xdr:rowOff>
    </xdr:from>
    <xdr:to>
      <xdr:col>58</xdr:col>
      <xdr:colOff>672042</xdr:colOff>
      <xdr:row>60</xdr:row>
      <xdr:rowOff>118534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B6649DD-492D-4184-8263-0B0995C30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107</xdr:col>
      <xdr:colOff>322967</xdr:colOff>
      <xdr:row>17</xdr:row>
      <xdr:rowOff>1</xdr:rowOff>
    </xdr:from>
    <xdr:to>
      <xdr:col>114</xdr:col>
      <xdr:colOff>97248</xdr:colOff>
      <xdr:row>31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3F532F-ECD1-7237-DF92-4A532DF99C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162</xdr:col>
      <xdr:colOff>671512</xdr:colOff>
      <xdr:row>2</xdr:row>
      <xdr:rowOff>28575</xdr:rowOff>
    </xdr:from>
    <xdr:to>
      <xdr:col>169</xdr:col>
      <xdr:colOff>442912</xdr:colOff>
      <xdr:row>17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90D104-E8DB-4F20-A498-5671C5CE1A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169</xdr:col>
      <xdr:colOff>519112</xdr:colOff>
      <xdr:row>17</xdr:row>
      <xdr:rowOff>136525</xdr:rowOff>
    </xdr:from>
    <xdr:to>
      <xdr:col>176</xdr:col>
      <xdr:colOff>290512</xdr:colOff>
      <xdr:row>32</xdr:row>
      <xdr:rowOff>117475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2417D1-3B1C-46AD-A8F6-F7E0CD1775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169</xdr:col>
      <xdr:colOff>579437</xdr:colOff>
      <xdr:row>1</xdr:row>
      <xdr:rowOff>161925</xdr:rowOff>
    </xdr:from>
    <xdr:to>
      <xdr:col>176</xdr:col>
      <xdr:colOff>350837</xdr:colOff>
      <xdr:row>16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EDF30B5-FA39-43CE-9ABE-583D1092B3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162</xdr:col>
      <xdr:colOff>280987</xdr:colOff>
      <xdr:row>63</xdr:row>
      <xdr:rowOff>28575</xdr:rowOff>
    </xdr:from>
    <xdr:to>
      <xdr:col>169</xdr:col>
      <xdr:colOff>52387</xdr:colOff>
      <xdr:row>78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3A861AC-A0B6-43DA-B021-F5CD109189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162</xdr:col>
      <xdr:colOff>142875</xdr:colOff>
      <xdr:row>31</xdr:row>
      <xdr:rowOff>112712</xdr:rowOff>
    </xdr:from>
    <xdr:to>
      <xdr:col>168</xdr:col>
      <xdr:colOff>619125</xdr:colOff>
      <xdr:row>47</xdr:row>
      <xdr:rowOff>61912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B856380-88AC-EBE8-D315-DE52FCCA94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389284</xdr:colOff>
      <xdr:row>30</xdr:row>
      <xdr:rowOff>11684</xdr:rowOff>
    </xdr:from>
    <xdr:to>
      <xdr:col>21</xdr:col>
      <xdr:colOff>162365</xdr:colOff>
      <xdr:row>45</xdr:row>
      <xdr:rowOff>40261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967D02-9964-46A0-B522-D48C156859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39</xdr:row>
      <xdr:rowOff>128587</xdr:rowOff>
    </xdr:from>
    <xdr:to>
      <xdr:col>6</xdr:col>
      <xdr:colOff>633412</xdr:colOff>
      <xdr:row>54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5EE363-95B6-4669-B414-744A18DCAF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161925</xdr:colOff>
      <xdr:row>31</xdr:row>
      <xdr:rowOff>123825</xdr:rowOff>
    </xdr:from>
    <xdr:to>
      <xdr:col>17</xdr:col>
      <xdr:colOff>619125</xdr:colOff>
      <xdr:row>46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398E38-119A-4A09-A821-052D60B519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39</xdr:row>
      <xdr:rowOff>0</xdr:rowOff>
    </xdr:from>
    <xdr:to>
      <xdr:col>10</xdr:col>
      <xdr:colOff>457200</xdr:colOff>
      <xdr:row>54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15F810-03F7-47E9-A349-2E0E1B6486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660919</xdr:colOff>
      <xdr:row>68</xdr:row>
      <xdr:rowOff>81642</xdr:rowOff>
    </xdr:from>
    <xdr:to>
      <xdr:col>25</xdr:col>
      <xdr:colOff>495203</xdr:colOff>
      <xdr:row>85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E2A427F-4838-4B41-B89A-21E4CC6B3A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70952</xdr:colOff>
      <xdr:row>24</xdr:row>
      <xdr:rowOff>0</xdr:rowOff>
    </xdr:from>
    <xdr:to>
      <xdr:col>28</xdr:col>
      <xdr:colOff>231322</xdr:colOff>
      <xdr:row>54</xdr:row>
      <xdr:rowOff>136071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D208D1-950C-422A-8B44-CB0B8713F3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372494</xdr:colOff>
      <xdr:row>59</xdr:row>
      <xdr:rowOff>66506</xdr:rowOff>
    </xdr:from>
    <xdr:to>
      <xdr:col>37</xdr:col>
      <xdr:colOff>110556</xdr:colOff>
      <xdr:row>76</xdr:row>
      <xdr:rowOff>118894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BD73B5-5FB4-4964-8199-1F75085216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468312</xdr:colOff>
      <xdr:row>30</xdr:row>
      <xdr:rowOff>171450</xdr:rowOff>
    </xdr:from>
    <xdr:to>
      <xdr:col>27</xdr:col>
      <xdr:colOff>242887</xdr:colOff>
      <xdr:row>46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72F16B-2E9C-49E2-BD47-9C92470606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39687</xdr:colOff>
      <xdr:row>53</xdr:row>
      <xdr:rowOff>34925</xdr:rowOff>
    </xdr:from>
    <xdr:to>
      <xdr:col>28</xdr:col>
      <xdr:colOff>493712</xdr:colOff>
      <xdr:row>68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456FA7-CCB5-436A-8A9B-655177C691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37352</xdr:colOff>
      <xdr:row>123</xdr:row>
      <xdr:rowOff>178079</xdr:rowOff>
    </xdr:from>
    <xdr:to>
      <xdr:col>33</xdr:col>
      <xdr:colOff>132602</xdr:colOff>
      <xdr:row>156</xdr:row>
      <xdr:rowOff>54161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5D5FF0E6-AA05-4BF4-B89C-4C51180B91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412750</xdr:colOff>
      <xdr:row>203</xdr:row>
      <xdr:rowOff>160337</xdr:rowOff>
    </xdr:from>
    <xdr:to>
      <xdr:col>24</xdr:col>
      <xdr:colOff>587375</xdr:colOff>
      <xdr:row>231</xdr:row>
      <xdr:rowOff>111125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FDC551-87F6-4223-ADFC-452F262FB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642216</xdr:colOff>
      <xdr:row>29</xdr:row>
      <xdr:rowOff>168853</xdr:rowOff>
    </xdr:from>
    <xdr:to>
      <xdr:col>36</xdr:col>
      <xdr:colOff>526762</xdr:colOff>
      <xdr:row>52</xdr:row>
      <xdr:rowOff>64943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07872F-B222-4048-9978-C4DAB7D75C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190500</xdr:colOff>
      <xdr:row>44</xdr:row>
      <xdr:rowOff>51196</xdr:rowOff>
    </xdr:from>
    <xdr:to>
      <xdr:col>25</xdr:col>
      <xdr:colOff>619125</xdr:colOff>
      <xdr:row>58</xdr:row>
      <xdr:rowOff>139302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2332E8-F634-4C56-A4B0-C8A7FC53C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417863</xdr:colOff>
      <xdr:row>11</xdr:row>
      <xdr:rowOff>66834</xdr:rowOff>
    </xdr:from>
    <xdr:to>
      <xdr:col>56</xdr:col>
      <xdr:colOff>290861</xdr:colOff>
      <xdr:row>41</xdr:row>
      <xdr:rowOff>164655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B46AA9D-EDF5-4767-8753-3B1534255B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367393</xdr:colOff>
      <xdr:row>218</xdr:row>
      <xdr:rowOff>40140</xdr:rowOff>
    </xdr:from>
    <xdr:to>
      <xdr:col>48</xdr:col>
      <xdr:colOff>176893</xdr:colOff>
      <xdr:row>233</xdr:row>
      <xdr:rowOff>61911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AFADCA4-CE46-48E1-A195-129592F91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40</xdr:col>
      <xdr:colOff>662215</xdr:colOff>
      <xdr:row>193</xdr:row>
      <xdr:rowOff>96836</xdr:rowOff>
    </xdr:from>
    <xdr:to>
      <xdr:col>47</xdr:col>
      <xdr:colOff>188233</xdr:colOff>
      <xdr:row>208</xdr:row>
      <xdr:rowOff>118608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5068076-A31C-479F-A14F-4BC77BF892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sting%20Spread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holelife%20cost%20assess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g_c_brown_cranfield_ac_uk/Documents/Costing%20Spreadshee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ing"/>
      <sheetName val="Flow and Constent"/>
      <sheetName val="Index"/>
      <sheetName val="Wet Well"/>
      <sheetName val="Fencing"/>
      <sheetName val="Septic Tank Design"/>
      <sheetName val="SAF - Design"/>
      <sheetName val="ABR Design"/>
      <sheetName val="Sectional GRP Tanks"/>
      <sheetName val="GRP Costing"/>
      <sheetName val="Wetland Design"/>
      <sheetName val="Wetland Operation"/>
      <sheetName val="Sheet1"/>
      <sheetName val="Septic Tank - BS"/>
      <sheetName val="Septic Tank-SW"/>
      <sheetName val="SAF"/>
      <sheetName val="ABR - Tank"/>
      <sheetName val="ABR - Excavation"/>
      <sheetName val="VF"/>
      <sheetName val="AHF"/>
      <sheetName val="Hedge Fencing"/>
      <sheetName val="Septic Tank Summary"/>
      <sheetName val="SAF Summary"/>
      <sheetName val="ABR Summary"/>
      <sheetName val="Wetland Summary"/>
      <sheetName val="ABR-Wetland"/>
      <sheetName val="Initial Comparison"/>
      <sheetName val="10 NPV"/>
      <sheetName val="METland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PE</v>
          </cell>
          <cell r="F3" t="str">
            <v>Scottish Water Standard</v>
          </cell>
        </row>
        <row r="4">
          <cell r="C4">
            <v>5</v>
          </cell>
          <cell r="E4">
            <v>2.9</v>
          </cell>
          <cell r="F4">
            <v>1.5</v>
          </cell>
        </row>
        <row r="5">
          <cell r="C5">
            <v>10</v>
          </cell>
          <cell r="E5">
            <v>3.8</v>
          </cell>
          <cell r="F5">
            <v>3</v>
          </cell>
        </row>
        <row r="6">
          <cell r="C6">
            <v>20</v>
          </cell>
          <cell r="E6">
            <v>5.6</v>
          </cell>
          <cell r="F6">
            <v>6</v>
          </cell>
        </row>
        <row r="7">
          <cell r="C7">
            <v>30</v>
          </cell>
          <cell r="E7">
            <v>7.4</v>
          </cell>
          <cell r="F7">
            <v>9</v>
          </cell>
        </row>
        <row r="8">
          <cell r="C8">
            <v>50</v>
          </cell>
          <cell r="E8">
            <v>11</v>
          </cell>
          <cell r="F8">
            <v>15</v>
          </cell>
        </row>
        <row r="9">
          <cell r="C9">
            <v>75</v>
          </cell>
          <cell r="E9">
            <v>15.5</v>
          </cell>
          <cell r="F9">
            <v>22.5</v>
          </cell>
        </row>
        <row r="10">
          <cell r="C10">
            <v>100</v>
          </cell>
          <cell r="E10">
            <v>20</v>
          </cell>
          <cell r="F10">
            <v>30</v>
          </cell>
        </row>
        <row r="11">
          <cell r="C11">
            <v>150</v>
          </cell>
          <cell r="E11">
            <v>29</v>
          </cell>
          <cell r="F11">
            <v>45</v>
          </cell>
        </row>
        <row r="12">
          <cell r="C12">
            <v>200</v>
          </cell>
          <cell r="E12">
            <v>38</v>
          </cell>
          <cell r="F12">
            <v>60</v>
          </cell>
        </row>
        <row r="13">
          <cell r="C13">
            <v>300</v>
          </cell>
          <cell r="E13">
            <v>56</v>
          </cell>
          <cell r="F13">
            <v>90</v>
          </cell>
        </row>
        <row r="14">
          <cell r="C14">
            <v>400</v>
          </cell>
          <cell r="E14">
            <v>74</v>
          </cell>
          <cell r="F14">
            <v>120</v>
          </cell>
        </row>
        <row r="15">
          <cell r="C15">
            <v>500</v>
          </cell>
          <cell r="E15">
            <v>92</v>
          </cell>
          <cell r="F15">
            <v>150</v>
          </cell>
        </row>
        <row r="16">
          <cell r="C16">
            <v>600</v>
          </cell>
          <cell r="E16">
            <v>110</v>
          </cell>
          <cell r="F16">
            <v>180</v>
          </cell>
        </row>
        <row r="17">
          <cell r="C17">
            <v>800</v>
          </cell>
          <cell r="E17">
            <v>146</v>
          </cell>
          <cell r="F17">
            <v>240</v>
          </cell>
        </row>
        <row r="18">
          <cell r="C18">
            <v>1000</v>
          </cell>
          <cell r="E18">
            <v>182</v>
          </cell>
          <cell r="F18">
            <v>300</v>
          </cell>
        </row>
      </sheetData>
      <sheetData sheetId="6">
        <row r="186">
          <cell r="AY186" t="str">
            <v>Power (kW)</v>
          </cell>
          <cell r="AZ186">
            <v>17.600000000000001</v>
          </cell>
          <cell r="BA186">
            <v>22</v>
          </cell>
          <cell r="BB186">
            <v>33</v>
          </cell>
          <cell r="BC186">
            <v>44</v>
          </cell>
          <cell r="BD186">
            <v>55.000000000000007</v>
          </cell>
          <cell r="BE186">
            <v>66</v>
          </cell>
          <cell r="BF186">
            <v>88</v>
          </cell>
          <cell r="BG186">
            <v>110.00000000000001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L5">
            <v>21.105512999999998</v>
          </cell>
          <cell r="AZ5">
            <v>24.522896999999993</v>
          </cell>
        </row>
        <row r="6">
          <cell r="AL6">
            <v>1.0047149999999998</v>
          </cell>
          <cell r="AZ6">
            <v>2.8404899999999991</v>
          </cell>
          <cell r="BN6">
            <v>47.372456999999997</v>
          </cell>
          <cell r="CB6">
            <v>73.250910599999997</v>
          </cell>
        </row>
        <row r="7">
          <cell r="AL7">
            <v>13.600797999999998</v>
          </cell>
          <cell r="AZ7">
            <v>12.532406999999994</v>
          </cell>
          <cell r="BN7">
            <v>3.3240780000000001</v>
          </cell>
          <cell r="CB7">
            <v>3.9873780000000001</v>
          </cell>
        </row>
        <row r="8">
          <cell r="BN8">
            <v>29.048378999999997</v>
          </cell>
          <cell r="CB8">
            <v>51.250910599999997</v>
          </cell>
        </row>
        <row r="13">
          <cell r="CQ13">
            <v>1457</v>
          </cell>
          <cell r="DE13">
            <v>2030</v>
          </cell>
        </row>
        <row r="15">
          <cell r="AL15">
            <v>21.105512999999998</v>
          </cell>
        </row>
        <row r="16">
          <cell r="AL16">
            <v>14.605512999999997</v>
          </cell>
          <cell r="AZ16">
            <v>15.372896999999993</v>
          </cell>
        </row>
        <row r="21">
          <cell r="BN21">
            <v>47.372456999999997</v>
          </cell>
          <cell r="CB21">
            <v>73.250910599999997</v>
          </cell>
          <cell r="CO21" t="str">
            <v>Excation</v>
          </cell>
          <cell r="CP21">
            <v>109.38445919999999</v>
          </cell>
          <cell r="DD21">
            <v>141.03683280000001</v>
          </cell>
        </row>
        <row r="22">
          <cell r="BN22">
            <v>32.372456999999997</v>
          </cell>
          <cell r="CB22">
            <v>51.250910599999997</v>
          </cell>
          <cell r="CO22" t="str">
            <v>Concrete</v>
          </cell>
          <cell r="CP22">
            <v>75.384459199999995</v>
          </cell>
          <cell r="DD22">
            <v>95.036832800000013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ing"/>
      <sheetName val="Flow and Constent"/>
      <sheetName val="Index"/>
      <sheetName val="CPI"/>
      <sheetName val="Wet Well"/>
      <sheetName val="Fencing"/>
      <sheetName val="Septic Tank Design"/>
      <sheetName val="SAF - Design"/>
      <sheetName val="ABR Design"/>
      <sheetName val="Sectional GRP Tanks"/>
      <sheetName val="GRP Costing"/>
      <sheetName val="Wetland Design"/>
      <sheetName val="Wetland Operation"/>
      <sheetName val="Sheet1"/>
      <sheetName val="Septic Tank - BS"/>
      <sheetName val="STS"/>
      <sheetName val="SAF"/>
      <sheetName val="SAF-mk2"/>
      <sheetName val="ABR-T"/>
      <sheetName val="ABR-Exca"/>
      <sheetName val="VF"/>
      <sheetName val="AHF"/>
      <sheetName val="Pumping"/>
      <sheetName val="Hedge Fencing"/>
      <sheetName val="nth"/>
      <sheetName val="STS Summary"/>
      <sheetName val="SAF Summary"/>
      <sheetName val="ABR Summary"/>
      <sheetName val="Wetland Summary"/>
      <sheetName val="ABR-Wetland"/>
      <sheetName val="Initial Comparison"/>
      <sheetName val="10 NPV"/>
      <sheetName val="METla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28">
          <cell r="H328">
            <v>3.2299999999999995</v>
          </cell>
        </row>
        <row r="329">
          <cell r="H329">
            <v>4.3066666666666658</v>
          </cell>
        </row>
        <row r="330">
          <cell r="H330">
            <v>6.4599999999999991</v>
          </cell>
        </row>
        <row r="331">
          <cell r="H331">
            <v>8.6133333333333315</v>
          </cell>
        </row>
        <row r="332">
          <cell r="H332">
            <v>10.766666666666666</v>
          </cell>
        </row>
        <row r="333">
          <cell r="H333">
            <v>12.919999999999998</v>
          </cell>
        </row>
        <row r="334">
          <cell r="H334">
            <v>17.226666666666663</v>
          </cell>
        </row>
      </sheetData>
      <sheetData sheetId="8" refreshError="1"/>
      <sheetData sheetId="9" refreshError="1"/>
      <sheetData sheetId="10">
        <row r="237">
          <cell r="E237" t="str">
            <v>48.797x^0.9108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2">
          <cell r="GX12">
            <v>172.67549220000001</v>
          </cell>
        </row>
        <row r="13">
          <cell r="GX13">
            <v>113.67549220000001</v>
          </cell>
        </row>
        <row r="23">
          <cell r="GX23">
            <v>21.680400000000002</v>
          </cell>
        </row>
        <row r="24">
          <cell r="GX24">
            <v>16.762419902778269</v>
          </cell>
        </row>
      </sheetData>
      <sheetData sheetId="16" refreshError="1"/>
      <sheetData sheetId="17" refreshError="1"/>
      <sheetData sheetId="18">
        <row r="6">
          <cell r="AC6" t="str">
            <v>Excavation</v>
          </cell>
        </row>
        <row r="7">
          <cell r="AC7">
            <v>12.337500000000002</v>
          </cell>
          <cell r="AE7">
            <v>6.3375000000000021</v>
          </cell>
        </row>
        <row r="8">
          <cell r="AC8">
            <v>20.57</v>
          </cell>
          <cell r="AE8">
            <v>8.57</v>
          </cell>
        </row>
        <row r="9">
          <cell r="AC9">
            <v>35.670749999999998</v>
          </cell>
          <cell r="AE9">
            <v>11.670749999999998</v>
          </cell>
        </row>
        <row r="10">
          <cell r="AC10">
            <v>50.26</v>
          </cell>
          <cell r="AE10">
            <v>14.259999999999998</v>
          </cell>
        </row>
        <row r="11">
          <cell r="AC11">
            <v>77.946749999999994</v>
          </cell>
          <cell r="AE11">
            <v>17.946749999999994</v>
          </cell>
        </row>
        <row r="12">
          <cell r="AC12">
            <v>121.23749999999998</v>
          </cell>
          <cell r="AE12">
            <v>31.237499999999983</v>
          </cell>
        </row>
        <row r="13">
          <cell r="AC13">
            <v>155.89349999999999</v>
          </cell>
          <cell r="AE13">
            <v>35.893499999999989</v>
          </cell>
        </row>
        <row r="14">
          <cell r="AC14">
            <v>301.8599999999999</v>
          </cell>
          <cell r="AE14">
            <v>61.859999999999928</v>
          </cell>
        </row>
        <row r="15">
          <cell r="AC15">
            <v>467.68049999999994</v>
          </cell>
          <cell r="AE15">
            <v>107.68049999999997</v>
          </cell>
        </row>
        <row r="16">
          <cell r="AC16">
            <v>603.7199999999998</v>
          </cell>
          <cell r="AE16">
            <v>123.71999999999986</v>
          </cell>
        </row>
        <row r="17">
          <cell r="AC17">
            <v>760.78599999999994</v>
          </cell>
          <cell r="AE17">
            <v>160.78599999999994</v>
          </cell>
        </row>
        <row r="18">
          <cell r="AC18">
            <v>905.57999999999981</v>
          </cell>
          <cell r="AE18">
            <v>185.57999999999979</v>
          </cell>
        </row>
        <row r="19">
          <cell r="AC19">
            <v>1207.4399999999996</v>
          </cell>
          <cell r="AE19">
            <v>247.43999999999971</v>
          </cell>
        </row>
        <row r="20">
          <cell r="AC20">
            <v>1509.2999999999997</v>
          </cell>
          <cell r="AE20">
            <v>309.29999999999961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ing"/>
      <sheetName val="Flow and Constent"/>
      <sheetName val="Index"/>
      <sheetName val="Septic Tank - British - Det"/>
      <sheetName val="Septic Tank-Scot-Detailed"/>
      <sheetName val="Septic Tank Summary"/>
      <sheetName val="Fencing"/>
      <sheetName val="SAF - Design"/>
      <sheetName val="SAF costing"/>
      <sheetName val="SAF Summary"/>
      <sheetName val="ABR Design"/>
      <sheetName val="GRP Costing"/>
      <sheetName val="Sectional GRP Tanks"/>
      <sheetName val="ABR - GRP Single"/>
      <sheetName val="ABR - Excavation"/>
      <sheetName val="Wetland Design"/>
      <sheetName val="Wetland Operation"/>
      <sheetName val="VF"/>
      <sheetName val="AHF"/>
      <sheetName val="Wetland Summary"/>
      <sheetName val="METl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71">
          <cell r="B171" t="str">
            <v>PE</v>
          </cell>
          <cell r="C171" t="str">
            <v>Power (kWh)</v>
          </cell>
        </row>
        <row r="172">
          <cell r="B172">
            <v>5</v>
          </cell>
          <cell r="C172">
            <v>262.8</v>
          </cell>
        </row>
        <row r="173">
          <cell r="B173">
            <v>10</v>
          </cell>
          <cell r="C173">
            <v>525.6</v>
          </cell>
        </row>
        <row r="174">
          <cell r="B174">
            <v>20</v>
          </cell>
          <cell r="C174">
            <v>3241.2</v>
          </cell>
        </row>
        <row r="175">
          <cell r="B175">
            <v>30</v>
          </cell>
          <cell r="C175">
            <v>3241.2</v>
          </cell>
        </row>
        <row r="176">
          <cell r="B176">
            <v>50</v>
          </cell>
          <cell r="C176">
            <v>3241.2</v>
          </cell>
        </row>
        <row r="177">
          <cell r="B177">
            <v>75</v>
          </cell>
          <cell r="C177">
            <v>3241.2</v>
          </cell>
        </row>
        <row r="178">
          <cell r="B178">
            <v>100</v>
          </cell>
          <cell r="C178">
            <v>3241.2</v>
          </cell>
        </row>
        <row r="179">
          <cell r="B179">
            <v>150</v>
          </cell>
          <cell r="C179">
            <v>3504</v>
          </cell>
        </row>
        <row r="180">
          <cell r="B180">
            <v>200</v>
          </cell>
          <cell r="C180">
            <v>3504</v>
          </cell>
        </row>
        <row r="181">
          <cell r="B181">
            <v>300</v>
          </cell>
          <cell r="C181">
            <v>5256</v>
          </cell>
        </row>
        <row r="182">
          <cell r="B182">
            <v>400</v>
          </cell>
          <cell r="C182">
            <v>5256</v>
          </cell>
        </row>
        <row r="183">
          <cell r="B183">
            <v>500</v>
          </cell>
          <cell r="C183">
            <v>5256</v>
          </cell>
        </row>
        <row r="184">
          <cell r="B184">
            <v>600</v>
          </cell>
        </row>
        <row r="185">
          <cell r="B185">
            <v>800</v>
          </cell>
        </row>
        <row r="186">
          <cell r="B186">
            <v>1000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fourjays.co.uk/product/tankers-disposal-vehicles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irstfence.co.uk/1-8m-high-w-section-palisade-security-fenc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0783A-3795-46E9-81A0-176762A15B45}">
  <dimension ref="B2:C10"/>
  <sheetViews>
    <sheetView workbookViewId="0">
      <selection activeCell="B12" sqref="B12:C15"/>
    </sheetView>
  </sheetViews>
  <sheetFormatPr defaultRowHeight="14.25" x14ac:dyDescent="0.2"/>
  <sheetData>
    <row r="2" spans="2:3" x14ac:dyDescent="0.2">
      <c r="B2" t="s">
        <v>514</v>
      </c>
    </row>
    <row r="4" spans="2:3" x14ac:dyDescent="0.2">
      <c r="B4" t="s">
        <v>515</v>
      </c>
    </row>
    <row r="6" spans="2:3" x14ac:dyDescent="0.2">
      <c r="B6" t="s">
        <v>516</v>
      </c>
    </row>
    <row r="8" spans="2:3" x14ac:dyDescent="0.2">
      <c r="B8" s="50"/>
      <c r="C8" t="s">
        <v>517</v>
      </c>
    </row>
    <row r="9" spans="2:3" x14ac:dyDescent="0.2">
      <c r="B9" s="51"/>
      <c r="C9" t="s">
        <v>518</v>
      </c>
    </row>
    <row r="10" spans="2:3" x14ac:dyDescent="0.2">
      <c r="B10" s="52"/>
      <c r="C10" t="s">
        <v>519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137C6-B953-4B87-AA7E-888F13E77E39}">
  <sheetPr>
    <tabColor theme="7"/>
  </sheetPr>
  <dimension ref="A2:AK289"/>
  <sheetViews>
    <sheetView topLeftCell="F127" zoomScale="85" zoomScaleNormal="85" workbookViewId="0">
      <selection activeCell="W161" sqref="W161:W169"/>
    </sheetView>
  </sheetViews>
  <sheetFormatPr defaultRowHeight="14.25" x14ac:dyDescent="0.2"/>
  <cols>
    <col min="1" max="1" width="31" bestFit="1" customWidth="1"/>
    <col min="4" max="4" width="10.625" customWidth="1"/>
    <col min="8" max="8" width="12.5" bestFit="1" customWidth="1"/>
    <col min="10" max="10" width="12.5" bestFit="1" customWidth="1"/>
    <col min="11" max="11" width="12.375" bestFit="1" customWidth="1"/>
  </cols>
  <sheetData>
    <row r="2" spans="1:17" x14ac:dyDescent="0.2">
      <c r="B2" t="s">
        <v>260</v>
      </c>
    </row>
    <row r="4" spans="1:17" x14ac:dyDescent="0.2">
      <c r="A4" t="s">
        <v>89</v>
      </c>
      <c r="B4">
        <v>5</v>
      </c>
      <c r="C4">
        <v>10</v>
      </c>
      <c r="D4">
        <v>20</v>
      </c>
      <c r="E4">
        <v>30</v>
      </c>
      <c r="F4">
        <v>50</v>
      </c>
      <c r="G4">
        <v>75</v>
      </c>
      <c r="H4">
        <v>100</v>
      </c>
      <c r="I4">
        <v>200</v>
      </c>
      <c r="J4">
        <v>300</v>
      </c>
      <c r="K4">
        <v>400</v>
      </c>
      <c r="L4">
        <v>500</v>
      </c>
      <c r="M4">
        <v>600</v>
      </c>
      <c r="N4">
        <v>800</v>
      </c>
      <c r="O4">
        <v>1000</v>
      </c>
    </row>
    <row r="5" spans="1:17" x14ac:dyDescent="0.2">
      <c r="A5" t="s">
        <v>30</v>
      </c>
      <c r="B5">
        <v>7.3599999999999994</v>
      </c>
      <c r="C5">
        <v>14.310563498826877</v>
      </c>
      <c r="D5">
        <v>28.226189861972866</v>
      </c>
      <c r="E5">
        <v>42.076839325333189</v>
      </c>
      <c r="F5">
        <v>69.68937490470698</v>
      </c>
      <c r="G5">
        <v>104.11909963741726</v>
      </c>
      <c r="H5">
        <v>138.49564352719247</v>
      </c>
      <c r="I5">
        <v>275.74238617305031</v>
      </c>
      <c r="J5">
        <v>412.78365382028909</v>
      </c>
      <c r="K5">
        <v>549.71855978165775</v>
      </c>
      <c r="L5">
        <v>686.58549476440976</v>
      </c>
      <c r="M5">
        <v>823.40414786048905</v>
      </c>
      <c r="N5">
        <v>1096.939317800646</v>
      </c>
      <c r="O5">
        <v>1370.378362260996</v>
      </c>
    </row>
    <row r="6" spans="1:17" x14ac:dyDescent="0.2">
      <c r="A6" t="s">
        <v>55</v>
      </c>
      <c r="B6">
        <v>22.6</v>
      </c>
      <c r="C6">
        <v>34.95188623284114</v>
      </c>
      <c r="D6">
        <v>55.355909852531951</v>
      </c>
      <c r="E6">
        <v>73.550718879510399</v>
      </c>
      <c r="F6">
        <v>106.92238312367434</v>
      </c>
      <c r="G6">
        <v>145.71484221764152</v>
      </c>
      <c r="H6">
        <v>182.69915265181663</v>
      </c>
      <c r="I6">
        <v>321.81567533825779</v>
      </c>
      <c r="J6">
        <v>453.94604807164671</v>
      </c>
      <c r="K6">
        <v>582.46012348545139</v>
      </c>
      <c r="L6">
        <v>708.66318562629613</v>
      </c>
      <c r="M6">
        <v>833.22466362026626</v>
      </c>
      <c r="N6">
        <v>1078.8749870401518</v>
      </c>
      <c r="O6">
        <v>1321.2570441465932</v>
      </c>
    </row>
    <row r="7" spans="1:17" x14ac:dyDescent="0.2">
      <c r="A7" t="s">
        <v>183</v>
      </c>
      <c r="B7">
        <v>22.6</v>
      </c>
      <c r="C7">
        <v>34.95188623284114</v>
      </c>
      <c r="D7">
        <v>55.355909852531951</v>
      </c>
      <c r="E7">
        <v>73.550718879510399</v>
      </c>
      <c r="F7">
        <v>106.92238312367434</v>
      </c>
      <c r="G7">
        <v>145.71484221764152</v>
      </c>
      <c r="H7">
        <v>182.69915265181663</v>
      </c>
      <c r="I7">
        <v>321.81567533825779</v>
      </c>
      <c r="J7">
        <v>453.94604807164671</v>
      </c>
      <c r="K7">
        <v>582.46012348545139</v>
      </c>
      <c r="L7">
        <v>708.66318562629613</v>
      </c>
      <c r="M7">
        <v>833.22466362026626</v>
      </c>
      <c r="N7">
        <v>1078.8749870401518</v>
      </c>
      <c r="O7">
        <v>1321.2570441465932</v>
      </c>
    </row>
    <row r="8" spans="1:17" x14ac:dyDescent="0.2">
      <c r="A8" t="s">
        <v>261</v>
      </c>
      <c r="B8">
        <v>8</v>
      </c>
      <c r="C8">
        <v>8</v>
      </c>
      <c r="D8">
        <v>12</v>
      </c>
      <c r="E8">
        <v>12</v>
      </c>
      <c r="F8">
        <v>12</v>
      </c>
      <c r="G8">
        <v>16</v>
      </c>
      <c r="H8">
        <v>16</v>
      </c>
      <c r="I8">
        <v>20</v>
      </c>
      <c r="J8">
        <v>24</v>
      </c>
      <c r="K8">
        <v>24</v>
      </c>
      <c r="L8">
        <v>28</v>
      </c>
      <c r="M8">
        <v>28</v>
      </c>
      <c r="N8">
        <v>32</v>
      </c>
      <c r="O8">
        <v>36</v>
      </c>
    </row>
    <row r="9" spans="1:17" x14ac:dyDescent="0.2">
      <c r="A9" t="s">
        <v>262</v>
      </c>
      <c r="B9">
        <v>24</v>
      </c>
      <c r="C9">
        <v>28</v>
      </c>
      <c r="D9">
        <v>56</v>
      </c>
      <c r="E9">
        <v>56</v>
      </c>
      <c r="F9">
        <v>56</v>
      </c>
      <c r="G9">
        <v>84</v>
      </c>
      <c r="H9">
        <v>84</v>
      </c>
      <c r="I9">
        <v>112</v>
      </c>
      <c r="J9">
        <v>140</v>
      </c>
      <c r="K9">
        <v>140</v>
      </c>
      <c r="L9">
        <v>168</v>
      </c>
      <c r="M9">
        <v>168</v>
      </c>
      <c r="N9">
        <v>196</v>
      </c>
      <c r="O9">
        <v>224</v>
      </c>
    </row>
    <row r="10" spans="1:17" x14ac:dyDescent="0.2">
      <c r="A10" t="s">
        <v>263</v>
      </c>
      <c r="B10">
        <v>4</v>
      </c>
      <c r="C10">
        <v>4</v>
      </c>
      <c r="D10">
        <v>8</v>
      </c>
      <c r="E10">
        <v>8</v>
      </c>
      <c r="F10">
        <v>8</v>
      </c>
      <c r="G10">
        <v>12</v>
      </c>
      <c r="H10">
        <v>12</v>
      </c>
      <c r="I10">
        <v>16</v>
      </c>
      <c r="J10">
        <v>20</v>
      </c>
      <c r="K10">
        <v>20</v>
      </c>
      <c r="L10">
        <v>24</v>
      </c>
      <c r="M10">
        <v>24</v>
      </c>
      <c r="N10">
        <v>28</v>
      </c>
      <c r="O10">
        <v>32</v>
      </c>
    </row>
    <row r="11" spans="1:17" x14ac:dyDescent="0.2">
      <c r="A11" t="s">
        <v>30</v>
      </c>
      <c r="B11">
        <v>1.4580000000000002</v>
      </c>
      <c r="C11">
        <v>1.4580000000000002</v>
      </c>
      <c r="D11">
        <v>2.1870000000000003</v>
      </c>
      <c r="E11">
        <v>2.1870000000000003</v>
      </c>
      <c r="F11">
        <v>2.1870000000000003</v>
      </c>
      <c r="G11">
        <v>2.9160000000000004</v>
      </c>
      <c r="H11">
        <v>2.9160000000000004</v>
      </c>
      <c r="I11">
        <v>3.6450000000000005</v>
      </c>
      <c r="J11">
        <v>4.3740000000000006</v>
      </c>
      <c r="K11">
        <v>4.3740000000000006</v>
      </c>
      <c r="L11">
        <v>5.1030000000000006</v>
      </c>
      <c r="M11">
        <v>5.1030000000000006</v>
      </c>
      <c r="N11">
        <v>5.8320000000000007</v>
      </c>
      <c r="O11">
        <v>6.5610000000000008</v>
      </c>
    </row>
    <row r="12" spans="1:17" x14ac:dyDescent="0.2">
      <c r="A12" t="s">
        <v>15</v>
      </c>
      <c r="B12">
        <f>B11</f>
        <v>1.4580000000000002</v>
      </c>
      <c r="C12">
        <f t="shared" ref="C12:O12" si="0">C11</f>
        <v>1.4580000000000002</v>
      </c>
      <c r="D12">
        <f t="shared" si="0"/>
        <v>2.1870000000000003</v>
      </c>
      <c r="E12">
        <f t="shared" si="0"/>
        <v>2.1870000000000003</v>
      </c>
      <c r="F12">
        <f t="shared" si="0"/>
        <v>2.1870000000000003</v>
      </c>
      <c r="G12">
        <f t="shared" si="0"/>
        <v>2.9160000000000004</v>
      </c>
      <c r="H12">
        <f t="shared" si="0"/>
        <v>2.9160000000000004</v>
      </c>
      <c r="I12">
        <f t="shared" si="0"/>
        <v>3.6450000000000005</v>
      </c>
      <c r="J12">
        <f t="shared" si="0"/>
        <v>4.3740000000000006</v>
      </c>
      <c r="K12">
        <f t="shared" si="0"/>
        <v>4.3740000000000006</v>
      </c>
      <c r="L12">
        <f t="shared" si="0"/>
        <v>5.1030000000000006</v>
      </c>
      <c r="M12">
        <f t="shared" si="0"/>
        <v>5.1030000000000006</v>
      </c>
      <c r="N12">
        <f t="shared" si="0"/>
        <v>5.8320000000000007</v>
      </c>
      <c r="O12">
        <f t="shared" si="0"/>
        <v>6.5610000000000008</v>
      </c>
      <c r="Q12">
        <v>8</v>
      </c>
    </row>
    <row r="13" spans="1:17" x14ac:dyDescent="0.2">
      <c r="A13" t="s">
        <v>264</v>
      </c>
      <c r="B13">
        <v>5.497787143782138</v>
      </c>
      <c r="C13">
        <v>9.9959766250584323</v>
      </c>
      <c r="D13">
        <v>19.991953250116865</v>
      </c>
      <c r="E13">
        <v>29.987929875175293</v>
      </c>
      <c r="F13">
        <v>49.979883125292154</v>
      </c>
      <c r="G13">
        <v>74.969824687938242</v>
      </c>
      <c r="H13">
        <v>99.959766250584323</v>
      </c>
      <c r="I13">
        <v>199.91953250116862</v>
      </c>
      <c r="J13">
        <v>299.87929875175297</v>
      </c>
      <c r="K13">
        <v>399.83906500233729</v>
      </c>
      <c r="L13">
        <v>499.79883125292162</v>
      </c>
      <c r="M13">
        <v>599.75859750350594</v>
      </c>
      <c r="N13">
        <v>799.67813000467447</v>
      </c>
      <c r="O13">
        <v>999.59766250584335</v>
      </c>
      <c r="Q13">
        <v>8</v>
      </c>
    </row>
    <row r="14" spans="1:17" x14ac:dyDescent="0.2">
      <c r="Q14">
        <v>12</v>
      </c>
    </row>
    <row r="15" spans="1:17" x14ac:dyDescent="0.2">
      <c r="A15" t="s">
        <v>266</v>
      </c>
      <c r="Q15">
        <v>12</v>
      </c>
    </row>
    <row r="16" spans="1:17" x14ac:dyDescent="0.2">
      <c r="A16" t="s">
        <v>268</v>
      </c>
      <c r="Q16">
        <v>12</v>
      </c>
    </row>
    <row r="17" spans="1:37" x14ac:dyDescent="0.2">
      <c r="A17" t="s">
        <v>267</v>
      </c>
      <c r="B17">
        <f>4*B8+3*(B9+B10)</f>
        <v>116</v>
      </c>
      <c r="C17">
        <f t="shared" ref="C17:O17" si="1">4*C8+3*(C9+C10)</f>
        <v>128</v>
      </c>
      <c r="D17">
        <f t="shared" si="1"/>
        <v>240</v>
      </c>
      <c r="E17">
        <f t="shared" si="1"/>
        <v>240</v>
      </c>
      <c r="F17">
        <f t="shared" si="1"/>
        <v>240</v>
      </c>
      <c r="G17">
        <f t="shared" si="1"/>
        <v>352</v>
      </c>
      <c r="H17">
        <f t="shared" si="1"/>
        <v>352</v>
      </c>
      <c r="I17">
        <f t="shared" si="1"/>
        <v>464</v>
      </c>
      <c r="J17">
        <f t="shared" si="1"/>
        <v>576</v>
      </c>
      <c r="K17">
        <f t="shared" si="1"/>
        <v>576</v>
      </c>
      <c r="L17">
        <f t="shared" si="1"/>
        <v>688</v>
      </c>
      <c r="M17">
        <f>4*M8+3*(M9+M10)</f>
        <v>688</v>
      </c>
      <c r="N17">
        <f t="shared" si="1"/>
        <v>800</v>
      </c>
      <c r="O17">
        <f t="shared" si="1"/>
        <v>912</v>
      </c>
      <c r="Q17">
        <v>16</v>
      </c>
    </row>
    <row r="18" spans="1:37" x14ac:dyDescent="0.2">
      <c r="A18" t="s">
        <v>15</v>
      </c>
      <c r="B18">
        <f>B8*59+(0.3*1.8*0.05*Conversions!$B$4*'ABR-Exc'!B9)+(0.15*1.8*0.05*Conversions!$B$4*'ABR-Exc'!B10)</f>
        <v>2227.0000000000005</v>
      </c>
      <c r="C18">
        <f>C8*59+(0.3*1.8*0.05*Conversions!$B$4*'ABR-Exc'!C9)+(0.15*1.8*0.05*Conversions!$B$4*'ABR-Exc'!C10)</f>
        <v>2497.0000000000005</v>
      </c>
      <c r="D18">
        <f>D8*59+(0.3*1.8*0.05*Conversions!$B$4*'ABR-Exc'!D9)+(0.15*1.8*0.05*Conversions!$B$4*'ABR-Exc'!D10)</f>
        <v>4758.0000000000009</v>
      </c>
      <c r="E18">
        <f>E8*59+(0.3*1.8*0.05*Conversions!$B$4*'ABR-Exc'!E9)+(0.15*1.8*0.05*Conversions!$B$4*'ABR-Exc'!E10)</f>
        <v>4758.0000000000009</v>
      </c>
      <c r="F18">
        <f>F8*59+(0.3*1.8*0.05*Conversions!$B$4*'ABR-Exc'!F9)+(0.15*1.8*0.05*Conversions!$B$4*'ABR-Exc'!F10)</f>
        <v>4758.0000000000009</v>
      </c>
      <c r="G18">
        <f>G8*59+(0.3*1.8*0.05*Conversions!$B$4*'ABR-Exc'!G9)+(0.15*1.8*0.05*Conversions!$B$4*'ABR-Exc'!G10)</f>
        <v>7019.0000000000009</v>
      </c>
      <c r="H18">
        <f>H8*59+(0.3*1.8*0.05*Conversions!$B$4*'ABR-Exc'!H9)+(0.15*1.8*0.05*Conversions!$B$4*'ABR-Exc'!H10)</f>
        <v>7019.0000000000009</v>
      </c>
      <c r="I18">
        <f>I8*59+(0.3*1.8*0.05*Conversions!$B$4*'ABR-Exc'!I9)+(0.15*1.8*0.05*Conversions!$B$4*'ABR-Exc'!I10)</f>
        <v>9280.0000000000018</v>
      </c>
      <c r="J18">
        <f>J8*59+(0.3*1.8*0.05*Conversions!$B$4*'ABR-Exc'!J9)+(0.15*1.8*0.05*Conversions!$B$4*'ABR-Exc'!J10)</f>
        <v>11541.000000000002</v>
      </c>
      <c r="K18">
        <f>K8*59+(0.3*1.8*0.05*Conversions!$B$4*'ABR-Exc'!K9)+(0.15*1.8*0.05*Conversions!$B$4*'ABR-Exc'!K10)</f>
        <v>11541.000000000002</v>
      </c>
      <c r="L18">
        <f>L8*59+(0.3*1.8*0.05*Conversions!$B$4*'ABR-Exc'!L9)+(0.15*1.8*0.05*Conversions!$B$4*'ABR-Exc'!L10)</f>
        <v>13802.000000000002</v>
      </c>
      <c r="M18">
        <f>M8*59+(0.3*1.8*0.05*Conversions!$B$4*'ABR-Exc'!M9)+(0.15*1.8*0.05*Conversions!$B$4*'ABR-Exc'!M10)</f>
        <v>13802.000000000002</v>
      </c>
      <c r="N18">
        <f>N8*59+(0.3*1.8*0.05*Conversions!$B$4*'ABR-Exc'!N9)+(0.15*1.8*0.05*Conversions!$B$4*'ABR-Exc'!N10)</f>
        <v>16063.000000000004</v>
      </c>
      <c r="O18">
        <f>O8*59+(0.3*1.8*0.05*Conversions!$B$4*'ABR-Exc'!O9)+(0.15*1.8*0.05*Conversions!$B$4*'ABR-Exc'!O10)</f>
        <v>18324.000000000004</v>
      </c>
      <c r="Q18">
        <v>16</v>
      </c>
    </row>
    <row r="19" spans="1:37" x14ac:dyDescent="0.2">
      <c r="Q19">
        <v>20</v>
      </c>
    </row>
    <row r="20" spans="1:37" x14ac:dyDescent="0.2">
      <c r="A20" t="s">
        <v>201</v>
      </c>
      <c r="Q20">
        <v>24</v>
      </c>
    </row>
    <row r="21" spans="1:37" x14ac:dyDescent="0.2">
      <c r="Q21">
        <v>24</v>
      </c>
    </row>
    <row r="22" spans="1:37" x14ac:dyDescent="0.2">
      <c r="Q22">
        <v>28</v>
      </c>
    </row>
    <row r="23" spans="1:37" x14ac:dyDescent="0.2">
      <c r="A23" t="s">
        <v>30</v>
      </c>
      <c r="B23">
        <f>B11+B5</f>
        <v>8.8179999999999996</v>
      </c>
      <c r="C23">
        <f t="shared" ref="C23:O23" si="2">C11+C5</f>
        <v>15.768563498826877</v>
      </c>
      <c r="D23">
        <f t="shared" si="2"/>
        <v>30.413189861972867</v>
      </c>
      <c r="E23">
        <f t="shared" si="2"/>
        <v>44.263839325333187</v>
      </c>
      <c r="F23">
        <f t="shared" si="2"/>
        <v>71.876374904706978</v>
      </c>
      <c r="G23">
        <f t="shared" si="2"/>
        <v>107.03509963741726</v>
      </c>
      <c r="H23">
        <f t="shared" si="2"/>
        <v>141.41164352719247</v>
      </c>
      <c r="I23">
        <f t="shared" si="2"/>
        <v>279.38738617305029</v>
      </c>
      <c r="J23">
        <f t="shared" si="2"/>
        <v>417.15765382028911</v>
      </c>
      <c r="K23">
        <f t="shared" si="2"/>
        <v>554.09255978165777</v>
      </c>
      <c r="L23">
        <f t="shared" si="2"/>
        <v>691.68849476440971</v>
      </c>
      <c r="M23">
        <f t="shared" si="2"/>
        <v>828.507147860489</v>
      </c>
      <c r="N23">
        <f t="shared" si="2"/>
        <v>1102.7713178006461</v>
      </c>
      <c r="O23">
        <f t="shared" si="2"/>
        <v>1376.9393622609959</v>
      </c>
      <c r="Q23">
        <v>28</v>
      </c>
    </row>
    <row r="24" spans="1:37" x14ac:dyDescent="0.2">
      <c r="A24" t="s">
        <v>55</v>
      </c>
      <c r="B24">
        <f>(B6)*Conversions!$C$21*Conversions!$C$23</f>
        <v>20.792000000000002</v>
      </c>
      <c r="C24">
        <f>(C6)*Conversions!$C$21*Conversions!$C$23</f>
        <v>32.155735334213851</v>
      </c>
      <c r="D24">
        <f>(D6)*Conversions!$C$21*Conversions!$C$23</f>
        <v>50.927437064329396</v>
      </c>
      <c r="E24">
        <f>(E6)*Conversions!$C$21*Conversions!$C$23</f>
        <v>67.666661369149566</v>
      </c>
      <c r="F24">
        <f>(F6)*Conversions!$C$21*Conversions!$C$23</f>
        <v>98.368592473780396</v>
      </c>
      <c r="G24">
        <f>(G6)*Conversions!$C$21*Conversions!$C$23</f>
        <v>134.05765484023021</v>
      </c>
      <c r="H24">
        <f>(H6)*Conversions!$C$21*Conversions!$C$23</f>
        <v>168.08322043967129</v>
      </c>
      <c r="I24">
        <f>(I6)*Conversions!$C$21*Conversions!$C$23</f>
        <v>296.07042131119715</v>
      </c>
      <c r="J24">
        <f>(J6)*Conversions!$C$21*Conversions!$C$23</f>
        <v>417.630364225915</v>
      </c>
      <c r="K24">
        <f>(K6)*Conversions!$C$21*Conversions!$C$23</f>
        <v>535.86331360661529</v>
      </c>
      <c r="L24">
        <f>(L6)*Conversions!$C$21*Conversions!$C$23</f>
        <v>651.97013077619249</v>
      </c>
      <c r="M24">
        <f>(M6)*Conversions!$C$21*Conversions!$C$23</f>
        <v>766.56669053064491</v>
      </c>
      <c r="N24">
        <f>(N6)*Conversions!$C$21*Conversions!$C$23</f>
        <v>992.56498807693981</v>
      </c>
      <c r="O24">
        <f>(O6)*Conversions!$C$21*Conversions!$C$23</f>
        <v>1215.5564806148657</v>
      </c>
      <c r="Q24">
        <v>32</v>
      </c>
    </row>
    <row r="25" spans="1:37" x14ac:dyDescent="0.2">
      <c r="A25" t="s">
        <v>183</v>
      </c>
      <c r="B25">
        <f>(B7+B13)*Conversions!$C$27*Conversions!$C$29</f>
        <v>33.717344572538565</v>
      </c>
      <c r="C25">
        <f>(C7+C13)*Conversions!$C$27*Conversions!$C$29</f>
        <v>53.937435429479493</v>
      </c>
      <c r="D25">
        <f>(D7+D13)*Conversions!$C$27*Conversions!$C$29</f>
        <v>90.417435723178585</v>
      </c>
      <c r="E25">
        <f>(E7+E13)*Conversions!$C$27*Conversions!$C$29</f>
        <v>124.24637850562284</v>
      </c>
      <c r="F25">
        <f>(F7+F13)*Conversions!$C$27*Conversions!$C$29</f>
        <v>188.2827194987598</v>
      </c>
      <c r="G25">
        <f>(G7+G13)*Conversions!$C$27*Conversions!$C$29</f>
        <v>264.82160028669574</v>
      </c>
      <c r="H25">
        <f>(H7+H13)*Conversions!$C$27*Conversions!$C$29</f>
        <v>339.19070268288118</v>
      </c>
      <c r="I25">
        <f>(I7+I13)*Conversions!$C$27*Conversions!$C$29</f>
        <v>626.08224940731168</v>
      </c>
      <c r="J25">
        <f>(J7+J13)*Conversions!$C$27*Conversions!$C$29</f>
        <v>904.59041618807964</v>
      </c>
      <c r="K25">
        <f>(K7+K13)*Conversions!$C$27*Conversions!$C$29</f>
        <v>1178.7590261853466</v>
      </c>
      <c r="L25">
        <f>(L7+L13)*Conversions!$C$27*Conversions!$C$29</f>
        <v>1450.1544202550613</v>
      </c>
      <c r="M25">
        <f>(M7+M13)*Conversions!$C$27*Conversions!$C$29</f>
        <v>1719.5799133485264</v>
      </c>
      <c r="N25">
        <f>(N7+N13)*Conversions!$C$27*Conversions!$C$29</f>
        <v>2254.2637404537913</v>
      </c>
      <c r="O25">
        <f>(O7+O13)*Conversions!$C$27*Conversions!$C$29</f>
        <v>2785.0256479829241</v>
      </c>
      <c r="Q25">
        <v>36</v>
      </c>
    </row>
    <row r="26" spans="1:37" x14ac:dyDescent="0.2">
      <c r="X26">
        <v>1874.4580000000005</v>
      </c>
      <c r="Y26">
        <v>2144.4580000000005</v>
      </c>
      <c r="Z26">
        <v>4229.1870000000008</v>
      </c>
      <c r="AA26">
        <v>4229.1870000000008</v>
      </c>
      <c r="AB26">
        <v>4229.1870000000008</v>
      </c>
      <c r="AC26">
        <v>6313.9160000000011</v>
      </c>
      <c r="AD26">
        <v>6313.9160000000011</v>
      </c>
      <c r="AE26">
        <v>8398.6450000000023</v>
      </c>
      <c r="AF26">
        <v>10483.374000000002</v>
      </c>
      <c r="AG26">
        <v>10483.374000000002</v>
      </c>
      <c r="AH26">
        <v>12568.103000000001</v>
      </c>
      <c r="AI26">
        <v>12568.103000000001</v>
      </c>
      <c r="AJ26">
        <v>14652.832000000004</v>
      </c>
      <c r="AK26">
        <v>16737.561000000005</v>
      </c>
    </row>
    <row r="27" spans="1:37" x14ac:dyDescent="0.2">
      <c r="A27" t="s">
        <v>15</v>
      </c>
      <c r="B27">
        <f>B18+B12*Conversions!$B$4</f>
        <v>5872.0000000000009</v>
      </c>
      <c r="C27">
        <f>C18+C12*Conversions!$B$4</f>
        <v>6142.0000000000009</v>
      </c>
      <c r="D27">
        <f>D18+D12*Conversions!$B$4</f>
        <v>10225.500000000002</v>
      </c>
      <c r="E27">
        <f>E18+E12*Conversions!$B$4</f>
        <v>10225.500000000002</v>
      </c>
      <c r="F27">
        <f>F18+F12*Conversions!$B$4</f>
        <v>10225.500000000002</v>
      </c>
      <c r="G27">
        <f>G18+G12*Conversions!$B$4</f>
        <v>14309.000000000002</v>
      </c>
      <c r="H27">
        <f>H18+H12*Conversions!$B$4</f>
        <v>14309.000000000002</v>
      </c>
      <c r="I27">
        <f>I18+I12*Conversions!$B$4</f>
        <v>18392.500000000004</v>
      </c>
      <c r="J27">
        <f>J18+J12*Conversions!$B$4</f>
        <v>22476.000000000004</v>
      </c>
      <c r="K27">
        <f>K18+K12*Conversions!$B$4</f>
        <v>22476.000000000004</v>
      </c>
      <c r="L27">
        <f>L18+L12*Conversions!$B$4</f>
        <v>26559.500000000004</v>
      </c>
      <c r="M27">
        <f>M18+M12*Conversions!$B$4</f>
        <v>26559.500000000004</v>
      </c>
      <c r="N27">
        <f>N18+N12*Conversions!$B$4</f>
        <v>30643.000000000007</v>
      </c>
      <c r="O27">
        <f>O18+O12*Conversions!$B$4</f>
        <v>34726.500000000007</v>
      </c>
      <c r="X27">
        <v>154.26476566187321</v>
      </c>
      <c r="Y27">
        <v>173.19725962946674</v>
      </c>
      <c r="Z27">
        <v>335.52586531457422</v>
      </c>
      <c r="AA27">
        <v>335.52586531457422</v>
      </c>
      <c r="AB27">
        <v>335.52586531457422</v>
      </c>
      <c r="AC27">
        <v>497.85447099968167</v>
      </c>
      <c r="AD27">
        <v>497.85447099968167</v>
      </c>
      <c r="AE27">
        <v>660.18307668478917</v>
      </c>
      <c r="AF27">
        <v>822.51168236989668</v>
      </c>
      <c r="AG27">
        <v>822.51168236989668</v>
      </c>
      <c r="AH27">
        <v>984.84028805500407</v>
      </c>
      <c r="AI27">
        <v>984.84028805500407</v>
      </c>
      <c r="AJ27">
        <v>1147.1688937401118</v>
      </c>
      <c r="AK27">
        <v>1309.4974994252191</v>
      </c>
    </row>
    <row r="28" spans="1:37" x14ac:dyDescent="0.2">
      <c r="A28" t="s">
        <v>265</v>
      </c>
      <c r="B28">
        <f>(B8*4*3.1+(B9+B10)*3*1.8)*Conversions!$C$61</f>
        <v>219.47668932802873</v>
      </c>
      <c r="C28">
        <f>(C8*4*3.1+(C9+C10)*3*1.8)*Conversions!$C$61</f>
        <v>238.40918329562223</v>
      </c>
      <c r="D28">
        <f>(D8*4*3.1+(D9+D10)*3*1.8)*Conversions!$C$61</f>
        <v>433.34375081380745</v>
      </c>
      <c r="E28">
        <f>(E8*4*3.1+(E9+E10)*3*1.8)*Conversions!$C$61</f>
        <v>433.34375081380745</v>
      </c>
      <c r="F28">
        <f>(F8*4*3.1+(F9+F10)*3*1.8)*Conversions!$C$61</f>
        <v>433.34375081380745</v>
      </c>
      <c r="G28">
        <f>(G8*4*3.1+(G9+G10)*3*1.8)*Conversions!$C$61</f>
        <v>628.27831833199264</v>
      </c>
      <c r="H28">
        <f>(H8*4*3.1+(H9+H10)*3*1.8)*Conversions!$C$61</f>
        <v>628.27831833199264</v>
      </c>
      <c r="I28">
        <f>(I8*4*3.1+(I9+I10)*3*1.8)*Conversions!$C$61</f>
        <v>823.21288585017794</v>
      </c>
      <c r="J28">
        <f>(J8*4*3.1+(J9+J10)*3*1.8)*Conversions!$C$61</f>
        <v>1018.147453368363</v>
      </c>
      <c r="K28">
        <f>(K8*4*3.1+(K9+K10)*3*1.8)*Conversions!$C$61</f>
        <v>1018.147453368363</v>
      </c>
      <c r="L28">
        <f>(L8*4*3.1+(L9+L10)*3*1.8)*Conversions!$C$61</f>
        <v>1213.0820208865484</v>
      </c>
      <c r="M28">
        <f>(M8*4*3.1+(M9+M10)*3*1.8)*Conversions!$C$61</f>
        <v>1213.0820208865484</v>
      </c>
      <c r="N28">
        <f>(N8*4*3.1+(N9+N10)*3*1.8)*Conversions!$C$61</f>
        <v>1408.0165884047337</v>
      </c>
      <c r="O28">
        <f>(O8*4*3.1+(O9+O10)*3*1.8)*Conversions!$C$61</f>
        <v>1602.951155922919</v>
      </c>
    </row>
    <row r="33" spans="1:37" x14ac:dyDescent="0.2">
      <c r="A33" t="s">
        <v>89</v>
      </c>
      <c r="B33">
        <v>5</v>
      </c>
      <c r="C33">
        <v>10</v>
      </c>
      <c r="D33">
        <v>20</v>
      </c>
      <c r="E33">
        <v>30</v>
      </c>
      <c r="F33">
        <v>50</v>
      </c>
      <c r="G33">
        <v>75</v>
      </c>
      <c r="H33">
        <v>100</v>
      </c>
      <c r="I33">
        <v>200</v>
      </c>
      <c r="J33">
        <v>300</v>
      </c>
      <c r="K33">
        <v>400</v>
      </c>
      <c r="L33">
        <v>500</v>
      </c>
      <c r="M33">
        <v>600</v>
      </c>
      <c r="N33">
        <v>800</v>
      </c>
      <c r="O33">
        <v>1000</v>
      </c>
      <c r="X33">
        <v>2228.4580000000005</v>
      </c>
      <c r="Y33">
        <v>2498.4580000000005</v>
      </c>
      <c r="Z33">
        <v>4760.1870000000008</v>
      </c>
      <c r="AA33">
        <v>4760.1870000000008</v>
      </c>
      <c r="AB33">
        <v>4760.1870000000008</v>
      </c>
      <c r="AC33">
        <v>7021.9160000000011</v>
      </c>
      <c r="AD33">
        <v>7021.9160000000011</v>
      </c>
      <c r="AE33">
        <v>9283.6450000000023</v>
      </c>
      <c r="AF33">
        <v>11545.374000000002</v>
      </c>
      <c r="AG33">
        <v>11545.374000000002</v>
      </c>
      <c r="AH33">
        <v>13807.103000000001</v>
      </c>
      <c r="AI33">
        <v>13807.103000000001</v>
      </c>
      <c r="AJ33">
        <v>16068.832000000004</v>
      </c>
      <c r="AK33">
        <v>18330.561000000005</v>
      </c>
    </row>
    <row r="34" spans="1:37" x14ac:dyDescent="0.2">
      <c r="A34" t="s">
        <v>30</v>
      </c>
      <c r="B34">
        <v>3.94</v>
      </c>
      <c r="C34">
        <v>7.47</v>
      </c>
      <c r="D34">
        <v>14.9</v>
      </c>
      <c r="E34">
        <v>22.4</v>
      </c>
      <c r="F34">
        <v>37.200000000000003</v>
      </c>
      <c r="G34">
        <v>55.3</v>
      </c>
      <c r="H34">
        <v>73.900000000000006</v>
      </c>
      <c r="I34">
        <v>147</v>
      </c>
      <c r="J34">
        <v>219</v>
      </c>
      <c r="K34">
        <v>292</v>
      </c>
      <c r="L34">
        <v>365</v>
      </c>
      <c r="M34">
        <v>437</v>
      </c>
      <c r="N34">
        <v>582</v>
      </c>
      <c r="O34">
        <v>727</v>
      </c>
      <c r="X34">
        <v>219.47668932802873</v>
      </c>
      <c r="Y34">
        <v>238.40918329562223</v>
      </c>
      <c r="Z34">
        <v>433.34375081380745</v>
      </c>
      <c r="AA34">
        <v>433.34375081380745</v>
      </c>
      <c r="AB34">
        <v>433.34375081380745</v>
      </c>
      <c r="AC34">
        <v>628.27831833199264</v>
      </c>
      <c r="AD34">
        <v>628.27831833199264</v>
      </c>
      <c r="AE34">
        <v>823.21288585017794</v>
      </c>
      <c r="AF34">
        <v>1018.147453368363</v>
      </c>
      <c r="AG34">
        <v>1018.147453368363</v>
      </c>
      <c r="AH34">
        <v>1213.0820208865484</v>
      </c>
      <c r="AI34">
        <v>1213.0820208865484</v>
      </c>
      <c r="AJ34">
        <v>1408.0165884047337</v>
      </c>
      <c r="AK34">
        <v>1602.951155922919</v>
      </c>
    </row>
    <row r="35" spans="1:37" x14ac:dyDescent="0.2">
      <c r="A35" t="s">
        <v>55</v>
      </c>
      <c r="B35">
        <v>60</v>
      </c>
      <c r="C35">
        <v>92.3</v>
      </c>
      <c r="D35">
        <v>147</v>
      </c>
      <c r="E35">
        <v>196</v>
      </c>
      <c r="F35">
        <v>283</v>
      </c>
      <c r="G35">
        <v>387</v>
      </c>
      <c r="H35">
        <v>485</v>
      </c>
      <c r="I35">
        <v>854</v>
      </c>
      <c r="J35">
        <v>1210</v>
      </c>
      <c r="K35">
        <v>1550</v>
      </c>
      <c r="L35">
        <v>1880</v>
      </c>
      <c r="M35">
        <v>2210</v>
      </c>
      <c r="N35">
        <v>2870</v>
      </c>
      <c r="O35">
        <v>3510</v>
      </c>
    </row>
    <row r="36" spans="1:37" x14ac:dyDescent="0.2">
      <c r="A36" t="s">
        <v>183</v>
      </c>
      <c r="B36">
        <v>97.6</v>
      </c>
      <c r="C36">
        <v>156</v>
      </c>
      <c r="D36">
        <v>262</v>
      </c>
      <c r="E36">
        <v>358</v>
      </c>
      <c r="F36">
        <v>543</v>
      </c>
      <c r="G36">
        <v>765</v>
      </c>
      <c r="H36">
        <v>979</v>
      </c>
      <c r="I36">
        <v>1810</v>
      </c>
      <c r="J36">
        <v>2610</v>
      </c>
      <c r="K36">
        <v>3400</v>
      </c>
      <c r="L36">
        <v>4180</v>
      </c>
      <c r="M36">
        <v>4960</v>
      </c>
      <c r="N36">
        <v>6500</v>
      </c>
      <c r="O36">
        <v>8030</v>
      </c>
    </row>
    <row r="37" spans="1:37" x14ac:dyDescent="0.2">
      <c r="X37">
        <f>X33/X26</f>
        <v>1.188854591567269</v>
      </c>
      <c r="Y37">
        <f t="shared" ref="Y37:AK37" si="3">Y33/Y26</f>
        <v>1.1650766767173804</v>
      </c>
      <c r="Z37">
        <f t="shared" si="3"/>
        <v>1.1255560465876775</v>
      </c>
      <c r="AA37">
        <f t="shared" si="3"/>
        <v>1.1255560465876775</v>
      </c>
      <c r="AB37">
        <f t="shared" si="3"/>
        <v>1.1255560465876775</v>
      </c>
      <c r="AC37">
        <f t="shared" si="3"/>
        <v>1.1121332624634221</v>
      </c>
      <c r="AD37">
        <f t="shared" si="3"/>
        <v>1.1121332624634221</v>
      </c>
      <c r="AE37">
        <f t="shared" si="3"/>
        <v>1.1053741407096025</v>
      </c>
      <c r="AF37">
        <f t="shared" si="3"/>
        <v>1.1013032636248596</v>
      </c>
      <c r="AG37">
        <f t="shared" si="3"/>
        <v>1.1013032636248596</v>
      </c>
      <c r="AH37">
        <f t="shared" si="3"/>
        <v>1.098582896718781</v>
      </c>
      <c r="AI37">
        <f t="shared" si="3"/>
        <v>1.098582896718781</v>
      </c>
      <c r="AJ37">
        <f t="shared" si="3"/>
        <v>1.096636609223391</v>
      </c>
      <c r="AK37">
        <f t="shared" si="3"/>
        <v>1.0951751572406516</v>
      </c>
    </row>
    <row r="38" spans="1:37" x14ac:dyDescent="0.2">
      <c r="A38" t="s">
        <v>15</v>
      </c>
      <c r="B38">
        <v>273</v>
      </c>
      <c r="C38">
        <v>312</v>
      </c>
      <c r="D38">
        <v>615</v>
      </c>
      <c r="E38">
        <v>615</v>
      </c>
      <c r="F38">
        <v>615</v>
      </c>
      <c r="G38">
        <v>916</v>
      </c>
      <c r="H38">
        <v>916</v>
      </c>
      <c r="I38">
        <v>1220</v>
      </c>
      <c r="J38">
        <v>1530</v>
      </c>
      <c r="K38">
        <v>1530</v>
      </c>
      <c r="L38">
        <v>1830</v>
      </c>
      <c r="M38">
        <v>1830</v>
      </c>
      <c r="N38">
        <v>2340</v>
      </c>
      <c r="O38">
        <v>2660</v>
      </c>
      <c r="X38">
        <f>X34/X27</f>
        <v>1.4227272727272728</v>
      </c>
      <c r="Y38">
        <f t="shared" ref="Y38:AK38" si="4">Y34/Y27</f>
        <v>1.3765182186234817</v>
      </c>
      <c r="Z38">
        <f t="shared" si="4"/>
        <v>1.2915360501567399</v>
      </c>
      <c r="AA38">
        <f t="shared" si="4"/>
        <v>1.2915360501567399</v>
      </c>
      <c r="AB38">
        <f t="shared" si="4"/>
        <v>1.2915360501567399</v>
      </c>
      <c r="AC38">
        <f t="shared" si="4"/>
        <v>1.2619718309859156</v>
      </c>
      <c r="AD38">
        <f t="shared" si="4"/>
        <v>1.2619718309859156</v>
      </c>
      <c r="AE38">
        <f t="shared" si="4"/>
        <v>1.2469463621879979</v>
      </c>
      <c r="AF38">
        <f t="shared" si="4"/>
        <v>1.2378516624040918</v>
      </c>
      <c r="AG38">
        <f t="shared" si="4"/>
        <v>1.2378516624040918</v>
      </c>
      <c r="AH38">
        <f t="shared" si="4"/>
        <v>1.2317550729797082</v>
      </c>
      <c r="AI38">
        <f t="shared" si="4"/>
        <v>1.2317550729797082</v>
      </c>
      <c r="AJ38">
        <f t="shared" si="4"/>
        <v>1.2273838630806846</v>
      </c>
      <c r="AK38">
        <f t="shared" si="4"/>
        <v>1.2240963855421689</v>
      </c>
    </row>
    <row r="39" spans="1:37" x14ac:dyDescent="0.2">
      <c r="A39" t="s">
        <v>265</v>
      </c>
      <c r="B39">
        <v>298</v>
      </c>
      <c r="C39">
        <v>335</v>
      </c>
      <c r="D39">
        <v>649</v>
      </c>
      <c r="E39">
        <v>650</v>
      </c>
      <c r="F39">
        <v>651</v>
      </c>
      <c r="G39">
        <v>967</v>
      </c>
      <c r="H39">
        <v>969</v>
      </c>
      <c r="I39">
        <v>1290</v>
      </c>
      <c r="J39">
        <v>1610</v>
      </c>
      <c r="K39">
        <v>1610</v>
      </c>
      <c r="L39">
        <v>1930</v>
      </c>
      <c r="M39">
        <v>1930</v>
      </c>
      <c r="N39">
        <v>2760</v>
      </c>
      <c r="O39">
        <v>3140</v>
      </c>
    </row>
    <row r="41" spans="1:37" x14ac:dyDescent="0.2">
      <c r="A41" t="s">
        <v>33</v>
      </c>
      <c r="B41">
        <v>724</v>
      </c>
      <c r="C41">
        <v>893</v>
      </c>
      <c r="D41">
        <v>1670</v>
      </c>
      <c r="E41">
        <v>2010</v>
      </c>
      <c r="F41">
        <v>2110</v>
      </c>
      <c r="G41">
        <v>3060</v>
      </c>
      <c r="H41">
        <v>3390</v>
      </c>
      <c r="I41">
        <v>5270</v>
      </c>
      <c r="J41">
        <v>7110</v>
      </c>
      <c r="K41">
        <v>8310</v>
      </c>
      <c r="L41">
        <v>10100</v>
      </c>
      <c r="M41">
        <v>11300</v>
      </c>
      <c r="N41">
        <v>14900</v>
      </c>
      <c r="O41">
        <v>17900</v>
      </c>
    </row>
    <row r="43" spans="1:37" x14ac:dyDescent="0.2">
      <c r="A43" t="s">
        <v>258</v>
      </c>
      <c r="B43">
        <f>SUM(B34:B39)</f>
        <v>732.54</v>
      </c>
      <c r="C43">
        <f t="shared" ref="C43:O43" si="5">SUM(C34:C39)</f>
        <v>902.77</v>
      </c>
      <c r="D43">
        <f t="shared" si="5"/>
        <v>1687.9</v>
      </c>
      <c r="E43">
        <f t="shared" si="5"/>
        <v>1841.4</v>
      </c>
      <c r="F43">
        <f t="shared" si="5"/>
        <v>2129.1999999999998</v>
      </c>
      <c r="G43">
        <f t="shared" si="5"/>
        <v>3090.3</v>
      </c>
      <c r="H43">
        <f t="shared" si="5"/>
        <v>3422.9</v>
      </c>
      <c r="I43">
        <f t="shared" si="5"/>
        <v>5321</v>
      </c>
      <c r="J43">
        <f t="shared" si="5"/>
        <v>7179</v>
      </c>
      <c r="K43">
        <f t="shared" si="5"/>
        <v>8382</v>
      </c>
      <c r="L43">
        <f t="shared" si="5"/>
        <v>10185</v>
      </c>
      <c r="M43">
        <f t="shared" si="5"/>
        <v>11367</v>
      </c>
      <c r="N43">
        <f t="shared" si="5"/>
        <v>15052</v>
      </c>
      <c r="O43">
        <f t="shared" si="5"/>
        <v>18067</v>
      </c>
    </row>
    <row r="48" spans="1:37" x14ac:dyDescent="0.2">
      <c r="A48" t="s">
        <v>89</v>
      </c>
      <c r="B48">
        <v>5</v>
      </c>
      <c r="C48">
        <v>10</v>
      </c>
      <c r="D48">
        <v>20</v>
      </c>
      <c r="E48">
        <v>30</v>
      </c>
      <c r="F48">
        <v>50</v>
      </c>
      <c r="G48">
        <v>75</v>
      </c>
      <c r="H48">
        <v>100</v>
      </c>
      <c r="I48">
        <v>200</v>
      </c>
      <c r="J48">
        <v>300</v>
      </c>
      <c r="K48">
        <v>400</v>
      </c>
      <c r="L48">
        <v>500</v>
      </c>
      <c r="M48">
        <v>600</v>
      </c>
      <c r="N48">
        <v>800</v>
      </c>
      <c r="O48">
        <v>1000</v>
      </c>
    </row>
    <row r="49" spans="1:15" x14ac:dyDescent="0.2">
      <c r="A49" t="s">
        <v>30</v>
      </c>
      <c r="B49">
        <f>B34</f>
        <v>3.94</v>
      </c>
      <c r="C49">
        <f t="shared" ref="C49:D49" si="6">C34</f>
        <v>7.47</v>
      </c>
      <c r="D49">
        <f t="shared" si="6"/>
        <v>14.9</v>
      </c>
      <c r="E49">
        <f t="shared" ref="E49:F49" si="7">E34</f>
        <v>22.4</v>
      </c>
      <c r="F49">
        <f t="shared" si="7"/>
        <v>37.200000000000003</v>
      </c>
      <c r="G49">
        <f t="shared" ref="G49:I49" si="8">G34</f>
        <v>55.3</v>
      </c>
      <c r="H49">
        <f t="shared" si="8"/>
        <v>73.900000000000006</v>
      </c>
      <c r="I49">
        <f t="shared" si="8"/>
        <v>147</v>
      </c>
      <c r="J49">
        <f t="shared" ref="J49:K49" si="9">J34</f>
        <v>219</v>
      </c>
      <c r="K49">
        <f t="shared" si="9"/>
        <v>292</v>
      </c>
      <c r="L49">
        <f t="shared" ref="L49:M49" si="10">L34</f>
        <v>365</v>
      </c>
      <c r="M49">
        <f t="shared" si="10"/>
        <v>437</v>
      </c>
      <c r="N49">
        <f t="shared" ref="N49:O49" si="11">N34</f>
        <v>582</v>
      </c>
      <c r="O49">
        <f t="shared" si="11"/>
        <v>727</v>
      </c>
    </row>
    <row r="50" spans="1:15" x14ac:dyDescent="0.2">
      <c r="A50" t="s">
        <v>276</v>
      </c>
      <c r="B50">
        <f>B35+B36</f>
        <v>157.6</v>
      </c>
      <c r="C50">
        <f t="shared" ref="C50:D50" si="12">C35+C36</f>
        <v>248.3</v>
      </c>
      <c r="D50">
        <f t="shared" si="12"/>
        <v>409</v>
      </c>
      <c r="E50">
        <f>E35+E36</f>
        <v>554</v>
      </c>
      <c r="F50">
        <f>F35+F36</f>
        <v>826</v>
      </c>
      <c r="G50">
        <f t="shared" ref="G50:I50" si="13">G35+G36</f>
        <v>1152</v>
      </c>
      <c r="H50">
        <f t="shared" si="13"/>
        <v>1464</v>
      </c>
      <c r="I50">
        <f t="shared" si="13"/>
        <v>2664</v>
      </c>
      <c r="J50">
        <f t="shared" ref="J50:K50" si="14">J35+J36</f>
        <v>3820</v>
      </c>
      <c r="K50">
        <f t="shared" si="14"/>
        <v>4950</v>
      </c>
      <c r="L50">
        <f t="shared" ref="L50:M50" si="15">L35+L36</f>
        <v>6060</v>
      </c>
      <c r="M50">
        <f t="shared" si="15"/>
        <v>7170</v>
      </c>
      <c r="N50">
        <f t="shared" ref="N50:O50" si="16">N35+N36</f>
        <v>9370</v>
      </c>
      <c r="O50">
        <f t="shared" si="16"/>
        <v>11540</v>
      </c>
    </row>
    <row r="51" spans="1:15" x14ac:dyDescent="0.2">
      <c r="A51" t="s">
        <v>277</v>
      </c>
      <c r="B51">
        <f>B38+B39</f>
        <v>571</v>
      </c>
      <c r="C51">
        <f t="shared" ref="C51:D51" si="17">C38+C39</f>
        <v>647</v>
      </c>
      <c r="D51">
        <f t="shared" si="17"/>
        <v>1264</v>
      </c>
      <c r="E51">
        <f t="shared" ref="E51:F51" si="18">E38+E39</f>
        <v>1265</v>
      </c>
      <c r="F51">
        <f t="shared" si="18"/>
        <v>1266</v>
      </c>
      <c r="G51">
        <f t="shared" ref="G51:I51" si="19">G38+G39</f>
        <v>1883</v>
      </c>
      <c r="H51">
        <f t="shared" si="19"/>
        <v>1885</v>
      </c>
      <c r="I51">
        <f t="shared" si="19"/>
        <v>2510</v>
      </c>
      <c r="J51">
        <f t="shared" ref="J51:K51" si="20">J38+J39</f>
        <v>3140</v>
      </c>
      <c r="K51">
        <f t="shared" si="20"/>
        <v>3140</v>
      </c>
      <c r="L51">
        <f t="shared" ref="L51:M51" si="21">L38+L39</f>
        <v>3760</v>
      </c>
      <c r="M51">
        <f t="shared" si="21"/>
        <v>3760</v>
      </c>
      <c r="N51">
        <f t="shared" ref="N51:O51" si="22">N38+N39</f>
        <v>5100</v>
      </c>
      <c r="O51">
        <f t="shared" si="22"/>
        <v>5800</v>
      </c>
    </row>
    <row r="53" spans="1:15" x14ac:dyDescent="0.2">
      <c r="B53">
        <v>1.188854591567269</v>
      </c>
      <c r="C53">
        <v>1.1650766767173804</v>
      </c>
      <c r="D53">
        <v>1.1255560465876775</v>
      </c>
      <c r="E53">
        <v>1.1255560465876775</v>
      </c>
      <c r="F53">
        <v>1.1255560465876775</v>
      </c>
      <c r="G53">
        <v>1.1121332624634221</v>
      </c>
      <c r="H53">
        <v>1.1121332624634221</v>
      </c>
      <c r="I53">
        <v>1.1053741407096025</v>
      </c>
      <c r="J53">
        <v>1.1013032636248596</v>
      </c>
      <c r="K53">
        <v>1.1013032636248596</v>
      </c>
      <c r="L53">
        <v>1.098582896718781</v>
      </c>
      <c r="M53">
        <v>1.098582896718781</v>
      </c>
      <c r="N53">
        <v>1.096636609223391</v>
      </c>
      <c r="O53">
        <v>1.0951751572406516</v>
      </c>
    </row>
    <row r="54" spans="1:15" x14ac:dyDescent="0.2">
      <c r="B54">
        <v>1.4227272727272728</v>
      </c>
      <c r="C54">
        <v>1.3765182186234817</v>
      </c>
      <c r="D54">
        <v>1.2915360501567399</v>
      </c>
      <c r="E54">
        <v>1.2915360501567399</v>
      </c>
      <c r="F54">
        <v>1.2915360501567399</v>
      </c>
      <c r="G54">
        <v>1.2619718309859156</v>
      </c>
      <c r="H54">
        <v>1.2619718309859156</v>
      </c>
      <c r="I54">
        <v>1.2469463621879979</v>
      </c>
      <c r="J54">
        <v>1.2378516624040918</v>
      </c>
      <c r="K54">
        <v>1.2378516624040918</v>
      </c>
      <c r="L54">
        <v>1.2317550729797082</v>
      </c>
      <c r="M54">
        <v>1.2317550729797082</v>
      </c>
      <c r="N54">
        <v>1.2273838630806846</v>
      </c>
      <c r="O54">
        <v>1.2240963855421689</v>
      </c>
    </row>
    <row r="58" spans="1:15" x14ac:dyDescent="0.2">
      <c r="A58" t="s">
        <v>89</v>
      </c>
      <c r="B58">
        <v>5</v>
      </c>
      <c r="C58">
        <v>10</v>
      </c>
      <c r="D58">
        <v>20</v>
      </c>
      <c r="E58">
        <v>30</v>
      </c>
      <c r="F58">
        <v>50</v>
      </c>
      <c r="G58">
        <v>75</v>
      </c>
      <c r="H58">
        <v>100</v>
      </c>
      <c r="I58">
        <v>200</v>
      </c>
      <c r="J58">
        <v>300</v>
      </c>
      <c r="K58">
        <v>400</v>
      </c>
      <c r="L58">
        <v>500</v>
      </c>
      <c r="M58">
        <v>600</v>
      </c>
      <c r="N58">
        <v>800</v>
      </c>
      <c r="O58">
        <v>1000</v>
      </c>
    </row>
    <row r="59" spans="1:15" x14ac:dyDescent="0.2">
      <c r="A59" t="s">
        <v>30</v>
      </c>
      <c r="B59">
        <v>3.94</v>
      </c>
      <c r="C59">
        <v>7.47</v>
      </c>
      <c r="D59">
        <v>14.9</v>
      </c>
      <c r="E59">
        <v>22.4</v>
      </c>
      <c r="F59">
        <v>37.200000000000003</v>
      </c>
      <c r="G59">
        <v>55.3</v>
      </c>
      <c r="H59">
        <v>73.900000000000006</v>
      </c>
      <c r="I59">
        <v>147</v>
      </c>
      <c r="J59">
        <v>219</v>
      </c>
      <c r="K59">
        <v>292</v>
      </c>
      <c r="L59">
        <v>365</v>
      </c>
      <c r="M59">
        <v>437</v>
      </c>
      <c r="N59">
        <v>582</v>
      </c>
      <c r="O59">
        <v>727</v>
      </c>
    </row>
    <row r="60" spans="1:15" x14ac:dyDescent="0.2">
      <c r="A60" t="s">
        <v>55</v>
      </c>
      <c r="B60">
        <v>60</v>
      </c>
      <c r="C60">
        <v>92.3</v>
      </c>
      <c r="D60">
        <v>147</v>
      </c>
      <c r="E60">
        <v>196</v>
      </c>
      <c r="F60">
        <v>283</v>
      </c>
      <c r="G60">
        <v>387</v>
      </c>
      <c r="H60">
        <v>485</v>
      </c>
      <c r="I60">
        <v>854</v>
      </c>
      <c r="J60">
        <v>1210</v>
      </c>
      <c r="K60">
        <v>1550</v>
      </c>
      <c r="L60">
        <v>1880</v>
      </c>
      <c r="M60">
        <v>2210</v>
      </c>
      <c r="N60">
        <v>2870</v>
      </c>
      <c r="O60">
        <v>3510</v>
      </c>
    </row>
    <row r="61" spans="1:15" x14ac:dyDescent="0.2">
      <c r="A61" t="s">
        <v>183</v>
      </c>
      <c r="B61">
        <v>97.6</v>
      </c>
      <c r="C61">
        <v>156</v>
      </c>
      <c r="D61">
        <v>262</v>
      </c>
      <c r="E61">
        <v>358</v>
      </c>
      <c r="F61">
        <v>543</v>
      </c>
      <c r="G61">
        <v>765</v>
      </c>
      <c r="H61">
        <v>979</v>
      </c>
      <c r="I61">
        <v>1810</v>
      </c>
      <c r="J61">
        <v>2610</v>
      </c>
      <c r="K61">
        <v>3400</v>
      </c>
      <c r="L61">
        <v>4180</v>
      </c>
      <c r="M61">
        <v>4960</v>
      </c>
      <c r="N61">
        <v>6500</v>
      </c>
      <c r="O61">
        <v>8030</v>
      </c>
    </row>
    <row r="63" spans="1:15" x14ac:dyDescent="0.2">
      <c r="A63" t="s">
        <v>15</v>
      </c>
      <c r="B63">
        <f>B38*B53</f>
        <v>324.55730349786444</v>
      </c>
      <c r="C63">
        <f t="shared" ref="C63:O63" si="23">C38*C53</f>
        <v>363.50392313582267</v>
      </c>
      <c r="D63">
        <f t="shared" si="23"/>
        <v>692.21696865142167</v>
      </c>
      <c r="E63">
        <f t="shared" si="23"/>
        <v>692.21696865142167</v>
      </c>
      <c r="F63">
        <f t="shared" si="23"/>
        <v>692.21696865142167</v>
      </c>
      <c r="G63">
        <f t="shared" si="23"/>
        <v>1018.7140684164947</v>
      </c>
      <c r="H63">
        <f t="shared" si="23"/>
        <v>1018.7140684164947</v>
      </c>
      <c r="I63">
        <f t="shared" si="23"/>
        <v>1348.556451665715</v>
      </c>
      <c r="J63">
        <f t="shared" si="23"/>
        <v>1684.9939933460353</v>
      </c>
      <c r="K63">
        <f t="shared" si="23"/>
        <v>1684.9939933460353</v>
      </c>
      <c r="L63">
        <f t="shared" si="23"/>
        <v>2010.4067009953692</v>
      </c>
      <c r="M63">
        <f t="shared" si="23"/>
        <v>2010.4067009953692</v>
      </c>
      <c r="N63">
        <f t="shared" si="23"/>
        <v>2566.129665582735</v>
      </c>
      <c r="O63">
        <f t="shared" si="23"/>
        <v>2913.1659182601334</v>
      </c>
    </row>
    <row r="64" spans="1:15" x14ac:dyDescent="0.2">
      <c r="A64" t="s">
        <v>265</v>
      </c>
      <c r="B64">
        <f t="shared" ref="B64:O64" si="24">B54*B39</f>
        <v>423.9727272727273</v>
      </c>
      <c r="C64">
        <f t="shared" si="24"/>
        <v>461.13360323886639</v>
      </c>
      <c r="D64">
        <f t="shared" si="24"/>
        <v>838.20689655172418</v>
      </c>
      <c r="E64">
        <f t="shared" si="24"/>
        <v>839.49843260188095</v>
      </c>
      <c r="F64">
        <f t="shared" si="24"/>
        <v>840.78996865203771</v>
      </c>
      <c r="G64">
        <f t="shared" si="24"/>
        <v>1220.3267605633803</v>
      </c>
      <c r="H64">
        <f t="shared" si="24"/>
        <v>1222.8507042253523</v>
      </c>
      <c r="I64">
        <f t="shared" si="24"/>
        <v>1608.5608072225173</v>
      </c>
      <c r="J64">
        <f t="shared" si="24"/>
        <v>1992.9411764705878</v>
      </c>
      <c r="K64">
        <f t="shared" si="24"/>
        <v>1992.9411764705878</v>
      </c>
      <c r="L64">
        <f t="shared" si="24"/>
        <v>2377.2872908508371</v>
      </c>
      <c r="M64">
        <f t="shared" si="24"/>
        <v>2377.2872908508371</v>
      </c>
      <c r="N64">
        <f t="shared" si="24"/>
        <v>3387.5794621026894</v>
      </c>
      <c r="O64">
        <f t="shared" si="24"/>
        <v>3843.6626506024104</v>
      </c>
    </row>
    <row r="66" spans="1:15" x14ac:dyDescent="0.2">
      <c r="A66" t="s">
        <v>33</v>
      </c>
      <c r="B66">
        <v>724</v>
      </c>
      <c r="C66">
        <v>893</v>
      </c>
      <c r="D66">
        <v>1670</v>
      </c>
      <c r="E66">
        <v>2010</v>
      </c>
      <c r="F66">
        <v>2110</v>
      </c>
      <c r="G66">
        <v>3060</v>
      </c>
      <c r="H66">
        <v>3390</v>
      </c>
      <c r="I66">
        <v>5270</v>
      </c>
      <c r="J66">
        <v>7110</v>
      </c>
      <c r="K66">
        <v>8310</v>
      </c>
      <c r="L66">
        <v>10100</v>
      </c>
      <c r="M66">
        <v>11300</v>
      </c>
      <c r="N66">
        <v>14900</v>
      </c>
      <c r="O66">
        <v>17900</v>
      </c>
    </row>
    <row r="68" spans="1:15" x14ac:dyDescent="0.2">
      <c r="A68" t="s">
        <v>258</v>
      </c>
      <c r="B68">
        <f t="shared" ref="B68:O68" si="25">SUM(B59:B64)</f>
        <v>910.07003077059176</v>
      </c>
      <c r="C68">
        <f>SUM(C59:C64)</f>
        <v>1080.407526374689</v>
      </c>
      <c r="D68">
        <f t="shared" si="25"/>
        <v>1954.3238652031459</v>
      </c>
      <c r="E68">
        <f t="shared" si="25"/>
        <v>2108.1154012533025</v>
      </c>
      <c r="F68">
        <f t="shared" si="25"/>
        <v>2396.2069373034592</v>
      </c>
      <c r="G68">
        <f t="shared" si="25"/>
        <v>3446.3408289798745</v>
      </c>
      <c r="H68">
        <f t="shared" si="25"/>
        <v>3779.464772641847</v>
      </c>
      <c r="I68">
        <f t="shared" si="25"/>
        <v>5768.1172588882328</v>
      </c>
      <c r="J68">
        <f t="shared" si="25"/>
        <v>7716.9351698166229</v>
      </c>
      <c r="K68">
        <f t="shared" si="25"/>
        <v>8919.9351698166229</v>
      </c>
      <c r="L68">
        <f t="shared" si="25"/>
        <v>10812.693991846205</v>
      </c>
      <c r="M68">
        <f t="shared" si="25"/>
        <v>11994.693991846205</v>
      </c>
      <c r="N68">
        <f t="shared" si="25"/>
        <v>15905.709127685424</v>
      </c>
      <c r="O68">
        <f t="shared" si="25"/>
        <v>19023.828568862544</v>
      </c>
    </row>
    <row r="73" spans="1:15" x14ac:dyDescent="0.2">
      <c r="A73" t="s">
        <v>89</v>
      </c>
      <c r="B73">
        <v>5</v>
      </c>
      <c r="C73">
        <v>10</v>
      </c>
      <c r="D73">
        <v>20</v>
      </c>
      <c r="E73">
        <v>30</v>
      </c>
      <c r="F73">
        <v>50</v>
      </c>
      <c r="G73">
        <v>75</v>
      </c>
      <c r="H73">
        <v>100</v>
      </c>
      <c r="I73">
        <v>200</v>
      </c>
      <c r="J73">
        <v>300</v>
      </c>
      <c r="K73">
        <v>400</v>
      </c>
      <c r="L73">
        <v>500</v>
      </c>
      <c r="M73">
        <v>600</v>
      </c>
      <c r="N73">
        <v>800</v>
      </c>
      <c r="O73">
        <v>1000</v>
      </c>
    </row>
    <row r="74" spans="1:15" x14ac:dyDescent="0.2">
      <c r="A74" t="s">
        <v>30</v>
      </c>
      <c r="B74">
        <f>B59</f>
        <v>3.94</v>
      </c>
      <c r="C74">
        <f t="shared" ref="C74:O74" si="26">C59</f>
        <v>7.47</v>
      </c>
      <c r="D74">
        <f t="shared" si="26"/>
        <v>14.9</v>
      </c>
      <c r="E74">
        <f t="shared" si="26"/>
        <v>22.4</v>
      </c>
      <c r="F74">
        <f t="shared" si="26"/>
        <v>37.200000000000003</v>
      </c>
      <c r="G74">
        <f t="shared" si="26"/>
        <v>55.3</v>
      </c>
      <c r="H74">
        <f t="shared" si="26"/>
        <v>73.900000000000006</v>
      </c>
      <c r="I74">
        <f t="shared" si="26"/>
        <v>147</v>
      </c>
      <c r="J74">
        <f t="shared" si="26"/>
        <v>219</v>
      </c>
      <c r="K74">
        <f t="shared" si="26"/>
        <v>292</v>
      </c>
      <c r="L74">
        <f t="shared" si="26"/>
        <v>365</v>
      </c>
      <c r="M74">
        <f t="shared" si="26"/>
        <v>437</v>
      </c>
      <c r="N74">
        <f t="shared" si="26"/>
        <v>582</v>
      </c>
      <c r="O74">
        <f t="shared" si="26"/>
        <v>727</v>
      </c>
    </row>
    <row r="75" spans="1:15" x14ac:dyDescent="0.2">
      <c r="A75" t="s">
        <v>276</v>
      </c>
      <c r="B75">
        <f>B60+B61</f>
        <v>157.6</v>
      </c>
      <c r="C75">
        <f t="shared" ref="C75:D75" si="27">C60+C61</f>
        <v>248.3</v>
      </c>
      <c r="D75">
        <f t="shared" si="27"/>
        <v>409</v>
      </c>
      <c r="E75">
        <f>E60+E61</f>
        <v>554</v>
      </c>
      <c r="F75">
        <f>F60+F61</f>
        <v>826</v>
      </c>
      <c r="G75">
        <f t="shared" ref="G75:O75" si="28">G60+G61</f>
        <v>1152</v>
      </c>
      <c r="H75">
        <f t="shared" si="28"/>
        <v>1464</v>
      </c>
      <c r="I75">
        <f t="shared" si="28"/>
        <v>2664</v>
      </c>
      <c r="J75">
        <f t="shared" si="28"/>
        <v>3820</v>
      </c>
      <c r="K75">
        <f t="shared" si="28"/>
        <v>4950</v>
      </c>
      <c r="L75">
        <f t="shared" si="28"/>
        <v>6060</v>
      </c>
      <c r="M75">
        <f t="shared" si="28"/>
        <v>7170</v>
      </c>
      <c r="N75">
        <f t="shared" si="28"/>
        <v>9370</v>
      </c>
      <c r="O75">
        <f t="shared" si="28"/>
        <v>11540</v>
      </c>
    </row>
    <row r="76" spans="1:15" x14ac:dyDescent="0.2">
      <c r="A76" t="s">
        <v>277</v>
      </c>
      <c r="B76">
        <f>B63+B64</f>
        <v>748.53003077059179</v>
      </c>
      <c r="C76">
        <f>C63+C64</f>
        <v>824.63752637468906</v>
      </c>
      <c r="D76">
        <f t="shared" ref="D76:O76" si="29">D63+D64</f>
        <v>1530.4238652031459</v>
      </c>
      <c r="E76">
        <f t="shared" si="29"/>
        <v>1531.7154012533026</v>
      </c>
      <c r="F76">
        <f t="shared" si="29"/>
        <v>1533.0069373034594</v>
      </c>
      <c r="G76">
        <f t="shared" si="29"/>
        <v>2239.0408289798752</v>
      </c>
      <c r="H76">
        <f t="shared" si="29"/>
        <v>2241.564772641847</v>
      </c>
      <c r="I76">
        <f t="shared" si="29"/>
        <v>2957.1172588882323</v>
      </c>
      <c r="J76">
        <f t="shared" si="29"/>
        <v>3677.9351698166229</v>
      </c>
      <c r="K76">
        <f t="shared" si="29"/>
        <v>3677.9351698166229</v>
      </c>
      <c r="L76">
        <f t="shared" si="29"/>
        <v>4387.6939918462067</v>
      </c>
      <c r="M76">
        <f t="shared" si="29"/>
        <v>4387.6939918462067</v>
      </c>
      <c r="N76">
        <f t="shared" si="29"/>
        <v>5953.7091276854244</v>
      </c>
      <c r="O76">
        <f t="shared" si="29"/>
        <v>6756.8285688625438</v>
      </c>
    </row>
    <row r="82" spans="1:20" ht="15" thickBot="1" x14ac:dyDescent="0.25"/>
    <row r="83" spans="1:20" s="34" customFormat="1" ht="21" thickBot="1" x14ac:dyDescent="0.35">
      <c r="A83" s="53" t="s">
        <v>303</v>
      </c>
    </row>
    <row r="86" spans="1:20" x14ac:dyDescent="0.2">
      <c r="B86" t="s">
        <v>89</v>
      </c>
      <c r="C86" t="s">
        <v>384</v>
      </c>
      <c r="D86" t="s">
        <v>385</v>
      </c>
      <c r="E86" t="s">
        <v>386</v>
      </c>
      <c r="G86" t="s">
        <v>168</v>
      </c>
      <c r="H86" t="s">
        <v>388</v>
      </c>
    </row>
    <row r="87" spans="1:20" x14ac:dyDescent="0.2">
      <c r="B87">
        <v>5</v>
      </c>
      <c r="C87">
        <v>6</v>
      </c>
      <c r="D87">
        <f>C87*0.3</f>
        <v>1.7999999999999998</v>
      </c>
      <c r="E87">
        <f>D87*1000</f>
        <v>1799.9999999999998</v>
      </c>
      <c r="G87" t="s">
        <v>169</v>
      </c>
      <c r="H87">
        <f>Tankering!G17</f>
        <v>1</v>
      </c>
      <c r="J87">
        <f t="shared" ref="J87:J92" si="30">D87/H87</f>
        <v>1.7999999999999998</v>
      </c>
      <c r="R87" t="str">
        <f>Tankering!D44</f>
        <v>Tanker</v>
      </c>
    </row>
    <row r="88" spans="1:20" x14ac:dyDescent="0.2">
      <c r="B88">
        <v>10</v>
      </c>
      <c r="C88">
        <v>12</v>
      </c>
      <c r="D88">
        <f t="shared" ref="D88:D100" si="31">C88*0.3</f>
        <v>3.5999999999999996</v>
      </c>
      <c r="E88">
        <f t="shared" ref="E88:E100" si="32">D88*1000</f>
        <v>3599.9999999999995</v>
      </c>
      <c r="G88" t="s">
        <v>170</v>
      </c>
      <c r="H88">
        <f>Tankering!G18</f>
        <v>1</v>
      </c>
      <c r="J88">
        <f t="shared" si="30"/>
        <v>3.5999999999999996</v>
      </c>
      <c r="P88" t="str">
        <f>Tankering!B45</f>
        <v>Travel Distance (mi)</v>
      </c>
      <c r="Q88" t="str">
        <f>Tankering!C45</f>
        <v>Travel Distance (km)</v>
      </c>
      <c r="R88" t="str">
        <f>Tankering!D45</f>
        <v>3.5 - 7.5</v>
      </c>
      <c r="S88" t="str">
        <f>Tankering!E45</f>
        <v>7.5 - 16</v>
      </c>
      <c r="T88" t="str">
        <f>Tankering!F45</f>
        <v>16-32</v>
      </c>
    </row>
    <row r="89" spans="1:20" x14ac:dyDescent="0.2">
      <c r="B89">
        <v>20</v>
      </c>
      <c r="C89">
        <v>24</v>
      </c>
      <c r="D89">
        <f t="shared" si="31"/>
        <v>7.1999999999999993</v>
      </c>
      <c r="E89">
        <f t="shared" si="32"/>
        <v>7199.9999999999991</v>
      </c>
      <c r="G89" t="s">
        <v>170</v>
      </c>
      <c r="H89">
        <f>Tankering!G19</f>
        <v>1</v>
      </c>
      <c r="J89">
        <f>D89/H89</f>
        <v>7.1999999999999993</v>
      </c>
      <c r="P89">
        <f>Tankering!B46</f>
        <v>5</v>
      </c>
      <c r="Q89">
        <f>Tankering!C46</f>
        <v>8</v>
      </c>
      <c r="R89">
        <f>Tankering!D46</f>
        <v>31.754999999999999</v>
      </c>
      <c r="S89">
        <f>Tankering!E46</f>
        <v>26.37</v>
      </c>
      <c r="T89">
        <f>Tankering!F46</f>
        <v>43.648000000000003</v>
      </c>
    </row>
    <row r="90" spans="1:20" x14ac:dyDescent="0.2">
      <c r="B90">
        <v>30</v>
      </c>
      <c r="C90">
        <v>36</v>
      </c>
      <c r="D90">
        <f t="shared" si="31"/>
        <v>10.799999999999999</v>
      </c>
      <c r="E90">
        <f t="shared" si="32"/>
        <v>10799.999999999998</v>
      </c>
      <c r="G90" t="s">
        <v>387</v>
      </c>
      <c r="H90">
        <f>Tankering!G20</f>
        <v>1</v>
      </c>
      <c r="J90">
        <f t="shared" si="30"/>
        <v>10.799999999999999</v>
      </c>
      <c r="P90">
        <f>Tankering!B47</f>
        <v>10</v>
      </c>
      <c r="Q90">
        <f>Tankering!C47</f>
        <v>16</v>
      </c>
      <c r="R90">
        <f>Tankering!D47</f>
        <v>63.51</v>
      </c>
      <c r="S90">
        <f>Tankering!E47</f>
        <v>52.74</v>
      </c>
      <c r="T90">
        <f>Tankering!F47</f>
        <v>87.296000000000006</v>
      </c>
    </row>
    <row r="91" spans="1:20" x14ac:dyDescent="0.2">
      <c r="B91">
        <v>50</v>
      </c>
      <c r="C91">
        <v>60</v>
      </c>
      <c r="D91">
        <f t="shared" si="31"/>
        <v>18</v>
      </c>
      <c r="E91">
        <f t="shared" si="32"/>
        <v>18000</v>
      </c>
      <c r="G91" t="s">
        <v>387</v>
      </c>
      <c r="H91">
        <f>Tankering!G21</f>
        <v>1</v>
      </c>
      <c r="J91">
        <f t="shared" si="30"/>
        <v>18</v>
      </c>
      <c r="P91">
        <f>Tankering!B48</f>
        <v>20</v>
      </c>
      <c r="Q91">
        <f>Tankering!C48</f>
        <v>32</v>
      </c>
      <c r="R91">
        <f>Tankering!D48</f>
        <v>127.02</v>
      </c>
      <c r="S91">
        <f>Tankering!E48</f>
        <v>105.48</v>
      </c>
      <c r="T91">
        <f>Tankering!F48</f>
        <v>174.59200000000001</v>
      </c>
    </row>
    <row r="92" spans="1:20" x14ac:dyDescent="0.2">
      <c r="B92">
        <v>75</v>
      </c>
      <c r="C92">
        <v>90</v>
      </c>
      <c r="D92">
        <f t="shared" si="31"/>
        <v>27</v>
      </c>
      <c r="E92">
        <f t="shared" si="32"/>
        <v>27000</v>
      </c>
      <c r="G92" t="s">
        <v>387</v>
      </c>
      <c r="H92">
        <f>Tankering!G22</f>
        <v>2</v>
      </c>
      <c r="J92">
        <f t="shared" si="30"/>
        <v>13.5</v>
      </c>
      <c r="P92">
        <f>Tankering!B49</f>
        <v>30</v>
      </c>
      <c r="Q92">
        <f>Tankering!C49</f>
        <v>48</v>
      </c>
      <c r="R92">
        <f>Tankering!D49</f>
        <v>190.53</v>
      </c>
      <c r="S92">
        <f>Tankering!E49</f>
        <v>158.22</v>
      </c>
      <c r="T92">
        <f>Tankering!F49</f>
        <v>261.88800000000003</v>
      </c>
    </row>
    <row r="93" spans="1:20" x14ac:dyDescent="0.2">
      <c r="B93">
        <v>100</v>
      </c>
      <c r="C93">
        <v>120</v>
      </c>
      <c r="D93">
        <f t="shared" si="31"/>
        <v>36</v>
      </c>
      <c r="E93">
        <f t="shared" si="32"/>
        <v>36000</v>
      </c>
      <c r="G93" t="s">
        <v>387</v>
      </c>
      <c r="H93">
        <f>Tankering!G23</f>
        <v>2</v>
      </c>
      <c r="J93">
        <f>D93/H93</f>
        <v>18</v>
      </c>
      <c r="P93">
        <f>Tankering!B50</f>
        <v>40</v>
      </c>
      <c r="Q93">
        <f>Tankering!C50</f>
        <v>64</v>
      </c>
      <c r="R93">
        <f>Tankering!D50</f>
        <v>254.04</v>
      </c>
      <c r="S93">
        <f>Tankering!E50</f>
        <v>210.96</v>
      </c>
      <c r="T93">
        <f>Tankering!F50</f>
        <v>349.18400000000003</v>
      </c>
    </row>
    <row r="94" spans="1:20" x14ac:dyDescent="0.2">
      <c r="B94">
        <v>200</v>
      </c>
      <c r="C94">
        <v>240</v>
      </c>
      <c r="D94">
        <f t="shared" si="31"/>
        <v>72</v>
      </c>
      <c r="E94">
        <f t="shared" si="32"/>
        <v>72000</v>
      </c>
      <c r="G94" t="s">
        <v>387</v>
      </c>
      <c r="H94">
        <f>Tankering!G25</f>
        <v>4</v>
      </c>
      <c r="J94">
        <f>D94/H94</f>
        <v>18</v>
      </c>
      <c r="P94">
        <f>Tankering!B51</f>
        <v>50</v>
      </c>
      <c r="Q94">
        <f>Tankering!C51</f>
        <v>80</v>
      </c>
      <c r="R94">
        <f>Tankering!D51</f>
        <v>317.55</v>
      </c>
      <c r="S94">
        <f>Tankering!E51</f>
        <v>263.7</v>
      </c>
      <c r="T94">
        <f>Tankering!F51</f>
        <v>436.48</v>
      </c>
    </row>
    <row r="95" spans="1:20" x14ac:dyDescent="0.2">
      <c r="B95">
        <v>300</v>
      </c>
      <c r="C95">
        <v>360</v>
      </c>
      <c r="D95">
        <f t="shared" si="31"/>
        <v>108</v>
      </c>
      <c r="E95">
        <f t="shared" si="32"/>
        <v>108000</v>
      </c>
      <c r="G95" t="s">
        <v>387</v>
      </c>
      <c r="H95">
        <f>Tankering!G26</f>
        <v>6</v>
      </c>
      <c r="J95">
        <f t="shared" ref="J95:J99" si="33">D95/H95</f>
        <v>18</v>
      </c>
      <c r="P95">
        <f>Tankering!B52</f>
        <v>60</v>
      </c>
      <c r="Q95">
        <f>Tankering!C52</f>
        <v>96</v>
      </c>
      <c r="R95">
        <f>Tankering!D52</f>
        <v>381.06</v>
      </c>
      <c r="S95">
        <f>Tankering!E52</f>
        <v>316.44</v>
      </c>
      <c r="T95">
        <f>Tankering!F52</f>
        <v>523.77600000000007</v>
      </c>
    </row>
    <row r="96" spans="1:20" x14ac:dyDescent="0.2">
      <c r="B96">
        <v>400</v>
      </c>
      <c r="C96">
        <v>480</v>
      </c>
      <c r="D96">
        <f t="shared" si="31"/>
        <v>144</v>
      </c>
      <c r="E96">
        <f t="shared" si="32"/>
        <v>144000</v>
      </c>
      <c r="G96" t="s">
        <v>387</v>
      </c>
      <c r="H96">
        <f>Tankering!G27</f>
        <v>8</v>
      </c>
      <c r="J96">
        <f t="shared" si="33"/>
        <v>18</v>
      </c>
      <c r="P96">
        <f>Tankering!B53</f>
        <v>70</v>
      </c>
      <c r="Q96">
        <f>Tankering!C53</f>
        <v>112</v>
      </c>
      <c r="R96">
        <f>Tankering!D53</f>
        <v>444.57</v>
      </c>
      <c r="S96">
        <f>Tankering!E53</f>
        <v>369.18</v>
      </c>
      <c r="T96">
        <f>Tankering!F53</f>
        <v>611.072</v>
      </c>
    </row>
    <row r="97" spans="2:26" x14ac:dyDescent="0.2">
      <c r="B97">
        <v>500</v>
      </c>
      <c r="C97">
        <v>600</v>
      </c>
      <c r="D97">
        <f t="shared" si="31"/>
        <v>180</v>
      </c>
      <c r="E97">
        <f t="shared" si="32"/>
        <v>180000</v>
      </c>
      <c r="G97" t="s">
        <v>387</v>
      </c>
      <c r="H97">
        <f>Tankering!G28</f>
        <v>10</v>
      </c>
      <c r="J97">
        <f t="shared" si="33"/>
        <v>18</v>
      </c>
      <c r="P97">
        <f>Tankering!B54</f>
        <v>80</v>
      </c>
      <c r="Q97">
        <f>Tankering!C54</f>
        <v>128</v>
      </c>
      <c r="R97">
        <f>Tankering!D54</f>
        <v>508.08</v>
      </c>
      <c r="S97">
        <f>Tankering!E54</f>
        <v>421.92</v>
      </c>
      <c r="T97">
        <f>Tankering!F54</f>
        <v>698.36800000000005</v>
      </c>
    </row>
    <row r="98" spans="2:26" x14ac:dyDescent="0.2">
      <c r="B98">
        <v>600</v>
      </c>
      <c r="C98">
        <v>720</v>
      </c>
      <c r="D98">
        <f t="shared" si="31"/>
        <v>216</v>
      </c>
      <c r="E98">
        <f t="shared" si="32"/>
        <v>216000</v>
      </c>
      <c r="G98" t="s">
        <v>387</v>
      </c>
      <c r="H98">
        <f>Tankering!G29</f>
        <v>12</v>
      </c>
      <c r="J98">
        <f t="shared" si="33"/>
        <v>18</v>
      </c>
    </row>
    <row r="99" spans="2:26" x14ac:dyDescent="0.2">
      <c r="B99">
        <v>800</v>
      </c>
      <c r="C99">
        <v>960</v>
      </c>
      <c r="D99">
        <f t="shared" si="31"/>
        <v>288</v>
      </c>
      <c r="E99">
        <f t="shared" si="32"/>
        <v>288000</v>
      </c>
      <c r="G99" t="s">
        <v>387</v>
      </c>
      <c r="H99">
        <f>Tankering!G30</f>
        <v>16</v>
      </c>
      <c r="J99">
        <f t="shared" si="33"/>
        <v>18</v>
      </c>
    </row>
    <row r="100" spans="2:26" x14ac:dyDescent="0.2">
      <c r="B100">
        <v>1000</v>
      </c>
      <c r="C100">
        <v>1200</v>
      </c>
      <c r="D100">
        <f t="shared" si="31"/>
        <v>360</v>
      </c>
      <c r="E100">
        <f t="shared" si="32"/>
        <v>360000</v>
      </c>
      <c r="G100" t="s">
        <v>387</v>
      </c>
      <c r="H100">
        <f>Tankering!G31</f>
        <v>20</v>
      </c>
      <c r="J100">
        <f>D100/H100</f>
        <v>18</v>
      </c>
      <c r="Q100" t="str">
        <f t="shared" ref="Q100:S100" si="34">R88</f>
        <v>3.5 - 7.5</v>
      </c>
      <c r="R100" t="str">
        <f t="shared" si="34"/>
        <v>7.5 - 16</v>
      </c>
      <c r="S100" t="str">
        <f t="shared" si="34"/>
        <v>16-32</v>
      </c>
    </row>
    <row r="101" spans="2:26" x14ac:dyDescent="0.2">
      <c r="Q101">
        <f>Tankering!C8</f>
        <v>0.52925</v>
      </c>
      <c r="R101">
        <f>Tankering!D8</f>
        <v>0.21975</v>
      </c>
      <c r="S101">
        <f>Tankering!E8</f>
        <v>0.17050000000000001</v>
      </c>
    </row>
    <row r="102" spans="2:26" x14ac:dyDescent="0.2">
      <c r="B102" t="s">
        <v>534</v>
      </c>
      <c r="P102" t="s">
        <v>537</v>
      </c>
      <c r="Q102">
        <v>7.5</v>
      </c>
      <c r="R102">
        <v>15</v>
      </c>
      <c r="S102">
        <v>32</v>
      </c>
    </row>
    <row r="103" spans="2:26" x14ac:dyDescent="0.2">
      <c r="F103" t="s">
        <v>544</v>
      </c>
    </row>
    <row r="104" spans="2:26" ht="15" x14ac:dyDescent="0.25">
      <c r="F104" s="1" t="s">
        <v>543</v>
      </c>
      <c r="G104" s="1"/>
      <c r="H104" s="1"/>
      <c r="I104" s="1"/>
      <c r="J104" s="1"/>
      <c r="K104" s="1"/>
      <c r="L104" s="1"/>
      <c r="M104" s="1"/>
    </row>
    <row r="105" spans="2:26" ht="15" x14ac:dyDescent="0.25">
      <c r="C105" t="s">
        <v>542</v>
      </c>
      <c r="F105" s="1">
        <f>1/7</f>
        <v>0.14285714285714285</v>
      </c>
      <c r="G105" s="1">
        <f>1/6</f>
        <v>0.16666666666666666</v>
      </c>
      <c r="H105" s="1">
        <f>1/5</f>
        <v>0.2</v>
      </c>
      <c r="I105" s="1">
        <f>1/4</f>
        <v>0.25</v>
      </c>
      <c r="J105" s="1">
        <f>1/3</f>
        <v>0.33333333333333331</v>
      </c>
      <c r="K105" s="1">
        <f>1/2</f>
        <v>0.5</v>
      </c>
      <c r="L105" s="1">
        <f>1</f>
        <v>1</v>
      </c>
      <c r="M105" s="1">
        <f>2/1</f>
        <v>2</v>
      </c>
    </row>
    <row r="106" spans="2:26" ht="15" x14ac:dyDescent="0.25">
      <c r="B106" s="92">
        <v>5</v>
      </c>
      <c r="C106">
        <v>5</v>
      </c>
      <c r="D106">
        <f>Y107</f>
        <v>37.767840246849374</v>
      </c>
      <c r="F106">
        <f>$D106*F$105</f>
        <v>5.3954057495499104</v>
      </c>
      <c r="G106">
        <f t="shared" ref="G106:M121" si="35">$D106*G$105</f>
        <v>6.2946400411415624</v>
      </c>
      <c r="H106">
        <f t="shared" si="35"/>
        <v>7.5535680493698756</v>
      </c>
      <c r="I106">
        <f t="shared" si="35"/>
        <v>9.4419600617123436</v>
      </c>
      <c r="J106">
        <f t="shared" si="35"/>
        <v>12.589280082283125</v>
      </c>
      <c r="K106">
        <f t="shared" si="35"/>
        <v>18.883920123424687</v>
      </c>
      <c r="L106">
        <f t="shared" si="35"/>
        <v>37.767840246849374</v>
      </c>
      <c r="M106">
        <f t="shared" si="35"/>
        <v>75.535680493698749</v>
      </c>
      <c r="Q106" t="s">
        <v>539</v>
      </c>
      <c r="R106" t="s">
        <v>540</v>
      </c>
      <c r="S106" t="s">
        <v>541</v>
      </c>
      <c r="U106" t="s">
        <v>535</v>
      </c>
      <c r="V106" t="s">
        <v>536</v>
      </c>
      <c r="W106" s="1"/>
      <c r="Y106" s="1" t="s">
        <v>538</v>
      </c>
      <c r="Z106" s="1"/>
    </row>
    <row r="107" spans="2:26" x14ac:dyDescent="0.2">
      <c r="B107" s="92"/>
      <c r="C107">
        <v>10</v>
      </c>
      <c r="D107">
        <f>Y108</f>
        <v>75.535680493698749</v>
      </c>
      <c r="F107">
        <f>$D107*F$105</f>
        <v>10.790811499099821</v>
      </c>
      <c r="G107">
        <f t="shared" si="35"/>
        <v>12.589280082283125</v>
      </c>
      <c r="H107">
        <f t="shared" si="35"/>
        <v>15.107136098739751</v>
      </c>
      <c r="I107">
        <f t="shared" si="35"/>
        <v>18.883920123424687</v>
      </c>
      <c r="J107">
        <f t="shared" si="35"/>
        <v>25.17856016456625</v>
      </c>
      <c r="K107">
        <f t="shared" si="35"/>
        <v>37.767840246849374</v>
      </c>
      <c r="L107">
        <f t="shared" si="35"/>
        <v>75.535680493698749</v>
      </c>
      <c r="M107">
        <f t="shared" si="35"/>
        <v>151.0713609873975</v>
      </c>
      <c r="P107" s="105">
        <v>5</v>
      </c>
      <c r="Q107">
        <v>5</v>
      </c>
      <c r="R107">
        <f>1.60934*Q107*($D$87+$Q$102)</f>
        <v>74.834310000000002</v>
      </c>
      <c r="S107">
        <f>$H$87</f>
        <v>1</v>
      </c>
      <c r="U107">
        <f t="shared" ref="U107:U115" si="36">R89</f>
        <v>31.754999999999999</v>
      </c>
      <c r="V107">
        <f>R107*$Q$101</f>
        <v>39.6060585675</v>
      </c>
      <c r="W107">
        <f>V107*S107</f>
        <v>39.6060585675</v>
      </c>
      <c r="Y107">
        <f>(U107+V107)*$Q$101</f>
        <v>37.767840246849374</v>
      </c>
    </row>
    <row r="108" spans="2:26" ht="15" x14ac:dyDescent="0.25">
      <c r="B108" s="92"/>
      <c r="C108">
        <v>20</v>
      </c>
      <c r="D108">
        <f t="shared" ref="D108:D170" si="37">Y109</f>
        <v>151.0713609873975</v>
      </c>
      <c r="F108" s="1">
        <f t="shared" ref="F108:M138" si="38">$D108*F$105</f>
        <v>21.581622998199641</v>
      </c>
      <c r="G108">
        <f t="shared" si="35"/>
        <v>25.17856016456625</v>
      </c>
      <c r="H108">
        <f t="shared" si="35"/>
        <v>30.214272197479502</v>
      </c>
      <c r="I108">
        <f t="shared" si="35"/>
        <v>37.767840246849374</v>
      </c>
      <c r="J108">
        <f t="shared" si="35"/>
        <v>50.357120329132499</v>
      </c>
      <c r="K108">
        <f t="shared" si="35"/>
        <v>75.535680493698749</v>
      </c>
      <c r="L108">
        <f t="shared" si="35"/>
        <v>151.0713609873975</v>
      </c>
      <c r="M108">
        <f t="shared" si="35"/>
        <v>302.14272197479499</v>
      </c>
      <c r="P108" s="105"/>
      <c r="Q108">
        <v>10</v>
      </c>
      <c r="R108">
        <f>1.60934*Q108*($D$87+$Q$102)</f>
        <v>149.66862</v>
      </c>
      <c r="S108">
        <f t="shared" ref="S108:S151" si="39">$H$87</f>
        <v>1</v>
      </c>
      <c r="U108">
        <f t="shared" si="36"/>
        <v>63.51</v>
      </c>
      <c r="V108">
        <f t="shared" ref="V108:V115" si="40">R108*$Q$101</f>
        <v>79.212117135</v>
      </c>
      <c r="W108">
        <f t="shared" ref="W108:W171" si="41">V108*S108</f>
        <v>79.212117135</v>
      </c>
      <c r="Y108">
        <f t="shared" ref="Y108:Y115" si="42">(U108+V108)*$Q$101</f>
        <v>75.535680493698749</v>
      </c>
    </row>
    <row r="109" spans="2:26" x14ac:dyDescent="0.2">
      <c r="B109" s="92"/>
      <c r="C109">
        <v>30</v>
      </c>
      <c r="D109">
        <f t="shared" si="37"/>
        <v>226.60704148109625</v>
      </c>
      <c r="F109">
        <f t="shared" si="38"/>
        <v>32.372434497299459</v>
      </c>
      <c r="G109">
        <f t="shared" si="35"/>
        <v>37.767840246849374</v>
      </c>
      <c r="H109">
        <f t="shared" si="35"/>
        <v>45.321408296219253</v>
      </c>
      <c r="I109">
        <f t="shared" si="35"/>
        <v>56.651760370274062</v>
      </c>
      <c r="J109">
        <f t="shared" si="35"/>
        <v>75.535680493698749</v>
      </c>
      <c r="K109">
        <f t="shared" si="35"/>
        <v>113.30352074054812</v>
      </c>
      <c r="L109">
        <f t="shared" si="35"/>
        <v>226.60704148109625</v>
      </c>
      <c r="M109">
        <f t="shared" si="35"/>
        <v>453.21408296219249</v>
      </c>
      <c r="P109" s="105"/>
      <c r="Q109">
        <v>20</v>
      </c>
      <c r="R109">
        <f t="shared" ref="R109:R115" si="43">1.60934*Q109*($D$87+$Q$102)</f>
        <v>299.33724000000001</v>
      </c>
      <c r="S109">
        <f t="shared" si="39"/>
        <v>1</v>
      </c>
      <c r="U109">
        <f t="shared" si="36"/>
        <v>127.02</v>
      </c>
      <c r="V109">
        <f t="shared" si="40"/>
        <v>158.42423427</v>
      </c>
      <c r="W109">
        <f t="shared" si="41"/>
        <v>158.42423427</v>
      </c>
      <c r="Y109">
        <f t="shared" si="42"/>
        <v>151.0713609873975</v>
      </c>
    </row>
    <row r="110" spans="2:26" x14ac:dyDescent="0.2">
      <c r="B110" s="92"/>
      <c r="C110">
        <v>40</v>
      </c>
      <c r="D110">
        <f t="shared" si="37"/>
        <v>302.14272197479499</v>
      </c>
      <c r="F110">
        <f>$D110*F$105</f>
        <v>43.163245996399283</v>
      </c>
      <c r="G110">
        <f t="shared" si="35"/>
        <v>50.357120329132499</v>
      </c>
      <c r="H110">
        <f t="shared" si="35"/>
        <v>60.428544394959005</v>
      </c>
      <c r="I110">
        <f t="shared" si="35"/>
        <v>75.535680493698749</v>
      </c>
      <c r="J110">
        <f t="shared" si="35"/>
        <v>100.714240658265</v>
      </c>
      <c r="K110">
        <f t="shared" si="35"/>
        <v>151.0713609873975</v>
      </c>
      <c r="L110">
        <f t="shared" si="35"/>
        <v>302.14272197479499</v>
      </c>
      <c r="M110">
        <f t="shared" si="35"/>
        <v>604.28544394958999</v>
      </c>
      <c r="P110" s="105"/>
      <c r="Q110">
        <v>30</v>
      </c>
      <c r="R110">
        <f t="shared" si="43"/>
        <v>449.00586000000004</v>
      </c>
      <c r="S110">
        <f t="shared" si="39"/>
        <v>1</v>
      </c>
      <c r="U110">
        <f t="shared" si="36"/>
        <v>190.53</v>
      </c>
      <c r="V110">
        <f t="shared" si="40"/>
        <v>237.63635140500003</v>
      </c>
      <c r="W110">
        <f t="shared" si="41"/>
        <v>237.63635140500003</v>
      </c>
      <c r="Y110">
        <f t="shared" si="42"/>
        <v>226.60704148109625</v>
      </c>
    </row>
    <row r="111" spans="2:26" x14ac:dyDescent="0.2">
      <c r="B111" s="92"/>
      <c r="C111">
        <v>50</v>
      </c>
      <c r="D111">
        <f t="shared" si="37"/>
        <v>377.67840246849374</v>
      </c>
      <c r="F111">
        <f t="shared" si="38"/>
        <v>53.9540574954991</v>
      </c>
      <c r="G111">
        <f t="shared" si="35"/>
        <v>62.946400411415624</v>
      </c>
      <c r="H111">
        <f t="shared" si="35"/>
        <v>75.535680493698749</v>
      </c>
      <c r="I111">
        <f t="shared" si="35"/>
        <v>94.419600617123436</v>
      </c>
      <c r="J111">
        <f t="shared" si="35"/>
        <v>125.89280082283125</v>
      </c>
      <c r="K111">
        <f t="shared" si="35"/>
        <v>188.83920123424687</v>
      </c>
      <c r="L111">
        <f t="shared" si="35"/>
        <v>377.67840246849374</v>
      </c>
      <c r="M111">
        <f t="shared" si="35"/>
        <v>755.35680493698749</v>
      </c>
      <c r="P111" s="105"/>
      <c r="Q111">
        <v>40</v>
      </c>
      <c r="R111">
        <f t="shared" si="43"/>
        <v>598.67448000000002</v>
      </c>
      <c r="S111">
        <f t="shared" si="39"/>
        <v>1</v>
      </c>
      <c r="U111">
        <f t="shared" si="36"/>
        <v>254.04</v>
      </c>
      <c r="V111">
        <f t="shared" si="40"/>
        <v>316.84846854</v>
      </c>
      <c r="W111">
        <f t="shared" si="41"/>
        <v>316.84846854</v>
      </c>
      <c r="Y111">
        <f t="shared" si="42"/>
        <v>302.14272197479499</v>
      </c>
    </row>
    <row r="112" spans="2:26" x14ac:dyDescent="0.2">
      <c r="B112" s="92"/>
      <c r="C112">
        <v>60</v>
      </c>
      <c r="D112">
        <f t="shared" si="37"/>
        <v>453.21408296219249</v>
      </c>
      <c r="F112">
        <f t="shared" si="38"/>
        <v>64.744868994598917</v>
      </c>
      <c r="G112">
        <f t="shared" si="35"/>
        <v>75.535680493698749</v>
      </c>
      <c r="H112">
        <f t="shared" si="35"/>
        <v>90.642816592438507</v>
      </c>
      <c r="I112">
        <f t="shared" si="35"/>
        <v>113.30352074054812</v>
      </c>
      <c r="J112">
        <f t="shared" si="35"/>
        <v>151.0713609873975</v>
      </c>
      <c r="K112">
        <f t="shared" si="35"/>
        <v>226.60704148109625</v>
      </c>
      <c r="L112">
        <f t="shared" si="35"/>
        <v>453.21408296219249</v>
      </c>
      <c r="M112">
        <f t="shared" si="35"/>
        <v>906.42816592438498</v>
      </c>
      <c r="P112" s="105"/>
      <c r="Q112">
        <v>50</v>
      </c>
      <c r="R112">
        <f t="shared" si="43"/>
        <v>748.34310000000005</v>
      </c>
      <c r="S112">
        <f t="shared" si="39"/>
        <v>1</v>
      </c>
      <c r="U112">
        <f t="shared" si="36"/>
        <v>317.55</v>
      </c>
      <c r="V112">
        <f t="shared" si="40"/>
        <v>396.06058567500003</v>
      </c>
      <c r="W112">
        <f t="shared" si="41"/>
        <v>396.06058567500003</v>
      </c>
      <c r="Y112">
        <f t="shared" si="42"/>
        <v>377.67840246849374</v>
      </c>
    </row>
    <row r="113" spans="2:25" x14ac:dyDescent="0.2">
      <c r="B113" s="92"/>
      <c r="C113">
        <v>70</v>
      </c>
      <c r="D113">
        <f t="shared" si="37"/>
        <v>528.74976345589118</v>
      </c>
      <c r="F113">
        <f t="shared" si="38"/>
        <v>75.535680493698734</v>
      </c>
      <c r="G113">
        <f t="shared" si="35"/>
        <v>88.124960575981859</v>
      </c>
      <c r="H113">
        <f t="shared" si="35"/>
        <v>105.74995269117824</v>
      </c>
      <c r="I113">
        <f t="shared" si="35"/>
        <v>132.1874408639728</v>
      </c>
      <c r="J113">
        <f t="shared" si="35"/>
        <v>176.24992115196372</v>
      </c>
      <c r="K113">
        <f t="shared" si="35"/>
        <v>264.37488172794559</v>
      </c>
      <c r="L113">
        <f t="shared" si="35"/>
        <v>528.74976345589118</v>
      </c>
      <c r="M113">
        <f t="shared" si="35"/>
        <v>1057.4995269117824</v>
      </c>
      <c r="P113" s="105"/>
      <c r="Q113">
        <v>60</v>
      </c>
      <c r="R113">
        <f t="shared" si="43"/>
        <v>898.01172000000008</v>
      </c>
      <c r="S113">
        <f t="shared" si="39"/>
        <v>1</v>
      </c>
      <c r="U113">
        <f t="shared" si="36"/>
        <v>381.06</v>
      </c>
      <c r="V113">
        <f t="shared" si="40"/>
        <v>475.27270281000006</v>
      </c>
      <c r="W113">
        <f t="shared" si="41"/>
        <v>475.27270281000006</v>
      </c>
      <c r="Y113">
        <f t="shared" si="42"/>
        <v>453.21408296219249</v>
      </c>
    </row>
    <row r="114" spans="2:25" x14ac:dyDescent="0.2">
      <c r="B114" s="92"/>
      <c r="C114">
        <v>80</v>
      </c>
      <c r="D114">
        <f t="shared" si="37"/>
        <v>604.28544394958999</v>
      </c>
      <c r="F114">
        <f t="shared" si="38"/>
        <v>86.326491992798566</v>
      </c>
      <c r="G114">
        <f t="shared" si="35"/>
        <v>100.714240658265</v>
      </c>
      <c r="H114">
        <f t="shared" si="35"/>
        <v>120.85708878991801</v>
      </c>
      <c r="I114">
        <f t="shared" si="35"/>
        <v>151.0713609873975</v>
      </c>
      <c r="J114">
        <f t="shared" si="35"/>
        <v>201.42848131653</v>
      </c>
      <c r="K114">
        <f t="shared" si="35"/>
        <v>302.14272197479499</v>
      </c>
      <c r="L114">
        <f t="shared" si="35"/>
        <v>604.28544394958999</v>
      </c>
      <c r="M114">
        <f t="shared" si="35"/>
        <v>1208.57088789918</v>
      </c>
      <c r="P114" s="105"/>
      <c r="Q114">
        <v>70</v>
      </c>
      <c r="R114">
        <f t="shared" si="43"/>
        <v>1047.6803400000001</v>
      </c>
      <c r="S114">
        <f t="shared" si="39"/>
        <v>1</v>
      </c>
      <c r="U114">
        <f t="shared" si="36"/>
        <v>444.57</v>
      </c>
      <c r="V114">
        <f t="shared" si="40"/>
        <v>554.48481994500003</v>
      </c>
      <c r="W114">
        <f t="shared" si="41"/>
        <v>554.48481994500003</v>
      </c>
      <c r="Y114">
        <f t="shared" si="42"/>
        <v>528.74976345589118</v>
      </c>
    </row>
    <row r="115" spans="2:25" x14ac:dyDescent="0.2">
      <c r="B115" s="92">
        <v>10</v>
      </c>
      <c r="C115">
        <v>5</v>
      </c>
      <c r="D115">
        <f t="shared" si="37"/>
        <v>13.02231451408875</v>
      </c>
      <c r="F115">
        <f t="shared" si="38"/>
        <v>1.8603306448698214</v>
      </c>
      <c r="G115">
        <f t="shared" si="35"/>
        <v>2.1703857523481247</v>
      </c>
      <c r="H115">
        <f t="shared" si="35"/>
        <v>2.6044629028177502</v>
      </c>
      <c r="I115">
        <f t="shared" si="35"/>
        <v>3.2555786285221875</v>
      </c>
      <c r="J115">
        <f t="shared" si="35"/>
        <v>4.3407715046962494</v>
      </c>
      <c r="K115">
        <f t="shared" si="35"/>
        <v>6.511157257044375</v>
      </c>
      <c r="L115">
        <f t="shared" si="35"/>
        <v>13.02231451408875</v>
      </c>
      <c r="M115">
        <f t="shared" si="35"/>
        <v>26.0446290281775</v>
      </c>
      <c r="P115" s="105"/>
      <c r="Q115">
        <v>80</v>
      </c>
      <c r="R115">
        <f t="shared" si="43"/>
        <v>1197.34896</v>
      </c>
      <c r="S115">
        <f t="shared" si="39"/>
        <v>1</v>
      </c>
      <c r="U115">
        <f t="shared" si="36"/>
        <v>508.08</v>
      </c>
      <c r="V115">
        <f t="shared" si="40"/>
        <v>633.69693708</v>
      </c>
      <c r="W115">
        <f t="shared" si="41"/>
        <v>633.69693708</v>
      </c>
      <c r="Y115">
        <f t="shared" si="42"/>
        <v>604.28544394958999</v>
      </c>
    </row>
    <row r="116" spans="2:25" x14ac:dyDescent="0.2">
      <c r="B116" s="92"/>
      <c r="C116">
        <v>10</v>
      </c>
      <c r="D116">
        <f t="shared" si="37"/>
        <v>26.0446290281775</v>
      </c>
      <c r="F116">
        <f t="shared" si="38"/>
        <v>3.7206612897396427</v>
      </c>
      <c r="G116">
        <f t="shared" si="35"/>
        <v>4.3407715046962494</v>
      </c>
      <c r="H116">
        <f t="shared" si="35"/>
        <v>5.2089258056355003</v>
      </c>
      <c r="I116">
        <f t="shared" si="35"/>
        <v>6.511157257044375</v>
      </c>
      <c r="J116">
        <f t="shared" si="35"/>
        <v>8.6815430093924988</v>
      </c>
      <c r="K116">
        <f t="shared" si="35"/>
        <v>13.02231451408875</v>
      </c>
      <c r="L116">
        <f t="shared" si="35"/>
        <v>26.0446290281775</v>
      </c>
      <c r="M116">
        <f t="shared" si="35"/>
        <v>52.089258056355</v>
      </c>
      <c r="P116" s="105">
        <v>10</v>
      </c>
      <c r="Q116">
        <v>5</v>
      </c>
      <c r="R116">
        <f>1.60934*Q116*($D$88+$R$102)</f>
        <v>149.66862</v>
      </c>
      <c r="S116">
        <f t="shared" si="39"/>
        <v>1</v>
      </c>
      <c r="U116">
        <f t="shared" ref="U116:U124" si="44">S89</f>
        <v>26.37</v>
      </c>
      <c r="V116">
        <f>R116*$R$101</f>
        <v>32.889679245000004</v>
      </c>
      <c r="W116">
        <f t="shared" si="41"/>
        <v>32.889679245000004</v>
      </c>
      <c r="Y116">
        <f>(U116+V116)*$R$101</f>
        <v>13.02231451408875</v>
      </c>
    </row>
    <row r="117" spans="2:25" ht="15" x14ac:dyDescent="0.25">
      <c r="B117" s="92"/>
      <c r="C117">
        <v>20</v>
      </c>
      <c r="D117">
        <f t="shared" si="37"/>
        <v>52.089258056355</v>
      </c>
      <c r="F117" s="1">
        <f t="shared" si="38"/>
        <v>7.4413225794792854</v>
      </c>
      <c r="G117">
        <f t="shared" si="35"/>
        <v>8.6815430093924988</v>
      </c>
      <c r="H117">
        <f t="shared" si="35"/>
        <v>10.417851611271001</v>
      </c>
      <c r="I117">
        <f t="shared" si="35"/>
        <v>13.02231451408875</v>
      </c>
      <c r="J117">
        <f t="shared" si="35"/>
        <v>17.363086018784998</v>
      </c>
      <c r="K117">
        <f t="shared" si="35"/>
        <v>26.0446290281775</v>
      </c>
      <c r="L117">
        <f t="shared" si="35"/>
        <v>52.089258056355</v>
      </c>
      <c r="M117">
        <f t="shared" si="35"/>
        <v>104.17851611271</v>
      </c>
      <c r="P117" s="105"/>
      <c r="Q117">
        <v>10</v>
      </c>
      <c r="R117">
        <f t="shared" ref="R117:R124" si="45">1.60934*Q117*($D$88+$R$102)</f>
        <v>299.33724000000001</v>
      </c>
      <c r="S117">
        <f t="shared" si="39"/>
        <v>1</v>
      </c>
      <c r="U117">
        <f t="shared" si="44"/>
        <v>52.74</v>
      </c>
      <c r="V117">
        <f t="shared" ref="V117:V124" si="46">R117*$R$101</f>
        <v>65.779358490000007</v>
      </c>
      <c r="W117">
        <f t="shared" si="41"/>
        <v>65.779358490000007</v>
      </c>
      <c r="Y117">
        <f t="shared" ref="Y117:Y133" si="47">(U117+V117)*$R$101</f>
        <v>26.0446290281775</v>
      </c>
    </row>
    <row r="118" spans="2:25" x14ac:dyDescent="0.2">
      <c r="B118" s="92"/>
      <c r="C118">
        <v>30</v>
      </c>
      <c r="D118">
        <f t="shared" si="37"/>
        <v>78.133887084532503</v>
      </c>
      <c r="F118">
        <f t="shared" si="38"/>
        <v>11.161983869218929</v>
      </c>
      <c r="G118">
        <f t="shared" si="35"/>
        <v>13.02231451408875</v>
      </c>
      <c r="H118">
        <f t="shared" si="35"/>
        <v>15.626777416906501</v>
      </c>
      <c r="I118">
        <f t="shared" si="35"/>
        <v>19.533471771133126</v>
      </c>
      <c r="J118">
        <f t="shared" si="35"/>
        <v>26.0446290281775</v>
      </c>
      <c r="K118">
        <f t="shared" si="35"/>
        <v>39.066943542266252</v>
      </c>
      <c r="L118">
        <f t="shared" si="35"/>
        <v>78.133887084532503</v>
      </c>
      <c r="M118">
        <f t="shared" si="35"/>
        <v>156.26777416906501</v>
      </c>
      <c r="P118" s="105"/>
      <c r="Q118">
        <v>20</v>
      </c>
      <c r="R118">
        <f t="shared" si="45"/>
        <v>598.67448000000002</v>
      </c>
      <c r="S118">
        <f t="shared" si="39"/>
        <v>1</v>
      </c>
      <c r="U118">
        <f t="shared" si="44"/>
        <v>105.48</v>
      </c>
      <c r="V118">
        <f t="shared" si="46"/>
        <v>131.55871698000001</v>
      </c>
      <c r="W118">
        <f t="shared" si="41"/>
        <v>131.55871698000001</v>
      </c>
      <c r="Y118">
        <f t="shared" si="47"/>
        <v>52.089258056355</v>
      </c>
    </row>
    <row r="119" spans="2:25" x14ac:dyDescent="0.2">
      <c r="B119" s="92"/>
      <c r="C119">
        <v>40</v>
      </c>
      <c r="D119">
        <f t="shared" si="37"/>
        <v>104.17851611271</v>
      </c>
      <c r="F119">
        <f t="shared" si="38"/>
        <v>14.882645158958571</v>
      </c>
      <c r="G119">
        <f t="shared" si="35"/>
        <v>17.363086018784998</v>
      </c>
      <c r="H119">
        <f t="shared" si="35"/>
        <v>20.835703222542001</v>
      </c>
      <c r="I119">
        <f t="shared" si="35"/>
        <v>26.0446290281775</v>
      </c>
      <c r="J119">
        <f t="shared" si="35"/>
        <v>34.726172037569995</v>
      </c>
      <c r="K119">
        <f t="shared" si="35"/>
        <v>52.089258056355</v>
      </c>
      <c r="L119">
        <f t="shared" si="35"/>
        <v>104.17851611271</v>
      </c>
      <c r="M119">
        <f t="shared" si="35"/>
        <v>208.35703222542</v>
      </c>
      <c r="P119" s="105"/>
      <c r="Q119">
        <v>30</v>
      </c>
      <c r="R119">
        <f t="shared" si="45"/>
        <v>898.01172000000008</v>
      </c>
      <c r="S119">
        <f t="shared" si="39"/>
        <v>1</v>
      </c>
      <c r="U119">
        <f t="shared" si="44"/>
        <v>158.22</v>
      </c>
      <c r="V119">
        <f t="shared" si="46"/>
        <v>197.33807547000001</v>
      </c>
      <c r="W119">
        <f t="shared" si="41"/>
        <v>197.33807547000001</v>
      </c>
      <c r="Y119">
        <f t="shared" si="47"/>
        <v>78.133887084532503</v>
      </c>
    </row>
    <row r="120" spans="2:25" x14ac:dyDescent="0.2">
      <c r="B120" s="92"/>
      <c r="C120">
        <v>50</v>
      </c>
      <c r="D120">
        <f t="shared" si="37"/>
        <v>130.22314514088751</v>
      </c>
      <c r="F120">
        <f t="shared" si="38"/>
        <v>18.603306448698216</v>
      </c>
      <c r="G120">
        <f t="shared" si="35"/>
        <v>21.703857523481251</v>
      </c>
      <c r="H120">
        <f t="shared" si="35"/>
        <v>26.044629028177503</v>
      </c>
      <c r="I120">
        <f t="shared" si="35"/>
        <v>32.555786285221878</v>
      </c>
      <c r="J120">
        <f t="shared" si="35"/>
        <v>43.407715046962501</v>
      </c>
      <c r="K120">
        <f t="shared" si="35"/>
        <v>65.111572570443755</v>
      </c>
      <c r="L120">
        <f t="shared" si="35"/>
        <v>130.22314514088751</v>
      </c>
      <c r="M120">
        <f t="shared" si="35"/>
        <v>260.44629028177502</v>
      </c>
      <c r="P120" s="105"/>
      <c r="Q120">
        <v>40</v>
      </c>
      <c r="R120">
        <f t="shared" si="45"/>
        <v>1197.34896</v>
      </c>
      <c r="S120">
        <f t="shared" si="39"/>
        <v>1</v>
      </c>
      <c r="U120">
        <f t="shared" si="44"/>
        <v>210.96</v>
      </c>
      <c r="V120">
        <f t="shared" si="46"/>
        <v>263.11743396000003</v>
      </c>
      <c r="W120">
        <f t="shared" si="41"/>
        <v>263.11743396000003</v>
      </c>
      <c r="Y120">
        <f t="shared" si="47"/>
        <v>104.17851611271</v>
      </c>
    </row>
    <row r="121" spans="2:25" x14ac:dyDescent="0.2">
      <c r="B121" s="92"/>
      <c r="C121">
        <v>60</v>
      </c>
      <c r="D121">
        <f t="shared" si="37"/>
        <v>156.26777416906501</v>
      </c>
      <c r="F121">
        <f t="shared" si="38"/>
        <v>22.323967738437858</v>
      </c>
      <c r="G121">
        <f t="shared" si="35"/>
        <v>26.0446290281775</v>
      </c>
      <c r="H121">
        <f t="shared" si="35"/>
        <v>31.253554833813002</v>
      </c>
      <c r="I121">
        <f t="shared" si="35"/>
        <v>39.066943542266252</v>
      </c>
      <c r="J121">
        <f t="shared" si="35"/>
        <v>52.089258056355</v>
      </c>
      <c r="K121">
        <f t="shared" si="35"/>
        <v>78.133887084532503</v>
      </c>
      <c r="L121">
        <f t="shared" si="35"/>
        <v>156.26777416906501</v>
      </c>
      <c r="M121">
        <f t="shared" si="35"/>
        <v>312.53554833813001</v>
      </c>
      <c r="P121" s="105"/>
      <c r="Q121">
        <v>50</v>
      </c>
      <c r="R121">
        <f t="shared" si="45"/>
        <v>1496.6862000000001</v>
      </c>
      <c r="S121">
        <f t="shared" si="39"/>
        <v>1</v>
      </c>
      <c r="U121">
        <f t="shared" si="44"/>
        <v>263.7</v>
      </c>
      <c r="V121">
        <f t="shared" si="46"/>
        <v>328.89679245000002</v>
      </c>
      <c r="W121">
        <f t="shared" si="41"/>
        <v>328.89679245000002</v>
      </c>
      <c r="Y121">
        <f t="shared" si="47"/>
        <v>130.22314514088751</v>
      </c>
    </row>
    <row r="122" spans="2:25" x14ac:dyDescent="0.2">
      <c r="B122" s="92"/>
      <c r="C122">
        <v>70</v>
      </c>
      <c r="D122">
        <f t="shared" si="37"/>
        <v>182.3124031972425</v>
      </c>
      <c r="F122">
        <f t="shared" si="38"/>
        <v>26.0446290281775</v>
      </c>
      <c r="G122">
        <f t="shared" si="38"/>
        <v>30.385400532873749</v>
      </c>
      <c r="H122">
        <f t="shared" si="38"/>
        <v>36.462480639448501</v>
      </c>
      <c r="I122">
        <f t="shared" si="38"/>
        <v>45.578100799310626</v>
      </c>
      <c r="J122">
        <f t="shared" si="38"/>
        <v>60.770801065747499</v>
      </c>
      <c r="K122">
        <f t="shared" si="38"/>
        <v>91.156201598621251</v>
      </c>
      <c r="L122">
        <f t="shared" si="38"/>
        <v>182.3124031972425</v>
      </c>
      <c r="M122">
        <f t="shared" si="38"/>
        <v>364.62480639448501</v>
      </c>
      <c r="P122" s="105"/>
      <c r="Q122">
        <v>60</v>
      </c>
      <c r="R122">
        <f t="shared" si="45"/>
        <v>1796.0234400000002</v>
      </c>
      <c r="S122">
        <f t="shared" si="39"/>
        <v>1</v>
      </c>
      <c r="U122">
        <f t="shared" si="44"/>
        <v>316.44</v>
      </c>
      <c r="V122">
        <f t="shared" si="46"/>
        <v>394.67615094000001</v>
      </c>
      <c r="W122">
        <f t="shared" si="41"/>
        <v>394.67615094000001</v>
      </c>
      <c r="Y122">
        <f t="shared" si="47"/>
        <v>156.26777416906501</v>
      </c>
    </row>
    <row r="123" spans="2:25" x14ac:dyDescent="0.2">
      <c r="B123" s="92"/>
      <c r="C123">
        <v>80</v>
      </c>
      <c r="D123">
        <f t="shared" si="37"/>
        <v>208.35703222542</v>
      </c>
      <c r="F123">
        <f t="shared" si="38"/>
        <v>29.765290317917142</v>
      </c>
      <c r="G123">
        <f t="shared" si="38"/>
        <v>34.726172037569995</v>
      </c>
      <c r="H123">
        <f t="shared" si="38"/>
        <v>41.671406445084003</v>
      </c>
      <c r="I123">
        <f t="shared" si="38"/>
        <v>52.089258056355</v>
      </c>
      <c r="J123">
        <f t="shared" si="38"/>
        <v>69.45234407513999</v>
      </c>
      <c r="K123">
        <f t="shared" si="38"/>
        <v>104.17851611271</v>
      </c>
      <c r="L123">
        <f t="shared" si="38"/>
        <v>208.35703222542</v>
      </c>
      <c r="M123">
        <f t="shared" si="38"/>
        <v>416.71406445084</v>
      </c>
      <c r="P123" s="105"/>
      <c r="Q123">
        <v>70</v>
      </c>
      <c r="R123">
        <f t="shared" si="45"/>
        <v>2095.3606800000002</v>
      </c>
      <c r="S123">
        <f t="shared" si="39"/>
        <v>1</v>
      </c>
      <c r="U123">
        <f t="shared" si="44"/>
        <v>369.18</v>
      </c>
      <c r="V123">
        <f t="shared" si="46"/>
        <v>460.45550943000006</v>
      </c>
      <c r="W123">
        <f t="shared" si="41"/>
        <v>460.45550943000006</v>
      </c>
      <c r="Y123">
        <f t="shared" si="47"/>
        <v>182.3124031972425</v>
      </c>
    </row>
    <row r="124" spans="2:25" x14ac:dyDescent="0.2">
      <c r="B124" s="92">
        <v>20</v>
      </c>
      <c r="C124">
        <v>5</v>
      </c>
      <c r="D124">
        <f t="shared" si="37"/>
        <v>14.421186839396251</v>
      </c>
      <c r="F124">
        <f t="shared" si="38"/>
        <v>2.0601695484851787</v>
      </c>
      <c r="G124">
        <f t="shared" si="38"/>
        <v>2.4035311398993748</v>
      </c>
      <c r="H124">
        <f t="shared" si="38"/>
        <v>2.8842373678792503</v>
      </c>
      <c r="I124">
        <f t="shared" si="38"/>
        <v>3.6052967098490627</v>
      </c>
      <c r="J124">
        <f t="shared" si="38"/>
        <v>4.8070622797987497</v>
      </c>
      <c r="K124">
        <f t="shared" si="38"/>
        <v>7.2105934196981254</v>
      </c>
      <c r="L124">
        <f t="shared" si="38"/>
        <v>14.421186839396251</v>
      </c>
      <c r="M124">
        <f t="shared" si="38"/>
        <v>28.842373678792502</v>
      </c>
      <c r="P124" s="105"/>
      <c r="Q124">
        <v>80</v>
      </c>
      <c r="R124">
        <f t="shared" si="45"/>
        <v>2394.6979200000001</v>
      </c>
      <c r="S124">
        <f t="shared" si="39"/>
        <v>1</v>
      </c>
      <c r="U124">
        <f t="shared" si="44"/>
        <v>421.92</v>
      </c>
      <c r="V124">
        <f t="shared" si="46"/>
        <v>526.23486792000006</v>
      </c>
      <c r="W124">
        <f t="shared" si="41"/>
        <v>526.23486792000006</v>
      </c>
      <c r="Y124">
        <f t="shared" si="47"/>
        <v>208.35703222542</v>
      </c>
    </row>
    <row r="125" spans="2:25" x14ac:dyDescent="0.2">
      <c r="B125" s="92"/>
      <c r="C125">
        <v>10</v>
      </c>
      <c r="D125">
        <f t="shared" si="37"/>
        <v>28.842373678792502</v>
      </c>
      <c r="F125">
        <f t="shared" si="38"/>
        <v>4.1203390969703575</v>
      </c>
      <c r="G125">
        <f t="shared" si="38"/>
        <v>4.8070622797987497</v>
      </c>
      <c r="H125">
        <f t="shared" si="38"/>
        <v>5.7684747357585007</v>
      </c>
      <c r="I125">
        <f t="shared" si="38"/>
        <v>7.2105934196981254</v>
      </c>
      <c r="J125">
        <f t="shared" si="38"/>
        <v>9.6141245595974993</v>
      </c>
      <c r="K125">
        <f t="shared" si="38"/>
        <v>14.421186839396251</v>
      </c>
      <c r="L125">
        <f t="shared" si="38"/>
        <v>28.842373678792502</v>
      </c>
      <c r="M125">
        <f t="shared" si="38"/>
        <v>57.684747357585003</v>
      </c>
      <c r="P125" s="105">
        <v>20</v>
      </c>
      <c r="Q125">
        <v>5</v>
      </c>
      <c r="R125">
        <f>1.60934*Q125*($D$89+$R$102)</f>
        <v>178.63673999999997</v>
      </c>
      <c r="S125">
        <f t="shared" si="39"/>
        <v>1</v>
      </c>
      <c r="U125">
        <f t="shared" ref="U125:U133" si="48">S89</f>
        <v>26.37</v>
      </c>
      <c r="V125">
        <f>R125*$R$101</f>
        <v>39.255423614999998</v>
      </c>
      <c r="W125">
        <f t="shared" si="41"/>
        <v>39.255423614999998</v>
      </c>
      <c r="Y125">
        <f t="shared" si="47"/>
        <v>14.421186839396251</v>
      </c>
    </row>
    <row r="126" spans="2:25" ht="15" x14ac:dyDescent="0.25">
      <c r="B126" s="92"/>
      <c r="C126">
        <v>20</v>
      </c>
      <c r="D126">
        <f t="shared" si="37"/>
        <v>57.684747357585003</v>
      </c>
      <c r="F126" s="1">
        <f t="shared" si="38"/>
        <v>8.240678193940715</v>
      </c>
      <c r="G126">
        <f t="shared" si="38"/>
        <v>9.6141245595974993</v>
      </c>
      <c r="H126">
        <f t="shared" si="38"/>
        <v>11.536949471517001</v>
      </c>
      <c r="I126">
        <f t="shared" si="38"/>
        <v>14.421186839396251</v>
      </c>
      <c r="J126">
        <f t="shared" si="38"/>
        <v>19.228249119194999</v>
      </c>
      <c r="K126">
        <f t="shared" si="38"/>
        <v>28.842373678792502</v>
      </c>
      <c r="L126">
        <f t="shared" si="38"/>
        <v>57.684747357585003</v>
      </c>
      <c r="M126">
        <f t="shared" si="38"/>
        <v>115.36949471517001</v>
      </c>
      <c r="P126" s="105"/>
      <c r="Q126">
        <v>10</v>
      </c>
      <c r="R126">
        <f t="shared" ref="R126:R133" si="49">1.60934*Q126*($D$89+$R$102)</f>
        <v>357.27347999999995</v>
      </c>
      <c r="S126">
        <f t="shared" si="39"/>
        <v>1</v>
      </c>
      <c r="U126">
        <f t="shared" si="48"/>
        <v>52.74</v>
      </c>
      <c r="V126">
        <f t="shared" ref="V126:V133" si="50">R126*$R$101</f>
        <v>78.510847229999996</v>
      </c>
      <c r="W126">
        <f t="shared" si="41"/>
        <v>78.510847229999996</v>
      </c>
      <c r="Y126">
        <f t="shared" si="47"/>
        <v>28.842373678792502</v>
      </c>
    </row>
    <row r="127" spans="2:25" x14ac:dyDescent="0.2">
      <c r="B127" s="92"/>
      <c r="C127">
        <v>30</v>
      </c>
      <c r="D127">
        <f t="shared" si="37"/>
        <v>86.527121036377494</v>
      </c>
      <c r="F127">
        <f t="shared" si="38"/>
        <v>12.36101729091107</v>
      </c>
      <c r="G127">
        <f t="shared" si="38"/>
        <v>14.421186839396249</v>
      </c>
      <c r="H127">
        <f t="shared" si="38"/>
        <v>17.3054242072755</v>
      </c>
      <c r="I127">
        <f t="shared" si="38"/>
        <v>21.631780259094374</v>
      </c>
      <c r="J127">
        <f t="shared" si="38"/>
        <v>28.842373678792498</v>
      </c>
      <c r="K127">
        <f t="shared" si="38"/>
        <v>43.263560518188747</v>
      </c>
      <c r="L127">
        <f t="shared" si="38"/>
        <v>86.527121036377494</v>
      </c>
      <c r="M127">
        <f t="shared" si="38"/>
        <v>173.05424207275499</v>
      </c>
      <c r="P127" s="105"/>
      <c r="Q127">
        <v>20</v>
      </c>
      <c r="R127">
        <f t="shared" si="49"/>
        <v>714.5469599999999</v>
      </c>
      <c r="S127">
        <f t="shared" si="39"/>
        <v>1</v>
      </c>
      <c r="U127">
        <f t="shared" si="48"/>
        <v>105.48</v>
      </c>
      <c r="V127">
        <f t="shared" si="50"/>
        <v>157.02169445999999</v>
      </c>
      <c r="W127">
        <f t="shared" si="41"/>
        <v>157.02169445999999</v>
      </c>
      <c r="Y127">
        <f t="shared" si="47"/>
        <v>57.684747357585003</v>
      </c>
    </row>
    <row r="128" spans="2:25" x14ac:dyDescent="0.2">
      <c r="B128" s="92"/>
      <c r="C128">
        <v>40</v>
      </c>
      <c r="D128">
        <f t="shared" si="37"/>
        <v>115.36949471517001</v>
      </c>
      <c r="F128">
        <f t="shared" si="38"/>
        <v>16.48135638788143</v>
      </c>
      <c r="G128">
        <f t="shared" si="38"/>
        <v>19.228249119194999</v>
      </c>
      <c r="H128">
        <f t="shared" si="38"/>
        <v>23.073898943034003</v>
      </c>
      <c r="I128">
        <f t="shared" si="38"/>
        <v>28.842373678792502</v>
      </c>
      <c r="J128">
        <f t="shared" si="38"/>
        <v>38.456498238389997</v>
      </c>
      <c r="K128">
        <f t="shared" si="38"/>
        <v>57.684747357585003</v>
      </c>
      <c r="L128">
        <f t="shared" si="38"/>
        <v>115.36949471517001</v>
      </c>
      <c r="M128">
        <f t="shared" si="38"/>
        <v>230.73898943034001</v>
      </c>
      <c r="P128" s="105"/>
      <c r="Q128">
        <v>30</v>
      </c>
      <c r="R128">
        <f t="shared" si="49"/>
        <v>1071.82044</v>
      </c>
      <c r="S128">
        <f t="shared" si="39"/>
        <v>1</v>
      </c>
      <c r="U128">
        <f t="shared" si="48"/>
        <v>158.22</v>
      </c>
      <c r="V128">
        <f t="shared" si="50"/>
        <v>235.53254168999999</v>
      </c>
      <c r="W128">
        <f t="shared" si="41"/>
        <v>235.53254168999999</v>
      </c>
      <c r="Y128">
        <f t="shared" si="47"/>
        <v>86.527121036377494</v>
      </c>
    </row>
    <row r="129" spans="2:25" x14ac:dyDescent="0.2">
      <c r="B129" s="92"/>
      <c r="C129">
        <v>50</v>
      </c>
      <c r="D129">
        <f t="shared" si="37"/>
        <v>144.2118683939625</v>
      </c>
      <c r="F129">
        <f t="shared" si="38"/>
        <v>20.601695484851785</v>
      </c>
      <c r="G129">
        <f t="shared" si="38"/>
        <v>24.035311398993748</v>
      </c>
      <c r="H129">
        <f t="shared" si="38"/>
        <v>28.842373678792502</v>
      </c>
      <c r="I129">
        <f t="shared" si="38"/>
        <v>36.052967098490626</v>
      </c>
      <c r="J129">
        <f t="shared" si="38"/>
        <v>48.070622797987497</v>
      </c>
      <c r="K129">
        <f t="shared" si="38"/>
        <v>72.105934196981252</v>
      </c>
      <c r="L129">
        <f t="shared" si="38"/>
        <v>144.2118683939625</v>
      </c>
      <c r="M129">
        <f t="shared" si="38"/>
        <v>288.42373678792501</v>
      </c>
      <c r="P129" s="105"/>
      <c r="Q129">
        <v>40</v>
      </c>
      <c r="R129">
        <f t="shared" si="49"/>
        <v>1429.0939199999998</v>
      </c>
      <c r="S129">
        <f t="shared" si="39"/>
        <v>1</v>
      </c>
      <c r="U129">
        <f t="shared" si="48"/>
        <v>210.96</v>
      </c>
      <c r="V129">
        <f t="shared" si="50"/>
        <v>314.04338891999998</v>
      </c>
      <c r="W129">
        <f t="shared" si="41"/>
        <v>314.04338891999998</v>
      </c>
      <c r="Y129">
        <f t="shared" si="47"/>
        <v>115.36949471517001</v>
      </c>
    </row>
    <row r="130" spans="2:25" x14ac:dyDescent="0.2">
      <c r="B130" s="92"/>
      <c r="C130">
        <v>60</v>
      </c>
      <c r="D130">
        <f t="shared" si="37"/>
        <v>173.05424207275499</v>
      </c>
      <c r="F130">
        <f t="shared" si="38"/>
        <v>24.72203458182214</v>
      </c>
      <c r="G130">
        <f t="shared" si="38"/>
        <v>28.842373678792498</v>
      </c>
      <c r="H130">
        <f t="shared" si="38"/>
        <v>34.610848414551</v>
      </c>
      <c r="I130">
        <f t="shared" si="38"/>
        <v>43.263560518188747</v>
      </c>
      <c r="J130">
        <f t="shared" si="38"/>
        <v>57.684747357584996</v>
      </c>
      <c r="K130">
        <f t="shared" si="38"/>
        <v>86.527121036377494</v>
      </c>
      <c r="L130">
        <f t="shared" si="38"/>
        <v>173.05424207275499</v>
      </c>
      <c r="M130">
        <f t="shared" si="38"/>
        <v>346.10848414550998</v>
      </c>
      <c r="P130" s="105"/>
      <c r="Q130">
        <v>50</v>
      </c>
      <c r="R130">
        <f t="shared" si="49"/>
        <v>1786.3673999999999</v>
      </c>
      <c r="S130">
        <f t="shared" si="39"/>
        <v>1</v>
      </c>
      <c r="U130">
        <f t="shared" si="48"/>
        <v>263.7</v>
      </c>
      <c r="V130">
        <f t="shared" si="50"/>
        <v>392.55423614999995</v>
      </c>
      <c r="W130">
        <f t="shared" si="41"/>
        <v>392.55423614999995</v>
      </c>
      <c r="Y130">
        <f t="shared" si="47"/>
        <v>144.2118683939625</v>
      </c>
    </row>
    <row r="131" spans="2:25" x14ac:dyDescent="0.2">
      <c r="B131" s="92"/>
      <c r="C131">
        <v>70</v>
      </c>
      <c r="D131">
        <f t="shared" si="37"/>
        <v>201.8966157515475</v>
      </c>
      <c r="F131">
        <f t="shared" si="38"/>
        <v>28.842373678792498</v>
      </c>
      <c r="G131">
        <f t="shared" si="38"/>
        <v>33.649435958591248</v>
      </c>
      <c r="H131">
        <f t="shared" si="38"/>
        <v>40.379323150309503</v>
      </c>
      <c r="I131">
        <f t="shared" si="38"/>
        <v>50.474153937886875</v>
      </c>
      <c r="J131">
        <f t="shared" si="38"/>
        <v>67.298871917182495</v>
      </c>
      <c r="K131">
        <f t="shared" si="38"/>
        <v>100.94830787577375</v>
      </c>
      <c r="L131">
        <f t="shared" si="38"/>
        <v>201.8966157515475</v>
      </c>
      <c r="M131">
        <f t="shared" si="38"/>
        <v>403.793231503095</v>
      </c>
      <c r="P131" s="105"/>
      <c r="Q131">
        <v>60</v>
      </c>
      <c r="R131">
        <f t="shared" si="49"/>
        <v>2143.6408799999999</v>
      </c>
      <c r="S131">
        <f t="shared" si="39"/>
        <v>1</v>
      </c>
      <c r="U131">
        <f t="shared" si="48"/>
        <v>316.44</v>
      </c>
      <c r="V131">
        <f t="shared" si="50"/>
        <v>471.06508337999998</v>
      </c>
      <c r="W131">
        <f t="shared" si="41"/>
        <v>471.06508337999998</v>
      </c>
      <c r="Y131">
        <f t="shared" si="47"/>
        <v>173.05424207275499</v>
      </c>
    </row>
    <row r="132" spans="2:25" x14ac:dyDescent="0.2">
      <c r="B132" s="92"/>
      <c r="C132">
        <v>80</v>
      </c>
      <c r="D132">
        <f t="shared" si="37"/>
        <v>230.73898943034001</v>
      </c>
      <c r="F132">
        <f t="shared" si="38"/>
        <v>32.96271277576286</v>
      </c>
      <c r="G132">
        <f t="shared" si="38"/>
        <v>38.456498238389997</v>
      </c>
      <c r="H132">
        <f t="shared" si="38"/>
        <v>46.147797886068005</v>
      </c>
      <c r="I132">
        <f t="shared" si="38"/>
        <v>57.684747357585003</v>
      </c>
      <c r="J132">
        <f t="shared" si="38"/>
        <v>76.912996476779995</v>
      </c>
      <c r="K132">
        <f t="shared" si="38"/>
        <v>115.36949471517001</v>
      </c>
      <c r="L132">
        <f t="shared" si="38"/>
        <v>230.73898943034001</v>
      </c>
      <c r="M132">
        <f t="shared" si="38"/>
        <v>461.47797886068003</v>
      </c>
      <c r="P132" s="105"/>
      <c r="Q132">
        <v>70</v>
      </c>
      <c r="R132">
        <f t="shared" si="49"/>
        <v>2500.9143600000002</v>
      </c>
      <c r="S132">
        <f t="shared" si="39"/>
        <v>1</v>
      </c>
      <c r="U132">
        <f t="shared" si="48"/>
        <v>369.18</v>
      </c>
      <c r="V132">
        <f t="shared" si="50"/>
        <v>549.57593061</v>
      </c>
      <c r="W132">
        <f t="shared" si="41"/>
        <v>549.57593061</v>
      </c>
      <c r="Y132">
        <f t="shared" si="47"/>
        <v>201.8966157515475</v>
      </c>
    </row>
    <row r="133" spans="2:25" x14ac:dyDescent="0.2">
      <c r="B133" s="92">
        <v>30</v>
      </c>
      <c r="C133">
        <v>5</v>
      </c>
      <c r="D133">
        <f t="shared" si="37"/>
        <v>17.45374205289</v>
      </c>
      <c r="F133">
        <f t="shared" si="38"/>
        <v>2.4933917218414283</v>
      </c>
      <c r="G133">
        <f t="shared" si="38"/>
        <v>2.9089570088149999</v>
      </c>
      <c r="H133">
        <f t="shared" si="38"/>
        <v>3.490748410578</v>
      </c>
      <c r="I133">
        <f t="shared" si="38"/>
        <v>4.3634355132225</v>
      </c>
      <c r="J133">
        <f t="shared" si="38"/>
        <v>5.8179140176299997</v>
      </c>
      <c r="K133">
        <f t="shared" si="38"/>
        <v>8.726871026445</v>
      </c>
      <c r="L133">
        <f t="shared" si="38"/>
        <v>17.45374205289</v>
      </c>
      <c r="M133">
        <f t="shared" si="38"/>
        <v>34.90748410578</v>
      </c>
      <c r="P133" s="105"/>
      <c r="Q133">
        <v>80</v>
      </c>
      <c r="R133">
        <f t="shared" si="49"/>
        <v>2858.1878399999996</v>
      </c>
      <c r="S133">
        <f t="shared" si="39"/>
        <v>1</v>
      </c>
      <c r="U133">
        <f t="shared" si="48"/>
        <v>421.92</v>
      </c>
      <c r="V133">
        <f t="shared" si="50"/>
        <v>628.08677783999997</v>
      </c>
      <c r="W133">
        <f t="shared" si="41"/>
        <v>628.08677783999997</v>
      </c>
      <c r="Y133">
        <f t="shared" si="47"/>
        <v>230.73898943034001</v>
      </c>
    </row>
    <row r="134" spans="2:25" x14ac:dyDescent="0.2">
      <c r="B134" s="92"/>
      <c r="C134">
        <v>10</v>
      </c>
      <c r="D134">
        <f t="shared" si="37"/>
        <v>34.90748410578</v>
      </c>
      <c r="F134">
        <f t="shared" si="38"/>
        <v>4.9867834436828566</v>
      </c>
      <c r="G134">
        <f t="shared" si="38"/>
        <v>5.8179140176299997</v>
      </c>
      <c r="H134">
        <f t="shared" si="38"/>
        <v>6.981496821156</v>
      </c>
      <c r="I134">
        <f t="shared" si="38"/>
        <v>8.726871026445</v>
      </c>
      <c r="J134">
        <f t="shared" si="38"/>
        <v>11.635828035259999</v>
      </c>
      <c r="K134">
        <f t="shared" si="38"/>
        <v>17.45374205289</v>
      </c>
      <c r="L134">
        <f t="shared" si="38"/>
        <v>34.90748410578</v>
      </c>
      <c r="M134">
        <f t="shared" si="38"/>
        <v>69.81496821156</v>
      </c>
      <c r="P134" s="105">
        <v>30</v>
      </c>
      <c r="Q134">
        <v>5</v>
      </c>
      <c r="R134">
        <f>1.60934*Q134*($D$90+$S$102)</f>
        <v>344.39875999999998</v>
      </c>
      <c r="S134">
        <f t="shared" si="39"/>
        <v>1</v>
      </c>
      <c r="U134">
        <f>T89</f>
        <v>43.648000000000003</v>
      </c>
      <c r="V134">
        <f>R134*$S$101</f>
        <v>58.719988579999999</v>
      </c>
      <c r="W134">
        <f t="shared" si="41"/>
        <v>58.719988579999999</v>
      </c>
      <c r="Y134">
        <f>(U134+V134)*$S$101</f>
        <v>17.45374205289</v>
      </c>
    </row>
    <row r="135" spans="2:25" ht="15" x14ac:dyDescent="0.25">
      <c r="B135" s="92"/>
      <c r="C135">
        <v>20</v>
      </c>
      <c r="D135">
        <f t="shared" si="37"/>
        <v>69.81496821156</v>
      </c>
      <c r="F135" s="1">
        <f t="shared" si="38"/>
        <v>9.9735668873657133</v>
      </c>
      <c r="G135">
        <f t="shared" si="38"/>
        <v>11.635828035259999</v>
      </c>
      <c r="H135">
        <f t="shared" si="38"/>
        <v>13.962993642312</v>
      </c>
      <c r="I135">
        <f t="shared" si="38"/>
        <v>17.45374205289</v>
      </c>
      <c r="J135">
        <f t="shared" si="38"/>
        <v>23.271656070519999</v>
      </c>
      <c r="K135">
        <f t="shared" si="38"/>
        <v>34.90748410578</v>
      </c>
      <c r="L135">
        <f t="shared" si="38"/>
        <v>69.81496821156</v>
      </c>
      <c r="M135">
        <f t="shared" si="38"/>
        <v>139.62993642312</v>
      </c>
      <c r="P135" s="105"/>
      <c r="Q135">
        <v>10</v>
      </c>
      <c r="R135">
        <f t="shared" ref="R135:R142" si="51">1.60934*Q135*($D$90+$S$102)</f>
        <v>688.79751999999996</v>
      </c>
      <c r="S135">
        <f t="shared" si="39"/>
        <v>1</v>
      </c>
      <c r="U135">
        <f t="shared" ref="U135:U142" si="52">T90</f>
        <v>87.296000000000006</v>
      </c>
      <c r="V135">
        <f t="shared" ref="V135:V198" si="53">R135*$S$101</f>
        <v>117.43997716</v>
      </c>
      <c r="W135">
        <f t="shared" si="41"/>
        <v>117.43997716</v>
      </c>
      <c r="Y135">
        <f t="shared" ref="Y135:Y198" si="54">(U135+V135)*$S$101</f>
        <v>34.90748410578</v>
      </c>
    </row>
    <row r="136" spans="2:25" x14ac:dyDescent="0.2">
      <c r="B136" s="92"/>
      <c r="C136">
        <v>30</v>
      </c>
      <c r="D136">
        <f t="shared" si="37"/>
        <v>104.72245231734001</v>
      </c>
      <c r="F136">
        <f t="shared" si="38"/>
        <v>14.960350331048573</v>
      </c>
      <c r="G136">
        <f t="shared" si="38"/>
        <v>17.45374205289</v>
      </c>
      <c r="H136">
        <f t="shared" si="38"/>
        <v>20.944490463468004</v>
      </c>
      <c r="I136">
        <f t="shared" si="38"/>
        <v>26.180613079335004</v>
      </c>
      <c r="J136">
        <f t="shared" si="38"/>
        <v>34.90748410578</v>
      </c>
      <c r="K136">
        <f t="shared" si="38"/>
        <v>52.361226158670007</v>
      </c>
      <c r="L136">
        <f t="shared" si="38"/>
        <v>104.72245231734001</v>
      </c>
      <c r="M136">
        <f t="shared" si="38"/>
        <v>209.44490463468003</v>
      </c>
      <c r="P136" s="105"/>
      <c r="Q136">
        <v>20</v>
      </c>
      <c r="R136">
        <f t="shared" si="51"/>
        <v>1377.5950399999999</v>
      </c>
      <c r="S136">
        <f t="shared" si="39"/>
        <v>1</v>
      </c>
      <c r="U136">
        <f t="shared" si="52"/>
        <v>174.59200000000001</v>
      </c>
      <c r="V136">
        <f t="shared" si="53"/>
        <v>234.87995432</v>
      </c>
      <c r="W136">
        <f t="shared" si="41"/>
        <v>234.87995432</v>
      </c>
      <c r="Y136">
        <f t="shared" si="54"/>
        <v>69.81496821156</v>
      </c>
    </row>
    <row r="137" spans="2:25" x14ac:dyDescent="0.2">
      <c r="B137" s="92"/>
      <c r="C137">
        <v>40</v>
      </c>
      <c r="D137">
        <f t="shared" si="37"/>
        <v>139.62993642312</v>
      </c>
      <c r="F137">
        <f t="shared" si="38"/>
        <v>19.947133774731427</v>
      </c>
      <c r="G137">
        <f t="shared" si="38"/>
        <v>23.271656070519999</v>
      </c>
      <c r="H137">
        <f t="shared" si="38"/>
        <v>27.925987284624</v>
      </c>
      <c r="I137">
        <f t="shared" si="38"/>
        <v>34.90748410578</v>
      </c>
      <c r="J137">
        <f t="shared" si="38"/>
        <v>46.543312141039998</v>
      </c>
      <c r="K137">
        <f t="shared" si="38"/>
        <v>69.81496821156</v>
      </c>
      <c r="L137">
        <f t="shared" si="38"/>
        <v>139.62993642312</v>
      </c>
      <c r="M137">
        <f t="shared" si="38"/>
        <v>279.25987284624</v>
      </c>
      <c r="P137" s="105"/>
      <c r="Q137">
        <v>30</v>
      </c>
      <c r="R137">
        <f t="shared" si="51"/>
        <v>2066.3925599999998</v>
      </c>
      <c r="S137">
        <f t="shared" si="39"/>
        <v>1</v>
      </c>
      <c r="U137">
        <f t="shared" si="52"/>
        <v>261.88800000000003</v>
      </c>
      <c r="V137">
        <f t="shared" si="53"/>
        <v>352.31993147999998</v>
      </c>
      <c r="W137">
        <f t="shared" si="41"/>
        <v>352.31993147999998</v>
      </c>
      <c r="Y137">
        <f t="shared" si="54"/>
        <v>104.72245231734001</v>
      </c>
    </row>
    <row r="138" spans="2:25" x14ac:dyDescent="0.2">
      <c r="B138" s="92"/>
      <c r="C138">
        <v>50</v>
      </c>
      <c r="D138">
        <f t="shared" si="37"/>
        <v>174.53742052890001</v>
      </c>
      <c r="F138">
        <f t="shared" si="38"/>
        <v>24.933917218414287</v>
      </c>
      <c r="G138">
        <f t="shared" si="38"/>
        <v>29.089570088150001</v>
      </c>
      <c r="H138">
        <f t="shared" si="38"/>
        <v>34.907484105780007</v>
      </c>
      <c r="I138">
        <f t="shared" si="38"/>
        <v>43.634355132225004</v>
      </c>
      <c r="J138">
        <f t="shared" si="38"/>
        <v>58.179140176300002</v>
      </c>
      <c r="K138">
        <f t="shared" si="38"/>
        <v>87.268710264450007</v>
      </c>
      <c r="L138">
        <f t="shared" si="38"/>
        <v>174.53742052890001</v>
      </c>
      <c r="M138">
        <f t="shared" si="38"/>
        <v>349.07484105780003</v>
      </c>
      <c r="P138" s="105"/>
      <c r="Q138">
        <v>40</v>
      </c>
      <c r="R138">
        <f t="shared" si="51"/>
        <v>2755.1900799999999</v>
      </c>
      <c r="S138">
        <f t="shared" si="39"/>
        <v>1</v>
      </c>
      <c r="U138">
        <f t="shared" si="52"/>
        <v>349.18400000000003</v>
      </c>
      <c r="V138">
        <f t="shared" si="53"/>
        <v>469.75990863999999</v>
      </c>
      <c r="W138">
        <f t="shared" si="41"/>
        <v>469.75990863999999</v>
      </c>
      <c r="Y138">
        <f t="shared" si="54"/>
        <v>139.62993642312</v>
      </c>
    </row>
    <row r="139" spans="2:25" x14ac:dyDescent="0.2">
      <c r="B139" s="92"/>
      <c r="C139">
        <v>60</v>
      </c>
      <c r="D139">
        <f t="shared" si="37"/>
        <v>209.44490463468003</v>
      </c>
      <c r="F139">
        <f t="shared" ref="F139:M170" si="55">$D139*F$105</f>
        <v>29.920700662097147</v>
      </c>
      <c r="G139">
        <f t="shared" si="55"/>
        <v>34.90748410578</v>
      </c>
      <c r="H139">
        <f t="shared" si="55"/>
        <v>41.888980926936007</v>
      </c>
      <c r="I139">
        <f t="shared" si="55"/>
        <v>52.361226158670007</v>
      </c>
      <c r="J139">
        <f t="shared" si="55"/>
        <v>69.81496821156</v>
      </c>
      <c r="K139">
        <f t="shared" si="55"/>
        <v>104.72245231734001</v>
      </c>
      <c r="L139">
        <f t="shared" si="55"/>
        <v>209.44490463468003</v>
      </c>
      <c r="M139">
        <f t="shared" si="55"/>
        <v>418.88980926936006</v>
      </c>
      <c r="P139" s="105"/>
      <c r="Q139">
        <v>50</v>
      </c>
      <c r="R139">
        <f t="shared" si="51"/>
        <v>3443.9875999999999</v>
      </c>
      <c r="S139">
        <f t="shared" si="39"/>
        <v>1</v>
      </c>
      <c r="U139">
        <f t="shared" si="52"/>
        <v>436.48</v>
      </c>
      <c r="V139">
        <f t="shared" si="53"/>
        <v>587.19988580000006</v>
      </c>
      <c r="W139">
        <f t="shared" si="41"/>
        <v>587.19988580000006</v>
      </c>
      <c r="Y139">
        <f t="shared" si="54"/>
        <v>174.53742052890001</v>
      </c>
    </row>
    <row r="140" spans="2:25" x14ac:dyDescent="0.2">
      <c r="B140" s="92"/>
      <c r="C140">
        <v>70</v>
      </c>
      <c r="D140">
        <f t="shared" si="37"/>
        <v>244.35238874046004</v>
      </c>
      <c r="F140">
        <f t="shared" si="55"/>
        <v>34.907484105780007</v>
      </c>
      <c r="G140">
        <f t="shared" si="55"/>
        <v>40.725398123410002</v>
      </c>
      <c r="H140">
        <f t="shared" si="55"/>
        <v>48.870477748092014</v>
      </c>
      <c r="I140">
        <f t="shared" si="55"/>
        <v>61.088097185115011</v>
      </c>
      <c r="J140">
        <f t="shared" si="55"/>
        <v>81.450796246820005</v>
      </c>
      <c r="K140">
        <f t="shared" si="55"/>
        <v>122.17619437023002</v>
      </c>
      <c r="L140">
        <f t="shared" si="55"/>
        <v>244.35238874046004</v>
      </c>
      <c r="M140">
        <f t="shared" si="55"/>
        <v>488.70477748092009</v>
      </c>
      <c r="P140" s="105"/>
      <c r="Q140">
        <v>60</v>
      </c>
      <c r="R140">
        <f t="shared" si="51"/>
        <v>4132.7851199999996</v>
      </c>
      <c r="S140">
        <f t="shared" si="39"/>
        <v>1</v>
      </c>
      <c r="U140">
        <f t="shared" si="52"/>
        <v>523.77600000000007</v>
      </c>
      <c r="V140">
        <f t="shared" si="53"/>
        <v>704.63986295999996</v>
      </c>
      <c r="W140">
        <f t="shared" si="41"/>
        <v>704.63986295999996</v>
      </c>
      <c r="Y140">
        <f t="shared" si="54"/>
        <v>209.44490463468003</v>
      </c>
    </row>
    <row r="141" spans="2:25" x14ac:dyDescent="0.2">
      <c r="B141" s="92"/>
      <c r="C141">
        <v>80</v>
      </c>
      <c r="D141">
        <f t="shared" si="37"/>
        <v>279.25987284624</v>
      </c>
      <c r="F141">
        <f t="shared" si="55"/>
        <v>39.894267549462853</v>
      </c>
      <c r="G141">
        <f t="shared" si="55"/>
        <v>46.543312141039998</v>
      </c>
      <c r="H141">
        <f t="shared" si="55"/>
        <v>55.851974569248</v>
      </c>
      <c r="I141">
        <f t="shared" si="55"/>
        <v>69.81496821156</v>
      </c>
      <c r="J141">
        <f t="shared" si="55"/>
        <v>93.086624282079995</v>
      </c>
      <c r="K141">
        <f t="shared" si="55"/>
        <v>139.62993642312</v>
      </c>
      <c r="L141">
        <f t="shared" si="55"/>
        <v>279.25987284624</v>
      </c>
      <c r="M141">
        <f t="shared" si="55"/>
        <v>558.51974569248</v>
      </c>
      <c r="P141" s="105"/>
      <c r="Q141">
        <v>70</v>
      </c>
      <c r="R141">
        <f t="shared" si="51"/>
        <v>4821.5826399999996</v>
      </c>
      <c r="S141">
        <f t="shared" si="39"/>
        <v>1</v>
      </c>
      <c r="U141">
        <f t="shared" si="52"/>
        <v>611.072</v>
      </c>
      <c r="V141">
        <f t="shared" si="53"/>
        <v>822.07984011999997</v>
      </c>
      <c r="W141">
        <f t="shared" si="41"/>
        <v>822.07984011999997</v>
      </c>
      <c r="Y141">
        <f t="shared" si="54"/>
        <v>244.35238874046004</v>
      </c>
    </row>
    <row r="142" spans="2:25" x14ac:dyDescent="0.2">
      <c r="B142" s="92">
        <v>50</v>
      </c>
      <c r="C142">
        <v>5</v>
      </c>
      <c r="D142">
        <f t="shared" si="37"/>
        <v>19.137963033750001</v>
      </c>
      <c r="F142">
        <f t="shared" si="55"/>
        <v>2.7339947191071428</v>
      </c>
      <c r="G142">
        <f t="shared" si="55"/>
        <v>3.189660505625</v>
      </c>
      <c r="H142">
        <f t="shared" si="55"/>
        <v>3.8275926067500006</v>
      </c>
      <c r="I142">
        <f t="shared" si="55"/>
        <v>4.7844907584375003</v>
      </c>
      <c r="J142">
        <f t="shared" si="55"/>
        <v>6.3793210112500001</v>
      </c>
      <c r="K142">
        <f t="shared" si="55"/>
        <v>9.5689815168750005</v>
      </c>
      <c r="L142">
        <f t="shared" si="55"/>
        <v>19.137963033750001</v>
      </c>
      <c r="M142">
        <f t="shared" si="55"/>
        <v>38.275926067500002</v>
      </c>
      <c r="P142" s="105"/>
      <c r="Q142">
        <v>80</v>
      </c>
      <c r="R142">
        <f t="shared" si="51"/>
        <v>5510.3801599999997</v>
      </c>
      <c r="S142">
        <f t="shared" si="39"/>
        <v>1</v>
      </c>
      <c r="U142">
        <f t="shared" si="52"/>
        <v>698.36800000000005</v>
      </c>
      <c r="V142">
        <f t="shared" si="53"/>
        <v>939.51981727999998</v>
      </c>
      <c r="W142">
        <f t="shared" si="41"/>
        <v>939.51981727999998</v>
      </c>
      <c r="Y142">
        <f t="shared" si="54"/>
        <v>279.25987284624</v>
      </c>
    </row>
    <row r="143" spans="2:25" x14ac:dyDescent="0.2">
      <c r="B143" s="92"/>
      <c r="C143">
        <v>10</v>
      </c>
      <c r="D143">
        <f t="shared" si="37"/>
        <v>38.275926067500002</v>
      </c>
      <c r="F143">
        <f t="shared" si="55"/>
        <v>5.4679894382142855</v>
      </c>
      <c r="G143">
        <f t="shared" si="55"/>
        <v>6.3793210112500001</v>
      </c>
      <c r="H143">
        <f t="shared" si="55"/>
        <v>7.6551852135000011</v>
      </c>
      <c r="I143">
        <f t="shared" si="55"/>
        <v>9.5689815168750005</v>
      </c>
      <c r="J143">
        <f t="shared" si="55"/>
        <v>12.7586420225</v>
      </c>
      <c r="K143">
        <f t="shared" si="55"/>
        <v>19.137963033750001</v>
      </c>
      <c r="L143">
        <f t="shared" si="55"/>
        <v>38.275926067500002</v>
      </c>
      <c r="M143">
        <f t="shared" si="55"/>
        <v>76.551852135000004</v>
      </c>
      <c r="P143" s="105">
        <v>50</v>
      </c>
      <c r="Q143">
        <v>5</v>
      </c>
      <c r="R143">
        <f>1.60934*Q143*($D$91+$S$102)</f>
        <v>402.33499999999998</v>
      </c>
      <c r="S143">
        <f t="shared" si="39"/>
        <v>1</v>
      </c>
      <c r="U143">
        <f t="shared" ref="U143:U151" si="56">T89</f>
        <v>43.648000000000003</v>
      </c>
      <c r="V143">
        <f>R143*$S$101</f>
        <v>68.598117500000001</v>
      </c>
      <c r="W143">
        <f t="shared" si="41"/>
        <v>68.598117500000001</v>
      </c>
      <c r="Y143">
        <f t="shared" si="54"/>
        <v>19.137963033750001</v>
      </c>
    </row>
    <row r="144" spans="2:25" ht="15" x14ac:dyDescent="0.25">
      <c r="B144" s="92"/>
      <c r="C144">
        <v>20</v>
      </c>
      <c r="D144">
        <f t="shared" si="37"/>
        <v>76.551852135000004</v>
      </c>
      <c r="F144" s="1">
        <f t="shared" si="55"/>
        <v>10.935978876428571</v>
      </c>
      <c r="G144">
        <f t="shared" si="55"/>
        <v>12.7586420225</v>
      </c>
      <c r="H144">
        <f t="shared" si="55"/>
        <v>15.310370427000002</v>
      </c>
      <c r="I144">
        <f t="shared" si="55"/>
        <v>19.137963033750001</v>
      </c>
      <c r="J144">
        <f t="shared" si="55"/>
        <v>25.517284045</v>
      </c>
      <c r="K144">
        <f t="shared" si="55"/>
        <v>38.275926067500002</v>
      </c>
      <c r="L144">
        <f t="shared" si="55"/>
        <v>76.551852135000004</v>
      </c>
      <c r="M144">
        <f t="shared" si="55"/>
        <v>153.10370427000001</v>
      </c>
      <c r="P144" s="105"/>
      <c r="Q144">
        <v>10</v>
      </c>
      <c r="R144">
        <f t="shared" ref="R144:R151" si="57">1.60934*Q144*($D$91+$S$102)</f>
        <v>804.67</v>
      </c>
      <c r="S144">
        <f t="shared" si="39"/>
        <v>1</v>
      </c>
      <c r="U144">
        <f t="shared" si="56"/>
        <v>87.296000000000006</v>
      </c>
      <c r="V144">
        <f t="shared" si="53"/>
        <v>137.196235</v>
      </c>
      <c r="W144">
        <f t="shared" si="41"/>
        <v>137.196235</v>
      </c>
      <c r="Y144">
        <f t="shared" si="54"/>
        <v>38.275926067500002</v>
      </c>
    </row>
    <row r="145" spans="2:25" x14ac:dyDescent="0.2">
      <c r="B145" s="92"/>
      <c r="C145">
        <v>30</v>
      </c>
      <c r="D145">
        <f t="shared" si="37"/>
        <v>114.82777820250001</v>
      </c>
      <c r="F145">
        <f t="shared" si="55"/>
        <v>16.403968314642857</v>
      </c>
      <c r="G145">
        <f t="shared" si="55"/>
        <v>19.137963033750001</v>
      </c>
      <c r="H145">
        <f t="shared" si="55"/>
        <v>22.965555640500003</v>
      </c>
      <c r="I145">
        <f t="shared" si="55"/>
        <v>28.706944550625003</v>
      </c>
      <c r="J145">
        <f t="shared" si="55"/>
        <v>38.275926067500002</v>
      </c>
      <c r="K145">
        <f t="shared" si="55"/>
        <v>57.413889101250007</v>
      </c>
      <c r="L145">
        <f t="shared" si="55"/>
        <v>114.82777820250001</v>
      </c>
      <c r="M145">
        <f t="shared" si="55"/>
        <v>229.65555640500003</v>
      </c>
      <c r="P145" s="105"/>
      <c r="Q145">
        <v>20</v>
      </c>
      <c r="R145">
        <f t="shared" si="57"/>
        <v>1609.34</v>
      </c>
      <c r="S145">
        <f t="shared" si="39"/>
        <v>1</v>
      </c>
      <c r="U145">
        <f t="shared" si="56"/>
        <v>174.59200000000001</v>
      </c>
      <c r="V145">
        <f t="shared" si="53"/>
        <v>274.39247</v>
      </c>
      <c r="W145">
        <f t="shared" si="41"/>
        <v>274.39247</v>
      </c>
      <c r="Y145">
        <f t="shared" si="54"/>
        <v>76.551852135000004</v>
      </c>
    </row>
    <row r="146" spans="2:25" x14ac:dyDescent="0.2">
      <c r="B146" s="92"/>
      <c r="C146">
        <v>40</v>
      </c>
      <c r="D146">
        <f t="shared" si="37"/>
        <v>153.10370427000001</v>
      </c>
      <c r="F146">
        <f t="shared" si="55"/>
        <v>21.871957752857142</v>
      </c>
      <c r="G146">
        <f t="shared" si="55"/>
        <v>25.517284045</v>
      </c>
      <c r="H146">
        <f t="shared" si="55"/>
        <v>30.620740854000005</v>
      </c>
      <c r="I146">
        <f t="shared" si="55"/>
        <v>38.275926067500002</v>
      </c>
      <c r="J146">
        <f t="shared" si="55"/>
        <v>51.03456809</v>
      </c>
      <c r="K146">
        <f t="shared" si="55"/>
        <v>76.551852135000004</v>
      </c>
      <c r="L146">
        <f t="shared" si="55"/>
        <v>153.10370427000001</v>
      </c>
      <c r="M146">
        <f t="shared" si="55"/>
        <v>306.20740854000002</v>
      </c>
      <c r="P146" s="105"/>
      <c r="Q146">
        <v>30</v>
      </c>
      <c r="R146">
        <f t="shared" si="57"/>
        <v>2414.0100000000002</v>
      </c>
      <c r="S146">
        <f t="shared" si="39"/>
        <v>1</v>
      </c>
      <c r="U146">
        <f t="shared" si="56"/>
        <v>261.88800000000003</v>
      </c>
      <c r="V146">
        <f t="shared" si="53"/>
        <v>411.58870500000006</v>
      </c>
      <c r="W146">
        <f t="shared" si="41"/>
        <v>411.58870500000006</v>
      </c>
      <c r="Y146">
        <f t="shared" si="54"/>
        <v>114.82777820250001</v>
      </c>
    </row>
    <row r="147" spans="2:25" x14ac:dyDescent="0.2">
      <c r="B147" s="92"/>
      <c r="C147">
        <v>50</v>
      </c>
      <c r="D147">
        <f t="shared" si="37"/>
        <v>191.3796303375</v>
      </c>
      <c r="F147">
        <f t="shared" si="55"/>
        <v>27.339947191071428</v>
      </c>
      <c r="G147">
        <f t="shared" si="55"/>
        <v>31.896605056249999</v>
      </c>
      <c r="H147">
        <f t="shared" si="55"/>
        <v>38.275926067500002</v>
      </c>
      <c r="I147">
        <f t="shared" si="55"/>
        <v>47.844907584375001</v>
      </c>
      <c r="J147">
        <f t="shared" si="55"/>
        <v>63.793210112499999</v>
      </c>
      <c r="K147">
        <f t="shared" si="55"/>
        <v>95.689815168750002</v>
      </c>
      <c r="L147">
        <f t="shared" si="55"/>
        <v>191.3796303375</v>
      </c>
      <c r="M147">
        <f t="shared" si="55"/>
        <v>382.75926067500001</v>
      </c>
      <c r="P147" s="105"/>
      <c r="Q147">
        <v>40</v>
      </c>
      <c r="R147">
        <f t="shared" si="57"/>
        <v>3218.68</v>
      </c>
      <c r="S147">
        <f t="shared" si="39"/>
        <v>1</v>
      </c>
      <c r="U147">
        <f t="shared" si="56"/>
        <v>349.18400000000003</v>
      </c>
      <c r="V147">
        <f t="shared" si="53"/>
        <v>548.78494000000001</v>
      </c>
      <c r="W147">
        <f t="shared" si="41"/>
        <v>548.78494000000001</v>
      </c>
      <c r="Y147">
        <f t="shared" si="54"/>
        <v>153.10370427000001</v>
      </c>
    </row>
    <row r="148" spans="2:25" x14ac:dyDescent="0.2">
      <c r="B148" s="92"/>
      <c r="C148">
        <v>60</v>
      </c>
      <c r="D148">
        <f t="shared" si="37"/>
        <v>229.65555640500003</v>
      </c>
      <c r="F148">
        <f t="shared" si="55"/>
        <v>32.807936629285713</v>
      </c>
      <c r="G148">
        <f t="shared" si="55"/>
        <v>38.275926067500002</v>
      </c>
      <c r="H148">
        <f t="shared" si="55"/>
        <v>45.931111281000007</v>
      </c>
      <c r="I148">
        <f t="shared" si="55"/>
        <v>57.413889101250007</v>
      </c>
      <c r="J148">
        <f t="shared" si="55"/>
        <v>76.551852135000004</v>
      </c>
      <c r="K148">
        <f t="shared" si="55"/>
        <v>114.82777820250001</v>
      </c>
      <c r="L148">
        <f t="shared" si="55"/>
        <v>229.65555640500003</v>
      </c>
      <c r="M148">
        <f t="shared" si="55"/>
        <v>459.31111281000005</v>
      </c>
      <c r="P148" s="105"/>
      <c r="Q148">
        <v>50</v>
      </c>
      <c r="R148">
        <f t="shared" si="57"/>
        <v>4023.35</v>
      </c>
      <c r="S148">
        <f t="shared" si="39"/>
        <v>1</v>
      </c>
      <c r="U148">
        <f t="shared" si="56"/>
        <v>436.48</v>
      </c>
      <c r="V148">
        <f t="shared" si="53"/>
        <v>685.98117500000001</v>
      </c>
      <c r="W148">
        <f t="shared" si="41"/>
        <v>685.98117500000001</v>
      </c>
      <c r="Y148">
        <f t="shared" si="54"/>
        <v>191.3796303375</v>
      </c>
    </row>
    <row r="149" spans="2:25" x14ac:dyDescent="0.2">
      <c r="B149" s="92"/>
      <c r="C149">
        <v>70</v>
      </c>
      <c r="D149">
        <f t="shared" si="37"/>
        <v>267.93148247250008</v>
      </c>
      <c r="F149">
        <f t="shared" si="55"/>
        <v>38.275926067500009</v>
      </c>
      <c r="G149">
        <f t="shared" si="55"/>
        <v>44.655247078750008</v>
      </c>
      <c r="H149">
        <f t="shared" si="55"/>
        <v>53.586296494500019</v>
      </c>
      <c r="I149">
        <f t="shared" si="55"/>
        <v>66.98287061812502</v>
      </c>
      <c r="J149">
        <f t="shared" si="55"/>
        <v>89.310494157500017</v>
      </c>
      <c r="K149">
        <f t="shared" si="55"/>
        <v>133.96574123625004</v>
      </c>
      <c r="L149">
        <f t="shared" si="55"/>
        <v>267.93148247250008</v>
      </c>
      <c r="M149">
        <f t="shared" si="55"/>
        <v>535.86296494500016</v>
      </c>
      <c r="P149" s="105"/>
      <c r="Q149">
        <v>60</v>
      </c>
      <c r="R149">
        <f t="shared" si="57"/>
        <v>4828.0200000000004</v>
      </c>
      <c r="S149">
        <f t="shared" si="39"/>
        <v>1</v>
      </c>
      <c r="U149">
        <f t="shared" si="56"/>
        <v>523.77600000000007</v>
      </c>
      <c r="V149">
        <f t="shared" si="53"/>
        <v>823.17741000000012</v>
      </c>
      <c r="W149">
        <f t="shared" si="41"/>
        <v>823.17741000000012</v>
      </c>
      <c r="Y149">
        <f t="shared" si="54"/>
        <v>229.65555640500003</v>
      </c>
    </row>
    <row r="150" spans="2:25" x14ac:dyDescent="0.2">
      <c r="B150" s="92"/>
      <c r="C150">
        <v>80</v>
      </c>
      <c r="D150">
        <f t="shared" si="37"/>
        <v>306.20740854000002</v>
      </c>
      <c r="F150">
        <f t="shared" si="55"/>
        <v>43.743915505714284</v>
      </c>
      <c r="G150">
        <f t="shared" si="55"/>
        <v>51.03456809</v>
      </c>
      <c r="H150">
        <f t="shared" si="55"/>
        <v>61.241481708000009</v>
      </c>
      <c r="I150">
        <f t="shared" si="55"/>
        <v>76.551852135000004</v>
      </c>
      <c r="J150">
        <f t="shared" si="55"/>
        <v>102.06913618</v>
      </c>
      <c r="K150">
        <f t="shared" si="55"/>
        <v>153.10370427000001</v>
      </c>
      <c r="L150">
        <f t="shared" si="55"/>
        <v>306.20740854000002</v>
      </c>
      <c r="M150">
        <f t="shared" si="55"/>
        <v>612.41481708000003</v>
      </c>
      <c r="P150" s="105"/>
      <c r="Q150">
        <v>70</v>
      </c>
      <c r="R150">
        <f t="shared" si="57"/>
        <v>5632.6900000000005</v>
      </c>
      <c r="S150">
        <f t="shared" si="39"/>
        <v>1</v>
      </c>
      <c r="U150">
        <f t="shared" si="56"/>
        <v>611.072</v>
      </c>
      <c r="V150">
        <f t="shared" si="53"/>
        <v>960.37364500000012</v>
      </c>
      <c r="W150">
        <f t="shared" si="41"/>
        <v>960.37364500000012</v>
      </c>
      <c r="Y150">
        <f t="shared" si="54"/>
        <v>267.93148247250008</v>
      </c>
    </row>
    <row r="151" spans="2:25" x14ac:dyDescent="0.2">
      <c r="B151" s="92">
        <v>75</v>
      </c>
      <c r="C151">
        <v>5</v>
      </c>
      <c r="D151">
        <f t="shared" si="37"/>
        <v>18.085324920712505</v>
      </c>
      <c r="F151">
        <f t="shared" si="55"/>
        <v>2.5836178458160721</v>
      </c>
      <c r="G151">
        <f t="shared" si="55"/>
        <v>3.0142208201187506</v>
      </c>
      <c r="H151">
        <f t="shared" si="55"/>
        <v>3.6170649841425013</v>
      </c>
      <c r="I151">
        <f t="shared" si="55"/>
        <v>4.5213312301781263</v>
      </c>
      <c r="J151">
        <f t="shared" si="55"/>
        <v>6.0284416402375012</v>
      </c>
      <c r="K151">
        <f t="shared" si="55"/>
        <v>9.0426624603562527</v>
      </c>
      <c r="L151">
        <f t="shared" si="55"/>
        <v>18.085324920712505</v>
      </c>
      <c r="M151">
        <f t="shared" si="55"/>
        <v>36.170649841425011</v>
      </c>
      <c r="P151" s="105"/>
      <c r="Q151">
        <v>80</v>
      </c>
      <c r="R151">
        <f t="shared" si="57"/>
        <v>6437.36</v>
      </c>
      <c r="S151">
        <f t="shared" si="39"/>
        <v>1</v>
      </c>
      <c r="U151">
        <f t="shared" si="56"/>
        <v>698.36800000000005</v>
      </c>
      <c r="V151">
        <f t="shared" si="53"/>
        <v>1097.56988</v>
      </c>
      <c r="W151">
        <f t="shared" si="41"/>
        <v>1097.56988</v>
      </c>
      <c r="Y151">
        <f t="shared" si="54"/>
        <v>306.20740854000002</v>
      </c>
    </row>
    <row r="152" spans="2:25" x14ac:dyDescent="0.2">
      <c r="B152" s="92"/>
      <c r="C152">
        <v>10</v>
      </c>
      <c r="D152">
        <f t="shared" si="37"/>
        <v>36.170649841425011</v>
      </c>
      <c r="F152">
        <f t="shared" si="55"/>
        <v>5.1672356916321442</v>
      </c>
      <c r="G152">
        <f t="shared" si="55"/>
        <v>6.0284416402375012</v>
      </c>
      <c r="H152">
        <f t="shared" si="55"/>
        <v>7.2341299682850027</v>
      </c>
      <c r="I152">
        <f t="shared" si="55"/>
        <v>9.0426624603562527</v>
      </c>
      <c r="J152">
        <f t="shared" si="55"/>
        <v>12.056883280475002</v>
      </c>
      <c r="K152">
        <f t="shared" si="55"/>
        <v>18.085324920712505</v>
      </c>
      <c r="L152">
        <f t="shared" si="55"/>
        <v>36.170649841425011</v>
      </c>
      <c r="M152">
        <f t="shared" si="55"/>
        <v>72.341299682850021</v>
      </c>
      <c r="P152" s="105">
        <v>75</v>
      </c>
      <c r="Q152">
        <v>5</v>
      </c>
      <c r="R152">
        <f>1.60934*Q152*($J$92+$S$102)</f>
        <v>366.12484999999998</v>
      </c>
      <c r="S152">
        <f>$H$92</f>
        <v>2</v>
      </c>
      <c r="U152">
        <f t="shared" ref="U152:U160" si="58">T89</f>
        <v>43.648000000000003</v>
      </c>
      <c r="V152">
        <f t="shared" si="53"/>
        <v>62.424286925000004</v>
      </c>
      <c r="W152">
        <f t="shared" si="41"/>
        <v>124.84857385000001</v>
      </c>
      <c r="Y152">
        <f t="shared" si="54"/>
        <v>18.085324920712505</v>
      </c>
    </row>
    <row r="153" spans="2:25" ht="15" x14ac:dyDescent="0.25">
      <c r="B153" s="92"/>
      <c r="C153">
        <v>20</v>
      </c>
      <c r="D153">
        <f t="shared" si="37"/>
        <v>72.341299682850021</v>
      </c>
      <c r="F153" s="1">
        <f t="shared" si="55"/>
        <v>10.334471383264288</v>
      </c>
      <c r="G153">
        <f t="shared" si="55"/>
        <v>12.056883280475002</v>
      </c>
      <c r="H153">
        <f t="shared" si="55"/>
        <v>14.468259936570005</v>
      </c>
      <c r="I153">
        <f t="shared" si="55"/>
        <v>18.085324920712505</v>
      </c>
      <c r="J153">
        <f t="shared" si="55"/>
        <v>24.113766560950005</v>
      </c>
      <c r="K153">
        <f t="shared" si="55"/>
        <v>36.170649841425011</v>
      </c>
      <c r="L153">
        <f t="shared" si="55"/>
        <v>72.341299682850021</v>
      </c>
      <c r="M153">
        <f t="shared" si="55"/>
        <v>144.68259936570004</v>
      </c>
      <c r="P153" s="105"/>
      <c r="Q153">
        <v>10</v>
      </c>
      <c r="R153">
        <f t="shared" ref="R153:R160" si="59">1.60934*Q153*($J$92+$S$102)</f>
        <v>732.24969999999996</v>
      </c>
      <c r="S153">
        <f t="shared" ref="S153:S160" si="60">$H$92</f>
        <v>2</v>
      </c>
      <c r="U153">
        <f t="shared" si="58"/>
        <v>87.296000000000006</v>
      </c>
      <c r="V153">
        <f t="shared" si="53"/>
        <v>124.84857385000001</v>
      </c>
      <c r="W153">
        <f t="shared" si="41"/>
        <v>249.69714770000002</v>
      </c>
      <c r="Y153">
        <f t="shared" si="54"/>
        <v>36.170649841425011</v>
      </c>
    </row>
    <row r="154" spans="2:25" x14ac:dyDescent="0.2">
      <c r="B154" s="92"/>
      <c r="C154">
        <v>30</v>
      </c>
      <c r="D154">
        <f t="shared" si="37"/>
        <v>108.51194952427502</v>
      </c>
      <c r="F154">
        <f t="shared" si="55"/>
        <v>15.501707074896432</v>
      </c>
      <c r="G154">
        <f t="shared" si="55"/>
        <v>18.085324920712502</v>
      </c>
      <c r="H154">
        <f t="shared" si="55"/>
        <v>21.702389904855007</v>
      </c>
      <c r="I154">
        <f t="shared" si="55"/>
        <v>27.127987381068756</v>
      </c>
      <c r="J154">
        <f t="shared" si="55"/>
        <v>36.170649841425004</v>
      </c>
      <c r="K154">
        <f t="shared" si="55"/>
        <v>54.255974762137512</v>
      </c>
      <c r="L154">
        <f t="shared" si="55"/>
        <v>108.51194952427502</v>
      </c>
      <c r="M154">
        <f t="shared" si="55"/>
        <v>217.02389904855005</v>
      </c>
      <c r="P154" s="105"/>
      <c r="Q154">
        <v>20</v>
      </c>
      <c r="R154">
        <f t="shared" si="59"/>
        <v>1464.4993999999999</v>
      </c>
      <c r="S154">
        <f t="shared" si="60"/>
        <v>2</v>
      </c>
      <c r="U154">
        <f t="shared" si="58"/>
        <v>174.59200000000001</v>
      </c>
      <c r="V154">
        <f t="shared" si="53"/>
        <v>249.69714770000002</v>
      </c>
      <c r="W154">
        <f t="shared" si="41"/>
        <v>499.39429540000003</v>
      </c>
      <c r="Y154">
        <f t="shared" si="54"/>
        <v>72.341299682850021</v>
      </c>
    </row>
    <row r="155" spans="2:25" x14ac:dyDescent="0.2">
      <c r="B155" s="92"/>
      <c r="C155">
        <v>40</v>
      </c>
      <c r="D155">
        <f t="shared" si="37"/>
        <v>144.68259936570004</v>
      </c>
      <c r="F155">
        <f t="shared" si="55"/>
        <v>20.668942766528577</v>
      </c>
      <c r="G155">
        <f t="shared" si="55"/>
        <v>24.113766560950005</v>
      </c>
      <c r="H155">
        <f t="shared" si="55"/>
        <v>28.936519873140011</v>
      </c>
      <c r="I155">
        <f t="shared" si="55"/>
        <v>36.170649841425011</v>
      </c>
      <c r="J155">
        <f t="shared" si="55"/>
        <v>48.227533121900009</v>
      </c>
      <c r="K155">
        <f t="shared" si="55"/>
        <v>72.341299682850021</v>
      </c>
      <c r="L155">
        <f t="shared" si="55"/>
        <v>144.68259936570004</v>
      </c>
      <c r="M155">
        <f t="shared" si="55"/>
        <v>289.36519873140008</v>
      </c>
      <c r="P155" s="105"/>
      <c r="Q155">
        <v>30</v>
      </c>
      <c r="R155">
        <f t="shared" si="59"/>
        <v>2196.7491</v>
      </c>
      <c r="S155">
        <f t="shared" si="60"/>
        <v>2</v>
      </c>
      <c r="U155">
        <f t="shared" si="58"/>
        <v>261.88800000000003</v>
      </c>
      <c r="V155">
        <f t="shared" si="53"/>
        <v>374.54572155000005</v>
      </c>
      <c r="W155">
        <f t="shared" si="41"/>
        <v>749.09144310000011</v>
      </c>
      <c r="Y155">
        <f t="shared" si="54"/>
        <v>108.51194952427502</v>
      </c>
    </row>
    <row r="156" spans="2:25" x14ac:dyDescent="0.2">
      <c r="B156" s="92"/>
      <c r="C156">
        <v>50</v>
      </c>
      <c r="D156">
        <f t="shared" si="37"/>
        <v>180.85324920712506</v>
      </c>
      <c r="F156">
        <f t="shared" si="55"/>
        <v>25.83617845816072</v>
      </c>
      <c r="G156">
        <f t="shared" si="55"/>
        <v>30.142208201187508</v>
      </c>
      <c r="H156">
        <f t="shared" si="55"/>
        <v>36.170649841425011</v>
      </c>
      <c r="I156">
        <f t="shared" si="55"/>
        <v>45.213312301781265</v>
      </c>
      <c r="J156">
        <f t="shared" si="55"/>
        <v>60.284416402375015</v>
      </c>
      <c r="K156">
        <f t="shared" si="55"/>
        <v>90.42662460356253</v>
      </c>
      <c r="L156">
        <f t="shared" si="55"/>
        <v>180.85324920712506</v>
      </c>
      <c r="M156">
        <f t="shared" si="55"/>
        <v>361.70649841425012</v>
      </c>
      <c r="P156" s="105"/>
      <c r="Q156">
        <v>40</v>
      </c>
      <c r="R156">
        <f t="shared" si="59"/>
        <v>2928.9987999999998</v>
      </c>
      <c r="S156">
        <f t="shared" si="60"/>
        <v>2</v>
      </c>
      <c r="U156">
        <f t="shared" si="58"/>
        <v>349.18400000000003</v>
      </c>
      <c r="V156">
        <f t="shared" si="53"/>
        <v>499.39429540000003</v>
      </c>
      <c r="W156">
        <f t="shared" si="41"/>
        <v>998.78859080000007</v>
      </c>
      <c r="Y156">
        <f t="shared" si="54"/>
        <v>144.68259936570004</v>
      </c>
    </row>
    <row r="157" spans="2:25" x14ac:dyDescent="0.2">
      <c r="B157" s="92"/>
      <c r="C157">
        <v>60</v>
      </c>
      <c r="D157">
        <f t="shared" si="37"/>
        <v>217.02389904855005</v>
      </c>
      <c r="F157">
        <f t="shared" si="55"/>
        <v>31.003414149792864</v>
      </c>
      <c r="G157">
        <f t="shared" si="55"/>
        <v>36.170649841425004</v>
      </c>
      <c r="H157">
        <f t="shared" si="55"/>
        <v>43.404779809710014</v>
      </c>
      <c r="I157">
        <f t="shared" si="55"/>
        <v>54.255974762137512</v>
      </c>
      <c r="J157">
        <f t="shared" si="55"/>
        <v>72.341299682850007</v>
      </c>
      <c r="K157">
        <f t="shared" si="55"/>
        <v>108.51194952427502</v>
      </c>
      <c r="L157">
        <f t="shared" si="55"/>
        <v>217.02389904855005</v>
      </c>
      <c r="M157">
        <f t="shared" si="55"/>
        <v>434.0477980971001</v>
      </c>
      <c r="P157" s="105"/>
      <c r="Q157">
        <v>50</v>
      </c>
      <c r="R157">
        <f t="shared" si="59"/>
        <v>3661.2485000000001</v>
      </c>
      <c r="S157">
        <f t="shared" si="60"/>
        <v>2</v>
      </c>
      <c r="U157">
        <f t="shared" si="58"/>
        <v>436.48</v>
      </c>
      <c r="V157">
        <f t="shared" si="53"/>
        <v>624.24286925000013</v>
      </c>
      <c r="W157">
        <f t="shared" si="41"/>
        <v>1248.4857385000003</v>
      </c>
      <c r="Y157">
        <f t="shared" si="54"/>
        <v>180.85324920712506</v>
      </c>
    </row>
    <row r="158" spans="2:25" x14ac:dyDescent="0.2">
      <c r="B158" s="92"/>
      <c r="C158">
        <v>70</v>
      </c>
      <c r="D158">
        <f t="shared" si="37"/>
        <v>253.19454888997504</v>
      </c>
      <c r="F158">
        <f t="shared" si="55"/>
        <v>36.170649841425004</v>
      </c>
      <c r="G158">
        <f t="shared" si="55"/>
        <v>42.199091481662506</v>
      </c>
      <c r="H158">
        <f t="shared" si="55"/>
        <v>50.638909777995011</v>
      </c>
      <c r="I158">
        <f t="shared" si="55"/>
        <v>63.29863722249376</v>
      </c>
      <c r="J158">
        <f t="shared" si="55"/>
        <v>84.398182963325013</v>
      </c>
      <c r="K158">
        <f t="shared" si="55"/>
        <v>126.59727444498752</v>
      </c>
      <c r="L158">
        <f t="shared" si="55"/>
        <v>253.19454888997504</v>
      </c>
      <c r="M158">
        <f t="shared" si="55"/>
        <v>506.38909777995008</v>
      </c>
      <c r="P158" s="105"/>
      <c r="Q158">
        <v>60</v>
      </c>
      <c r="R158">
        <f t="shared" si="59"/>
        <v>4393.4982</v>
      </c>
      <c r="S158">
        <f t="shared" si="60"/>
        <v>2</v>
      </c>
      <c r="U158">
        <f t="shared" si="58"/>
        <v>523.77600000000007</v>
      </c>
      <c r="V158">
        <f t="shared" si="53"/>
        <v>749.09144310000011</v>
      </c>
      <c r="W158">
        <f t="shared" si="41"/>
        <v>1498.1828862000002</v>
      </c>
      <c r="Y158">
        <f t="shared" si="54"/>
        <v>217.02389904855005</v>
      </c>
    </row>
    <row r="159" spans="2:25" x14ac:dyDescent="0.2">
      <c r="B159" s="92"/>
      <c r="C159">
        <v>80</v>
      </c>
      <c r="D159">
        <f t="shared" si="37"/>
        <v>289.36519873140008</v>
      </c>
      <c r="F159">
        <f t="shared" si="55"/>
        <v>41.337885533057154</v>
      </c>
      <c r="G159">
        <f t="shared" si="55"/>
        <v>48.227533121900009</v>
      </c>
      <c r="H159">
        <f t="shared" si="55"/>
        <v>57.873039746280021</v>
      </c>
      <c r="I159">
        <f t="shared" si="55"/>
        <v>72.341299682850021</v>
      </c>
      <c r="J159">
        <f t="shared" si="55"/>
        <v>96.455066243800019</v>
      </c>
      <c r="K159">
        <f t="shared" si="55"/>
        <v>144.68259936570004</v>
      </c>
      <c r="L159">
        <f t="shared" si="55"/>
        <v>289.36519873140008</v>
      </c>
      <c r="M159">
        <f t="shared" si="55"/>
        <v>578.73039746280017</v>
      </c>
      <c r="P159" s="105"/>
      <c r="Q159">
        <v>70</v>
      </c>
      <c r="R159">
        <f t="shared" si="59"/>
        <v>5125.7479000000003</v>
      </c>
      <c r="S159">
        <f t="shared" si="60"/>
        <v>2</v>
      </c>
      <c r="U159">
        <f t="shared" si="58"/>
        <v>611.072</v>
      </c>
      <c r="V159">
        <f t="shared" si="53"/>
        <v>873.94001695000009</v>
      </c>
      <c r="W159">
        <f t="shared" si="41"/>
        <v>1747.8800339000002</v>
      </c>
      <c r="Y159">
        <f t="shared" si="54"/>
        <v>253.19454888997504</v>
      </c>
    </row>
    <row r="160" spans="2:25" x14ac:dyDescent="0.2">
      <c r="B160" s="92">
        <v>100</v>
      </c>
      <c r="C160">
        <v>5</v>
      </c>
      <c r="D160">
        <f t="shared" si="37"/>
        <v>19.137963033750001</v>
      </c>
      <c r="F160">
        <f t="shared" si="55"/>
        <v>2.7339947191071428</v>
      </c>
      <c r="G160">
        <f t="shared" si="55"/>
        <v>3.189660505625</v>
      </c>
      <c r="H160">
        <f t="shared" si="55"/>
        <v>3.8275926067500006</v>
      </c>
      <c r="I160">
        <f t="shared" si="55"/>
        <v>4.7844907584375003</v>
      </c>
      <c r="J160">
        <f t="shared" si="55"/>
        <v>6.3793210112500001</v>
      </c>
      <c r="K160">
        <f t="shared" si="55"/>
        <v>9.5689815168750005</v>
      </c>
      <c r="L160">
        <f t="shared" si="55"/>
        <v>19.137963033750001</v>
      </c>
      <c r="M160">
        <f t="shared" si="55"/>
        <v>38.275926067500002</v>
      </c>
      <c r="P160" s="105"/>
      <c r="Q160">
        <v>80</v>
      </c>
      <c r="R160">
        <f t="shared" si="59"/>
        <v>5857.9975999999997</v>
      </c>
      <c r="S160">
        <f t="shared" si="60"/>
        <v>2</v>
      </c>
      <c r="U160">
        <f t="shared" si="58"/>
        <v>698.36800000000005</v>
      </c>
      <c r="V160">
        <f t="shared" si="53"/>
        <v>998.78859080000007</v>
      </c>
      <c r="W160">
        <f t="shared" si="41"/>
        <v>1997.5771816000001</v>
      </c>
      <c r="Y160">
        <f t="shared" si="54"/>
        <v>289.36519873140008</v>
      </c>
    </row>
    <row r="161" spans="2:25" x14ac:dyDescent="0.2">
      <c r="B161" s="92"/>
      <c r="C161">
        <v>10</v>
      </c>
      <c r="D161">
        <f>Y162</f>
        <v>38.275926067500002</v>
      </c>
      <c r="F161">
        <f t="shared" si="55"/>
        <v>5.4679894382142855</v>
      </c>
      <c r="G161">
        <f t="shared" si="55"/>
        <v>6.3793210112500001</v>
      </c>
      <c r="H161">
        <f t="shared" si="55"/>
        <v>7.6551852135000011</v>
      </c>
      <c r="I161">
        <f t="shared" si="55"/>
        <v>9.5689815168750005</v>
      </c>
      <c r="J161">
        <f t="shared" si="55"/>
        <v>12.7586420225</v>
      </c>
      <c r="K161">
        <f t="shared" si="55"/>
        <v>19.137963033750001</v>
      </c>
      <c r="L161">
        <f t="shared" si="55"/>
        <v>38.275926067500002</v>
      </c>
      <c r="M161">
        <f t="shared" si="55"/>
        <v>76.551852135000004</v>
      </c>
      <c r="P161" s="105">
        <v>100</v>
      </c>
      <c r="Q161">
        <v>5</v>
      </c>
      <c r="R161">
        <f>1.60934*Q161*($J$93+$S$102)</f>
        <v>402.33499999999998</v>
      </c>
      <c r="S161">
        <f>$H$93</f>
        <v>2</v>
      </c>
      <c r="U161">
        <f>T89</f>
        <v>43.648000000000003</v>
      </c>
      <c r="V161">
        <f t="shared" si="53"/>
        <v>68.598117500000001</v>
      </c>
      <c r="W161">
        <f t="shared" si="41"/>
        <v>137.196235</v>
      </c>
      <c r="Y161">
        <f t="shared" si="54"/>
        <v>19.137963033750001</v>
      </c>
    </row>
    <row r="162" spans="2:25" ht="15" x14ac:dyDescent="0.25">
      <c r="B162" s="92"/>
      <c r="C162">
        <v>20</v>
      </c>
      <c r="D162">
        <f t="shared" si="37"/>
        <v>76.551852135000004</v>
      </c>
      <c r="F162" s="1">
        <f t="shared" si="55"/>
        <v>10.935978876428571</v>
      </c>
      <c r="G162">
        <f t="shared" si="55"/>
        <v>12.7586420225</v>
      </c>
      <c r="H162">
        <f t="shared" si="55"/>
        <v>15.310370427000002</v>
      </c>
      <c r="I162">
        <f t="shared" si="55"/>
        <v>19.137963033750001</v>
      </c>
      <c r="J162">
        <f t="shared" si="55"/>
        <v>25.517284045</v>
      </c>
      <c r="K162">
        <f t="shared" si="55"/>
        <v>38.275926067500002</v>
      </c>
      <c r="L162">
        <f t="shared" si="55"/>
        <v>76.551852135000004</v>
      </c>
      <c r="M162">
        <f t="shared" si="55"/>
        <v>153.10370427000001</v>
      </c>
      <c r="P162" s="105"/>
      <c r="Q162">
        <v>10</v>
      </c>
      <c r="R162">
        <f>1.60934*Q162*($J$93+$S$102)</f>
        <v>804.67</v>
      </c>
      <c r="S162">
        <f t="shared" ref="S162:S169" si="61">$H$93</f>
        <v>2</v>
      </c>
      <c r="U162">
        <f>T90</f>
        <v>87.296000000000006</v>
      </c>
      <c r="V162">
        <f>R162*$S$101</f>
        <v>137.196235</v>
      </c>
      <c r="W162">
        <f>V162*S162</f>
        <v>274.39247</v>
      </c>
      <c r="Y162">
        <f>(U162+V162)*$S$101</f>
        <v>38.275926067500002</v>
      </c>
    </row>
    <row r="163" spans="2:25" x14ac:dyDescent="0.2">
      <c r="B163" s="92"/>
      <c r="C163">
        <v>30</v>
      </c>
      <c r="D163">
        <f t="shared" si="37"/>
        <v>114.82777820250001</v>
      </c>
      <c r="F163">
        <f t="shared" si="55"/>
        <v>16.403968314642857</v>
      </c>
      <c r="G163">
        <f>$D163*G$105</f>
        <v>19.137963033750001</v>
      </c>
      <c r="H163">
        <f t="shared" si="55"/>
        <v>22.965555640500003</v>
      </c>
      <c r="I163">
        <f t="shared" si="55"/>
        <v>28.706944550625003</v>
      </c>
      <c r="J163">
        <f t="shared" si="55"/>
        <v>38.275926067500002</v>
      </c>
      <c r="K163">
        <f t="shared" si="55"/>
        <v>57.413889101250007</v>
      </c>
      <c r="L163">
        <f t="shared" si="55"/>
        <v>114.82777820250001</v>
      </c>
      <c r="M163">
        <f t="shared" si="55"/>
        <v>229.65555640500003</v>
      </c>
      <c r="P163" s="105"/>
      <c r="Q163">
        <v>20</v>
      </c>
      <c r="R163">
        <f t="shared" ref="R163:R169" si="62">1.60934*Q163*($J$93+$S$102)</f>
        <v>1609.34</v>
      </c>
      <c r="S163">
        <f t="shared" si="61"/>
        <v>2</v>
      </c>
      <c r="U163">
        <f t="shared" ref="U163:U169" si="63">T91</f>
        <v>174.59200000000001</v>
      </c>
      <c r="V163">
        <f t="shared" si="53"/>
        <v>274.39247</v>
      </c>
      <c r="W163">
        <f t="shared" si="41"/>
        <v>548.78494000000001</v>
      </c>
      <c r="Y163">
        <f t="shared" si="54"/>
        <v>76.551852135000004</v>
      </c>
    </row>
    <row r="164" spans="2:25" x14ac:dyDescent="0.2">
      <c r="B164" s="92"/>
      <c r="C164">
        <v>40</v>
      </c>
      <c r="D164">
        <f t="shared" si="37"/>
        <v>153.10370427000001</v>
      </c>
      <c r="F164">
        <f t="shared" si="55"/>
        <v>21.871957752857142</v>
      </c>
      <c r="G164">
        <f t="shared" si="55"/>
        <v>25.517284045</v>
      </c>
      <c r="H164">
        <f t="shared" si="55"/>
        <v>30.620740854000005</v>
      </c>
      <c r="I164">
        <f t="shared" si="55"/>
        <v>38.275926067500002</v>
      </c>
      <c r="J164">
        <f t="shared" si="55"/>
        <v>51.03456809</v>
      </c>
      <c r="K164">
        <f t="shared" si="55"/>
        <v>76.551852135000004</v>
      </c>
      <c r="L164">
        <f t="shared" si="55"/>
        <v>153.10370427000001</v>
      </c>
      <c r="M164">
        <f t="shared" si="55"/>
        <v>306.20740854000002</v>
      </c>
      <c r="P164" s="105"/>
      <c r="Q164">
        <v>30</v>
      </c>
      <c r="R164">
        <f t="shared" si="62"/>
        <v>2414.0100000000002</v>
      </c>
      <c r="S164">
        <f t="shared" si="61"/>
        <v>2</v>
      </c>
      <c r="U164">
        <f t="shared" si="63"/>
        <v>261.88800000000003</v>
      </c>
      <c r="V164">
        <f t="shared" si="53"/>
        <v>411.58870500000006</v>
      </c>
      <c r="W164">
        <f t="shared" si="41"/>
        <v>823.17741000000012</v>
      </c>
      <c r="Y164">
        <f t="shared" si="54"/>
        <v>114.82777820250001</v>
      </c>
    </row>
    <row r="165" spans="2:25" x14ac:dyDescent="0.2">
      <c r="B165" s="92"/>
      <c r="C165">
        <v>50</v>
      </c>
      <c r="D165">
        <f t="shared" si="37"/>
        <v>191.3796303375</v>
      </c>
      <c r="F165">
        <f t="shared" si="55"/>
        <v>27.339947191071428</v>
      </c>
      <c r="G165">
        <f t="shared" si="55"/>
        <v>31.896605056249999</v>
      </c>
      <c r="H165">
        <f t="shared" si="55"/>
        <v>38.275926067500002</v>
      </c>
      <c r="I165">
        <f t="shared" si="55"/>
        <v>47.844907584375001</v>
      </c>
      <c r="J165">
        <f t="shared" si="55"/>
        <v>63.793210112499999</v>
      </c>
      <c r="K165">
        <f t="shared" si="55"/>
        <v>95.689815168750002</v>
      </c>
      <c r="L165">
        <f t="shared" si="55"/>
        <v>191.3796303375</v>
      </c>
      <c r="M165">
        <f t="shared" si="55"/>
        <v>382.75926067500001</v>
      </c>
      <c r="P165" s="105"/>
      <c r="Q165">
        <v>40</v>
      </c>
      <c r="R165">
        <f t="shared" si="62"/>
        <v>3218.68</v>
      </c>
      <c r="S165">
        <f t="shared" si="61"/>
        <v>2</v>
      </c>
      <c r="U165">
        <f t="shared" si="63"/>
        <v>349.18400000000003</v>
      </c>
      <c r="V165">
        <f t="shared" si="53"/>
        <v>548.78494000000001</v>
      </c>
      <c r="W165">
        <f t="shared" si="41"/>
        <v>1097.56988</v>
      </c>
      <c r="Y165">
        <f t="shared" si="54"/>
        <v>153.10370427000001</v>
      </c>
    </row>
    <row r="166" spans="2:25" x14ac:dyDescent="0.2">
      <c r="B166" s="92"/>
      <c r="C166">
        <v>60</v>
      </c>
      <c r="D166">
        <f t="shared" si="37"/>
        <v>229.65555640500003</v>
      </c>
      <c r="F166">
        <f t="shared" si="55"/>
        <v>32.807936629285713</v>
      </c>
      <c r="G166">
        <f t="shared" si="55"/>
        <v>38.275926067500002</v>
      </c>
      <c r="H166">
        <f t="shared" si="55"/>
        <v>45.931111281000007</v>
      </c>
      <c r="I166">
        <f t="shared" si="55"/>
        <v>57.413889101250007</v>
      </c>
      <c r="J166">
        <f t="shared" si="55"/>
        <v>76.551852135000004</v>
      </c>
      <c r="K166">
        <f t="shared" si="55"/>
        <v>114.82777820250001</v>
      </c>
      <c r="L166">
        <f t="shared" si="55"/>
        <v>229.65555640500003</v>
      </c>
      <c r="M166">
        <f t="shared" si="55"/>
        <v>459.31111281000005</v>
      </c>
      <c r="P166" s="105"/>
      <c r="Q166">
        <v>50</v>
      </c>
      <c r="R166">
        <f t="shared" si="62"/>
        <v>4023.35</v>
      </c>
      <c r="S166">
        <f t="shared" si="61"/>
        <v>2</v>
      </c>
      <c r="U166">
        <f t="shared" si="63"/>
        <v>436.48</v>
      </c>
      <c r="V166">
        <f t="shared" si="53"/>
        <v>685.98117500000001</v>
      </c>
      <c r="W166">
        <f t="shared" si="41"/>
        <v>1371.96235</v>
      </c>
      <c r="Y166">
        <f t="shared" si="54"/>
        <v>191.3796303375</v>
      </c>
    </row>
    <row r="167" spans="2:25" x14ac:dyDescent="0.2">
      <c r="B167" s="92"/>
      <c r="C167">
        <v>70</v>
      </c>
      <c r="D167">
        <f t="shared" si="37"/>
        <v>267.93148247250008</v>
      </c>
      <c r="F167">
        <f t="shared" si="55"/>
        <v>38.275926067500009</v>
      </c>
      <c r="G167">
        <f t="shared" si="55"/>
        <v>44.655247078750008</v>
      </c>
      <c r="H167">
        <f t="shared" si="55"/>
        <v>53.586296494500019</v>
      </c>
      <c r="I167">
        <f t="shared" si="55"/>
        <v>66.98287061812502</v>
      </c>
      <c r="J167">
        <f t="shared" si="55"/>
        <v>89.310494157500017</v>
      </c>
      <c r="K167">
        <f t="shared" si="55"/>
        <v>133.96574123625004</v>
      </c>
      <c r="L167">
        <f t="shared" si="55"/>
        <v>267.93148247250008</v>
      </c>
      <c r="M167">
        <f t="shared" si="55"/>
        <v>535.86296494500016</v>
      </c>
      <c r="P167" s="105"/>
      <c r="Q167">
        <v>60</v>
      </c>
      <c r="R167">
        <f t="shared" si="62"/>
        <v>4828.0200000000004</v>
      </c>
      <c r="S167">
        <f t="shared" si="61"/>
        <v>2</v>
      </c>
      <c r="U167">
        <f t="shared" si="63"/>
        <v>523.77600000000007</v>
      </c>
      <c r="V167">
        <f t="shared" si="53"/>
        <v>823.17741000000012</v>
      </c>
      <c r="W167">
        <f t="shared" si="41"/>
        <v>1646.3548200000002</v>
      </c>
      <c r="Y167">
        <f t="shared" si="54"/>
        <v>229.65555640500003</v>
      </c>
    </row>
    <row r="168" spans="2:25" x14ac:dyDescent="0.2">
      <c r="B168" s="92"/>
      <c r="C168">
        <v>80</v>
      </c>
      <c r="D168">
        <f t="shared" si="37"/>
        <v>306.20740854000002</v>
      </c>
      <c r="F168">
        <f t="shared" si="55"/>
        <v>43.743915505714284</v>
      </c>
      <c r="G168">
        <f t="shared" si="55"/>
        <v>51.03456809</v>
      </c>
      <c r="H168">
        <f t="shared" si="55"/>
        <v>61.241481708000009</v>
      </c>
      <c r="I168">
        <f t="shared" si="55"/>
        <v>76.551852135000004</v>
      </c>
      <c r="J168">
        <f t="shared" si="55"/>
        <v>102.06913618</v>
      </c>
      <c r="K168">
        <f t="shared" si="55"/>
        <v>153.10370427000001</v>
      </c>
      <c r="L168">
        <f t="shared" si="55"/>
        <v>306.20740854000002</v>
      </c>
      <c r="M168">
        <f t="shared" si="55"/>
        <v>612.41481708000003</v>
      </c>
      <c r="P168" s="105"/>
      <c r="Q168">
        <v>70</v>
      </c>
      <c r="R168">
        <f t="shared" si="62"/>
        <v>5632.6900000000005</v>
      </c>
      <c r="S168">
        <f t="shared" si="61"/>
        <v>2</v>
      </c>
      <c r="U168">
        <f t="shared" si="63"/>
        <v>611.072</v>
      </c>
      <c r="V168">
        <f t="shared" si="53"/>
        <v>960.37364500000012</v>
      </c>
      <c r="W168">
        <f t="shared" si="41"/>
        <v>1920.7472900000002</v>
      </c>
      <c r="Y168">
        <f t="shared" si="54"/>
        <v>267.93148247250008</v>
      </c>
    </row>
    <row r="169" spans="2:25" x14ac:dyDescent="0.2">
      <c r="B169" s="92">
        <v>200</v>
      </c>
      <c r="C169">
        <v>5</v>
      </c>
      <c r="D169">
        <f t="shared" si="37"/>
        <v>41.463915033750006</v>
      </c>
      <c r="F169">
        <f t="shared" si="55"/>
        <v>5.9234164333928572</v>
      </c>
      <c r="G169">
        <f t="shared" si="55"/>
        <v>6.9106525056250003</v>
      </c>
      <c r="H169">
        <f t="shared" si="55"/>
        <v>8.2927830067500015</v>
      </c>
      <c r="I169">
        <f t="shared" si="55"/>
        <v>10.365978758437501</v>
      </c>
      <c r="J169">
        <f t="shared" si="55"/>
        <v>13.821305011250001</v>
      </c>
      <c r="K169">
        <f t="shared" si="55"/>
        <v>20.731957516875003</v>
      </c>
      <c r="L169">
        <f t="shared" si="55"/>
        <v>41.463915033750006</v>
      </c>
      <c r="M169">
        <f t="shared" si="55"/>
        <v>82.927830067500011</v>
      </c>
      <c r="P169" s="105"/>
      <c r="Q169">
        <v>80</v>
      </c>
      <c r="R169">
        <f t="shared" si="62"/>
        <v>6437.36</v>
      </c>
      <c r="S169">
        <f t="shared" si="61"/>
        <v>2</v>
      </c>
      <c r="U169">
        <f t="shared" si="63"/>
        <v>698.36800000000005</v>
      </c>
      <c r="V169">
        <f t="shared" si="53"/>
        <v>1097.56988</v>
      </c>
      <c r="W169">
        <f t="shared" si="41"/>
        <v>2195.13976</v>
      </c>
      <c r="Y169">
        <f t="shared" si="54"/>
        <v>306.20740854000002</v>
      </c>
    </row>
    <row r="170" spans="2:25" x14ac:dyDescent="0.2">
      <c r="B170" s="92"/>
      <c r="C170">
        <v>10</v>
      </c>
      <c r="D170">
        <f t="shared" si="37"/>
        <v>82.927830067500011</v>
      </c>
      <c r="F170">
        <f t="shared" si="55"/>
        <v>11.846832866785714</v>
      </c>
      <c r="G170">
        <f t="shared" si="55"/>
        <v>13.821305011250001</v>
      </c>
      <c r="H170">
        <f t="shared" si="55"/>
        <v>16.585566013500003</v>
      </c>
      <c r="I170">
        <f t="shared" si="55"/>
        <v>20.731957516875003</v>
      </c>
      <c r="J170">
        <f t="shared" si="55"/>
        <v>27.642610022500001</v>
      </c>
      <c r="K170">
        <f t="shared" si="55"/>
        <v>41.463915033750006</v>
      </c>
      <c r="L170">
        <f t="shared" si="55"/>
        <v>82.927830067500011</v>
      </c>
      <c r="M170">
        <f t="shared" ref="G170:M207" si="64">$D170*M$105</f>
        <v>165.85566013500002</v>
      </c>
      <c r="P170" s="105">
        <v>200</v>
      </c>
      <c r="Q170">
        <v>5</v>
      </c>
      <c r="R170">
        <f t="shared" ref="R170:R178" si="65">R161</f>
        <v>402.33499999999998</v>
      </c>
      <c r="S170">
        <f>$H$94</f>
        <v>4</v>
      </c>
      <c r="U170">
        <f t="shared" ref="U170:U178" si="66">T89*$H$94</f>
        <v>174.59200000000001</v>
      </c>
      <c r="V170">
        <f t="shared" si="53"/>
        <v>68.598117500000001</v>
      </c>
      <c r="W170">
        <f t="shared" si="41"/>
        <v>274.39247</v>
      </c>
      <c r="Y170">
        <f t="shared" si="54"/>
        <v>41.463915033750006</v>
      </c>
    </row>
    <row r="171" spans="2:25" ht="15" x14ac:dyDescent="0.25">
      <c r="B171" s="92"/>
      <c r="C171">
        <v>20</v>
      </c>
      <c r="D171">
        <f t="shared" ref="D171:D231" si="67">Y172</f>
        <v>165.85566013500002</v>
      </c>
      <c r="F171" s="1">
        <f t="shared" ref="F171:F231" si="68">$D171*F$105</f>
        <v>23.693665733571429</v>
      </c>
      <c r="G171">
        <f t="shared" si="64"/>
        <v>27.642610022500001</v>
      </c>
      <c r="H171">
        <f t="shared" si="64"/>
        <v>33.171132027000006</v>
      </c>
      <c r="I171">
        <f t="shared" si="64"/>
        <v>41.463915033750006</v>
      </c>
      <c r="J171">
        <f t="shared" si="64"/>
        <v>55.285220045000003</v>
      </c>
      <c r="K171">
        <f t="shared" si="64"/>
        <v>82.927830067500011</v>
      </c>
      <c r="L171">
        <f t="shared" si="64"/>
        <v>165.85566013500002</v>
      </c>
      <c r="M171">
        <f t="shared" si="64"/>
        <v>331.71132027000004</v>
      </c>
      <c r="P171" s="105"/>
      <c r="Q171">
        <v>10</v>
      </c>
      <c r="R171">
        <f t="shared" si="65"/>
        <v>804.67</v>
      </c>
      <c r="S171">
        <f t="shared" ref="S171:S178" si="69">$H$94</f>
        <v>4</v>
      </c>
      <c r="U171">
        <f t="shared" si="66"/>
        <v>349.18400000000003</v>
      </c>
      <c r="V171">
        <f t="shared" si="53"/>
        <v>137.196235</v>
      </c>
      <c r="W171">
        <f t="shared" si="41"/>
        <v>548.78494000000001</v>
      </c>
      <c r="Y171">
        <f t="shared" si="54"/>
        <v>82.927830067500011</v>
      </c>
    </row>
    <row r="172" spans="2:25" x14ac:dyDescent="0.2">
      <c r="B172" s="92"/>
      <c r="C172">
        <v>30</v>
      </c>
      <c r="D172">
        <f t="shared" si="67"/>
        <v>248.78349020250005</v>
      </c>
      <c r="F172">
        <f t="shared" si="68"/>
        <v>35.540498600357147</v>
      </c>
      <c r="G172">
        <f t="shared" si="64"/>
        <v>41.463915033750006</v>
      </c>
      <c r="H172">
        <f t="shared" si="64"/>
        <v>49.756698040500012</v>
      </c>
      <c r="I172">
        <f t="shared" si="64"/>
        <v>62.195872550625012</v>
      </c>
      <c r="J172">
        <f t="shared" si="64"/>
        <v>82.927830067500011</v>
      </c>
      <c r="K172">
        <f t="shared" si="64"/>
        <v>124.39174510125002</v>
      </c>
      <c r="L172">
        <f t="shared" si="64"/>
        <v>248.78349020250005</v>
      </c>
      <c r="M172">
        <f t="shared" si="64"/>
        <v>497.56698040500009</v>
      </c>
      <c r="P172" s="105"/>
      <c r="Q172">
        <v>20</v>
      </c>
      <c r="R172">
        <f t="shared" si="65"/>
        <v>1609.34</v>
      </c>
      <c r="S172">
        <f t="shared" si="69"/>
        <v>4</v>
      </c>
      <c r="U172">
        <f t="shared" si="66"/>
        <v>698.36800000000005</v>
      </c>
      <c r="V172">
        <f t="shared" si="53"/>
        <v>274.39247</v>
      </c>
      <c r="W172">
        <f t="shared" ref="W172:W232" si="70">V172*S172</f>
        <v>1097.56988</v>
      </c>
      <c r="Y172">
        <f t="shared" si="54"/>
        <v>165.85566013500002</v>
      </c>
    </row>
    <row r="173" spans="2:25" x14ac:dyDescent="0.2">
      <c r="B173" s="92"/>
      <c r="C173">
        <v>40</v>
      </c>
      <c r="D173">
        <f t="shared" si="67"/>
        <v>331.71132027000004</v>
      </c>
      <c r="F173">
        <f t="shared" si="68"/>
        <v>47.387331467142857</v>
      </c>
      <c r="G173">
        <f t="shared" si="64"/>
        <v>55.285220045000003</v>
      </c>
      <c r="H173">
        <f t="shared" si="64"/>
        <v>66.342264054000012</v>
      </c>
      <c r="I173">
        <f t="shared" si="64"/>
        <v>82.927830067500011</v>
      </c>
      <c r="J173">
        <f t="shared" si="64"/>
        <v>110.57044009000001</v>
      </c>
      <c r="K173">
        <f t="shared" si="64"/>
        <v>165.85566013500002</v>
      </c>
      <c r="L173">
        <f t="shared" si="64"/>
        <v>331.71132027000004</v>
      </c>
      <c r="M173">
        <f t="shared" si="64"/>
        <v>663.42264054000009</v>
      </c>
      <c r="P173" s="105"/>
      <c r="Q173">
        <v>30</v>
      </c>
      <c r="R173">
        <f t="shared" si="65"/>
        <v>2414.0100000000002</v>
      </c>
      <c r="S173">
        <f t="shared" si="69"/>
        <v>4</v>
      </c>
      <c r="U173">
        <f t="shared" si="66"/>
        <v>1047.5520000000001</v>
      </c>
      <c r="V173">
        <f t="shared" si="53"/>
        <v>411.58870500000006</v>
      </c>
      <c r="W173">
        <f t="shared" si="70"/>
        <v>1646.3548200000002</v>
      </c>
      <c r="Y173">
        <f t="shared" si="54"/>
        <v>248.78349020250005</v>
      </c>
    </row>
    <row r="174" spans="2:25" x14ac:dyDescent="0.2">
      <c r="B174" s="92"/>
      <c r="C174">
        <v>50</v>
      </c>
      <c r="D174">
        <f t="shared" si="67"/>
        <v>414.63915033750004</v>
      </c>
      <c r="F174">
        <f t="shared" si="68"/>
        <v>59.234164333928575</v>
      </c>
      <c r="G174">
        <f t="shared" si="64"/>
        <v>69.106525056250007</v>
      </c>
      <c r="H174">
        <f t="shared" si="64"/>
        <v>82.927830067500011</v>
      </c>
      <c r="I174">
        <f t="shared" si="64"/>
        <v>103.65978758437501</v>
      </c>
      <c r="J174">
        <f t="shared" si="64"/>
        <v>138.21305011250001</v>
      </c>
      <c r="K174">
        <f t="shared" si="64"/>
        <v>207.31957516875002</v>
      </c>
      <c r="L174">
        <f t="shared" si="64"/>
        <v>414.63915033750004</v>
      </c>
      <c r="M174">
        <f t="shared" si="64"/>
        <v>829.27830067500008</v>
      </c>
      <c r="P174" s="105"/>
      <c r="Q174">
        <v>40</v>
      </c>
      <c r="R174">
        <f t="shared" si="65"/>
        <v>3218.68</v>
      </c>
      <c r="S174">
        <f t="shared" si="69"/>
        <v>4</v>
      </c>
      <c r="U174">
        <f t="shared" si="66"/>
        <v>1396.7360000000001</v>
      </c>
      <c r="V174">
        <f t="shared" si="53"/>
        <v>548.78494000000001</v>
      </c>
      <c r="W174">
        <f t="shared" si="70"/>
        <v>2195.13976</v>
      </c>
      <c r="Y174">
        <f t="shared" si="54"/>
        <v>331.71132027000004</v>
      </c>
    </row>
    <row r="175" spans="2:25" x14ac:dyDescent="0.2">
      <c r="B175" s="92"/>
      <c r="C175">
        <v>60</v>
      </c>
      <c r="D175">
        <f t="shared" si="67"/>
        <v>497.56698040500009</v>
      </c>
      <c r="F175">
        <f t="shared" si="68"/>
        <v>71.080997200714293</v>
      </c>
      <c r="G175">
        <f t="shared" si="64"/>
        <v>82.927830067500011</v>
      </c>
      <c r="H175">
        <f t="shared" si="64"/>
        <v>99.513396081000025</v>
      </c>
      <c r="I175">
        <f t="shared" si="64"/>
        <v>124.39174510125002</v>
      </c>
      <c r="J175">
        <f t="shared" si="64"/>
        <v>165.85566013500002</v>
      </c>
      <c r="K175">
        <f t="shared" si="64"/>
        <v>248.78349020250005</v>
      </c>
      <c r="L175">
        <f t="shared" si="64"/>
        <v>497.56698040500009</v>
      </c>
      <c r="M175">
        <f t="shared" si="64"/>
        <v>995.13396081000019</v>
      </c>
      <c r="P175" s="105"/>
      <c r="Q175">
        <v>50</v>
      </c>
      <c r="R175">
        <f t="shared" si="65"/>
        <v>4023.35</v>
      </c>
      <c r="S175">
        <f t="shared" si="69"/>
        <v>4</v>
      </c>
      <c r="U175">
        <f t="shared" si="66"/>
        <v>1745.92</v>
      </c>
      <c r="V175">
        <f t="shared" si="53"/>
        <v>685.98117500000001</v>
      </c>
      <c r="W175">
        <f t="shared" si="70"/>
        <v>2743.9247</v>
      </c>
      <c r="Y175">
        <f t="shared" si="54"/>
        <v>414.63915033750004</v>
      </c>
    </row>
    <row r="176" spans="2:25" x14ac:dyDescent="0.2">
      <c r="B176" s="92"/>
      <c r="C176">
        <v>70</v>
      </c>
      <c r="D176">
        <f t="shared" si="67"/>
        <v>580.49481047250003</v>
      </c>
      <c r="F176">
        <f t="shared" si="68"/>
        <v>82.927830067499997</v>
      </c>
      <c r="G176">
        <f t="shared" si="64"/>
        <v>96.749135078750001</v>
      </c>
      <c r="H176">
        <f t="shared" si="64"/>
        <v>116.09896209450001</v>
      </c>
      <c r="I176">
        <f t="shared" si="64"/>
        <v>145.12370261812501</v>
      </c>
      <c r="J176">
        <f t="shared" si="64"/>
        <v>193.4982701575</v>
      </c>
      <c r="K176">
        <f t="shared" si="64"/>
        <v>290.24740523625002</v>
      </c>
      <c r="L176">
        <f t="shared" si="64"/>
        <v>580.49481047250003</v>
      </c>
      <c r="M176">
        <f t="shared" si="64"/>
        <v>1160.9896209450001</v>
      </c>
      <c r="P176" s="105"/>
      <c r="Q176">
        <v>60</v>
      </c>
      <c r="R176">
        <f t="shared" si="65"/>
        <v>4828.0200000000004</v>
      </c>
      <c r="S176">
        <f t="shared" si="69"/>
        <v>4</v>
      </c>
      <c r="U176">
        <f t="shared" si="66"/>
        <v>2095.1040000000003</v>
      </c>
      <c r="V176">
        <f t="shared" si="53"/>
        <v>823.17741000000012</v>
      </c>
      <c r="W176">
        <f t="shared" si="70"/>
        <v>3292.7096400000005</v>
      </c>
      <c r="Y176">
        <f t="shared" si="54"/>
        <v>497.56698040500009</v>
      </c>
    </row>
    <row r="177" spans="2:25" x14ac:dyDescent="0.2">
      <c r="B177" s="92"/>
      <c r="C177">
        <v>80</v>
      </c>
      <c r="D177">
        <f t="shared" si="67"/>
        <v>663.42264054000009</v>
      </c>
      <c r="F177">
        <f t="shared" si="68"/>
        <v>94.774662934285715</v>
      </c>
      <c r="G177">
        <f t="shared" si="64"/>
        <v>110.57044009000001</v>
      </c>
      <c r="H177">
        <f t="shared" si="64"/>
        <v>132.68452810800002</v>
      </c>
      <c r="I177">
        <f t="shared" si="64"/>
        <v>165.85566013500002</v>
      </c>
      <c r="J177">
        <f t="shared" si="64"/>
        <v>221.14088018000001</v>
      </c>
      <c r="K177">
        <f t="shared" si="64"/>
        <v>331.71132027000004</v>
      </c>
      <c r="L177">
        <f t="shared" si="64"/>
        <v>663.42264054000009</v>
      </c>
      <c r="M177">
        <f t="shared" si="64"/>
        <v>1326.8452810800002</v>
      </c>
      <c r="P177" s="105"/>
      <c r="Q177">
        <v>70</v>
      </c>
      <c r="R177">
        <f t="shared" si="65"/>
        <v>5632.6900000000005</v>
      </c>
      <c r="S177">
        <f t="shared" si="69"/>
        <v>4</v>
      </c>
      <c r="U177">
        <f t="shared" si="66"/>
        <v>2444.288</v>
      </c>
      <c r="V177">
        <f t="shared" si="53"/>
        <v>960.37364500000012</v>
      </c>
      <c r="W177">
        <f t="shared" si="70"/>
        <v>3841.4945800000005</v>
      </c>
      <c r="Y177">
        <f t="shared" si="54"/>
        <v>580.49481047250003</v>
      </c>
    </row>
    <row r="178" spans="2:25" x14ac:dyDescent="0.2">
      <c r="B178" s="92">
        <v>300</v>
      </c>
      <c r="C178">
        <v>5</v>
      </c>
      <c r="D178">
        <f t="shared" si="67"/>
        <v>56.347883033750009</v>
      </c>
      <c r="F178">
        <f t="shared" si="68"/>
        <v>8.0496975762500007</v>
      </c>
      <c r="G178">
        <f t="shared" si="64"/>
        <v>9.3913138389583342</v>
      </c>
      <c r="H178">
        <f t="shared" si="64"/>
        <v>11.269576606750002</v>
      </c>
      <c r="I178">
        <f t="shared" si="64"/>
        <v>14.086970758437502</v>
      </c>
      <c r="J178">
        <f t="shared" si="64"/>
        <v>18.782627677916668</v>
      </c>
      <c r="K178">
        <f t="shared" si="64"/>
        <v>28.173941516875004</v>
      </c>
      <c r="L178">
        <f t="shared" si="64"/>
        <v>56.347883033750009</v>
      </c>
      <c r="M178">
        <f t="shared" si="64"/>
        <v>112.69576606750002</v>
      </c>
      <c r="P178" s="105"/>
      <c r="Q178">
        <v>80</v>
      </c>
      <c r="R178">
        <f t="shared" si="65"/>
        <v>6437.36</v>
      </c>
      <c r="S178">
        <f t="shared" si="69"/>
        <v>4</v>
      </c>
      <c r="U178">
        <f t="shared" si="66"/>
        <v>2793.4720000000002</v>
      </c>
      <c r="V178">
        <f t="shared" si="53"/>
        <v>1097.56988</v>
      </c>
      <c r="W178">
        <f t="shared" si="70"/>
        <v>4390.27952</v>
      </c>
      <c r="Y178">
        <f t="shared" si="54"/>
        <v>663.42264054000009</v>
      </c>
    </row>
    <row r="179" spans="2:25" x14ac:dyDescent="0.2">
      <c r="B179" s="92"/>
      <c r="C179">
        <v>10</v>
      </c>
      <c r="D179">
        <f t="shared" si="67"/>
        <v>112.69576606750002</v>
      </c>
      <c r="F179">
        <f t="shared" si="68"/>
        <v>16.099395152500001</v>
      </c>
      <c r="G179">
        <f t="shared" si="64"/>
        <v>18.782627677916668</v>
      </c>
      <c r="H179">
        <f t="shared" si="64"/>
        <v>22.539153213500004</v>
      </c>
      <c r="I179">
        <f t="shared" si="64"/>
        <v>28.173941516875004</v>
      </c>
      <c r="J179">
        <f t="shared" si="64"/>
        <v>37.565255355833337</v>
      </c>
      <c r="K179">
        <f t="shared" si="64"/>
        <v>56.347883033750009</v>
      </c>
      <c r="L179">
        <f t="shared" si="64"/>
        <v>112.69576606750002</v>
      </c>
      <c r="M179">
        <f t="shared" si="64"/>
        <v>225.39153213500003</v>
      </c>
      <c r="P179" s="105">
        <v>300</v>
      </c>
      <c r="Q179">
        <v>5</v>
      </c>
      <c r="R179">
        <f t="shared" ref="R179:R187" si="71">R161</f>
        <v>402.33499999999998</v>
      </c>
      <c r="S179">
        <f>$H$95</f>
        <v>6</v>
      </c>
      <c r="U179">
        <f t="shared" ref="U179:U187" si="72">T89*$H$95</f>
        <v>261.88800000000003</v>
      </c>
      <c r="V179">
        <f t="shared" si="53"/>
        <v>68.598117500000001</v>
      </c>
      <c r="W179">
        <f t="shared" si="70"/>
        <v>411.588705</v>
      </c>
      <c r="Y179">
        <f t="shared" si="54"/>
        <v>56.347883033750009</v>
      </c>
    </row>
    <row r="180" spans="2:25" ht="15" x14ac:dyDescent="0.25">
      <c r="B180" s="92"/>
      <c r="C180">
        <v>20</v>
      </c>
      <c r="D180">
        <f t="shared" si="67"/>
        <v>225.39153213500003</v>
      </c>
      <c r="F180" s="1">
        <f t="shared" si="68"/>
        <v>32.198790305000003</v>
      </c>
      <c r="G180">
        <f t="shared" si="64"/>
        <v>37.565255355833337</v>
      </c>
      <c r="H180">
        <f t="shared" si="64"/>
        <v>45.078306427000008</v>
      </c>
      <c r="I180">
        <f t="shared" si="64"/>
        <v>56.347883033750009</v>
      </c>
      <c r="J180">
        <f t="shared" si="64"/>
        <v>75.130510711666673</v>
      </c>
      <c r="K180">
        <f t="shared" si="64"/>
        <v>112.69576606750002</v>
      </c>
      <c r="L180">
        <f t="shared" si="64"/>
        <v>225.39153213500003</v>
      </c>
      <c r="M180">
        <f t="shared" si="64"/>
        <v>450.78306427000007</v>
      </c>
      <c r="P180" s="105"/>
      <c r="Q180">
        <v>10</v>
      </c>
      <c r="R180">
        <f t="shared" si="71"/>
        <v>804.67</v>
      </c>
      <c r="S180">
        <f t="shared" ref="S180:S187" si="73">$H$95</f>
        <v>6</v>
      </c>
      <c r="U180">
        <f t="shared" si="72"/>
        <v>523.77600000000007</v>
      </c>
      <c r="V180">
        <f t="shared" si="53"/>
        <v>137.196235</v>
      </c>
      <c r="W180">
        <f t="shared" si="70"/>
        <v>823.17741000000001</v>
      </c>
      <c r="Y180">
        <f t="shared" si="54"/>
        <v>112.69576606750002</v>
      </c>
    </row>
    <row r="181" spans="2:25" x14ac:dyDescent="0.2">
      <c r="B181" s="92"/>
      <c r="C181">
        <v>30</v>
      </c>
      <c r="D181">
        <f t="shared" si="67"/>
        <v>338.08729820250011</v>
      </c>
      <c r="F181">
        <f t="shared" si="68"/>
        <v>48.298185457500011</v>
      </c>
      <c r="G181">
        <f t="shared" si="64"/>
        <v>56.347883033750016</v>
      </c>
      <c r="H181">
        <f t="shared" si="64"/>
        <v>67.61745964050003</v>
      </c>
      <c r="I181">
        <f t="shared" si="64"/>
        <v>84.521824550625027</v>
      </c>
      <c r="J181">
        <f t="shared" si="64"/>
        <v>112.69576606750003</v>
      </c>
      <c r="K181">
        <f t="shared" si="64"/>
        <v>169.04364910125005</v>
      </c>
      <c r="L181">
        <f t="shared" si="64"/>
        <v>338.08729820250011</v>
      </c>
      <c r="M181">
        <f t="shared" si="64"/>
        <v>676.17459640500022</v>
      </c>
      <c r="P181" s="105"/>
      <c r="Q181">
        <v>20</v>
      </c>
      <c r="R181">
        <f t="shared" si="71"/>
        <v>1609.34</v>
      </c>
      <c r="S181">
        <f t="shared" si="73"/>
        <v>6</v>
      </c>
      <c r="U181">
        <f t="shared" si="72"/>
        <v>1047.5520000000001</v>
      </c>
      <c r="V181">
        <f t="shared" si="53"/>
        <v>274.39247</v>
      </c>
      <c r="W181">
        <f t="shared" si="70"/>
        <v>1646.35482</v>
      </c>
      <c r="Y181">
        <f t="shared" si="54"/>
        <v>225.39153213500003</v>
      </c>
    </row>
    <row r="182" spans="2:25" x14ac:dyDescent="0.2">
      <c r="B182" s="92"/>
      <c r="C182">
        <v>40</v>
      </c>
      <c r="D182">
        <f t="shared" si="67"/>
        <v>450.78306427000007</v>
      </c>
      <c r="F182">
        <f t="shared" si="68"/>
        <v>64.397580610000006</v>
      </c>
      <c r="G182">
        <f t="shared" si="64"/>
        <v>75.130510711666673</v>
      </c>
      <c r="H182">
        <f t="shared" si="64"/>
        <v>90.156612854000016</v>
      </c>
      <c r="I182">
        <f t="shared" si="64"/>
        <v>112.69576606750002</v>
      </c>
      <c r="J182">
        <f t="shared" si="64"/>
        <v>150.26102142333335</v>
      </c>
      <c r="K182">
        <f t="shared" si="64"/>
        <v>225.39153213500003</v>
      </c>
      <c r="L182">
        <f t="shared" si="64"/>
        <v>450.78306427000007</v>
      </c>
      <c r="M182">
        <f t="shared" si="64"/>
        <v>901.56612854000014</v>
      </c>
      <c r="P182" s="105"/>
      <c r="Q182">
        <v>30</v>
      </c>
      <c r="R182">
        <f t="shared" si="71"/>
        <v>2414.0100000000002</v>
      </c>
      <c r="S182">
        <f t="shared" si="73"/>
        <v>6</v>
      </c>
      <c r="U182">
        <f t="shared" si="72"/>
        <v>1571.3280000000002</v>
      </c>
      <c r="V182">
        <f t="shared" si="53"/>
        <v>411.58870500000006</v>
      </c>
      <c r="W182">
        <f t="shared" si="70"/>
        <v>2469.5322300000003</v>
      </c>
      <c r="Y182">
        <f t="shared" si="54"/>
        <v>338.08729820250011</v>
      </c>
    </row>
    <row r="183" spans="2:25" x14ac:dyDescent="0.2">
      <c r="B183" s="92"/>
      <c r="C183">
        <v>50</v>
      </c>
      <c r="D183">
        <f t="shared" si="67"/>
        <v>563.47883033750009</v>
      </c>
      <c r="F183">
        <f t="shared" si="68"/>
        <v>80.496975762500014</v>
      </c>
      <c r="G183">
        <f t="shared" si="64"/>
        <v>93.913138389583338</v>
      </c>
      <c r="H183">
        <f t="shared" si="64"/>
        <v>112.69576606750002</v>
      </c>
      <c r="I183">
        <f t="shared" si="64"/>
        <v>140.86970758437502</v>
      </c>
      <c r="J183">
        <f t="shared" si="64"/>
        <v>187.82627677916668</v>
      </c>
      <c r="K183">
        <f t="shared" si="64"/>
        <v>281.73941516875004</v>
      </c>
      <c r="L183">
        <f t="shared" si="64"/>
        <v>563.47883033750009</v>
      </c>
      <c r="M183">
        <f t="shared" si="64"/>
        <v>1126.9576606750002</v>
      </c>
      <c r="P183" s="105"/>
      <c r="Q183">
        <v>40</v>
      </c>
      <c r="R183">
        <f t="shared" si="71"/>
        <v>3218.68</v>
      </c>
      <c r="S183">
        <f t="shared" si="73"/>
        <v>6</v>
      </c>
      <c r="U183">
        <f t="shared" si="72"/>
        <v>2095.1040000000003</v>
      </c>
      <c r="V183">
        <f t="shared" si="53"/>
        <v>548.78494000000001</v>
      </c>
      <c r="W183">
        <f t="shared" si="70"/>
        <v>3292.70964</v>
      </c>
      <c r="Y183">
        <f t="shared" si="54"/>
        <v>450.78306427000007</v>
      </c>
    </row>
    <row r="184" spans="2:25" x14ac:dyDescent="0.2">
      <c r="B184" s="92"/>
      <c r="C184">
        <v>60</v>
      </c>
      <c r="D184">
        <f t="shared" si="67"/>
        <v>676.17459640500022</v>
      </c>
      <c r="F184">
        <f t="shared" si="68"/>
        <v>96.596370915000023</v>
      </c>
      <c r="G184">
        <f t="shared" si="64"/>
        <v>112.69576606750003</v>
      </c>
      <c r="H184">
        <f t="shared" si="64"/>
        <v>135.23491928100006</v>
      </c>
      <c r="I184">
        <f t="shared" si="64"/>
        <v>169.04364910125005</v>
      </c>
      <c r="J184">
        <f t="shared" si="64"/>
        <v>225.39153213500006</v>
      </c>
      <c r="K184">
        <f t="shared" si="64"/>
        <v>338.08729820250011</v>
      </c>
      <c r="L184">
        <f t="shared" si="64"/>
        <v>676.17459640500022</v>
      </c>
      <c r="M184">
        <f t="shared" si="64"/>
        <v>1352.3491928100004</v>
      </c>
      <c r="P184" s="105"/>
      <c r="Q184">
        <v>50</v>
      </c>
      <c r="R184">
        <f t="shared" si="71"/>
        <v>4023.35</v>
      </c>
      <c r="S184">
        <f t="shared" si="73"/>
        <v>6</v>
      </c>
      <c r="U184">
        <f t="shared" si="72"/>
        <v>2618.88</v>
      </c>
      <c r="V184">
        <f t="shared" si="53"/>
        <v>685.98117500000001</v>
      </c>
      <c r="W184">
        <f t="shared" si="70"/>
        <v>4115.8870500000003</v>
      </c>
      <c r="Y184">
        <f t="shared" si="54"/>
        <v>563.47883033750009</v>
      </c>
    </row>
    <row r="185" spans="2:25" x14ac:dyDescent="0.2">
      <c r="B185" s="92"/>
      <c r="C185">
        <v>70</v>
      </c>
      <c r="D185">
        <f t="shared" si="67"/>
        <v>788.87036247250012</v>
      </c>
      <c r="F185">
        <f t="shared" si="68"/>
        <v>112.69576606750002</v>
      </c>
      <c r="G185">
        <f t="shared" si="64"/>
        <v>131.47839374541667</v>
      </c>
      <c r="H185">
        <f t="shared" si="64"/>
        <v>157.77407249450005</v>
      </c>
      <c r="I185">
        <f t="shared" si="64"/>
        <v>197.21759061812503</v>
      </c>
      <c r="J185">
        <f t="shared" si="64"/>
        <v>262.95678749083334</v>
      </c>
      <c r="K185">
        <f t="shared" si="64"/>
        <v>394.43518123625006</v>
      </c>
      <c r="L185">
        <f t="shared" si="64"/>
        <v>788.87036247250012</v>
      </c>
      <c r="M185">
        <f t="shared" si="64"/>
        <v>1577.7407249450002</v>
      </c>
      <c r="P185" s="105"/>
      <c r="Q185">
        <v>60</v>
      </c>
      <c r="R185">
        <f t="shared" si="71"/>
        <v>4828.0200000000004</v>
      </c>
      <c r="S185">
        <f t="shared" si="73"/>
        <v>6</v>
      </c>
      <c r="U185">
        <f t="shared" si="72"/>
        <v>3142.6560000000004</v>
      </c>
      <c r="V185">
        <f t="shared" si="53"/>
        <v>823.17741000000012</v>
      </c>
      <c r="W185">
        <f t="shared" si="70"/>
        <v>4939.0644600000005</v>
      </c>
      <c r="Y185">
        <f t="shared" si="54"/>
        <v>676.17459640500022</v>
      </c>
    </row>
    <row r="186" spans="2:25" x14ac:dyDescent="0.2">
      <c r="B186" s="92"/>
      <c r="C186">
        <v>80</v>
      </c>
      <c r="D186">
        <f t="shared" si="67"/>
        <v>901.56612854000014</v>
      </c>
      <c r="F186">
        <f t="shared" si="68"/>
        <v>128.79516122000001</v>
      </c>
      <c r="G186">
        <f t="shared" si="64"/>
        <v>150.26102142333335</v>
      </c>
      <c r="H186">
        <f t="shared" si="64"/>
        <v>180.31322570800003</v>
      </c>
      <c r="I186">
        <f t="shared" si="64"/>
        <v>225.39153213500003</v>
      </c>
      <c r="J186">
        <f t="shared" si="64"/>
        <v>300.52204284666669</v>
      </c>
      <c r="K186">
        <f t="shared" si="64"/>
        <v>450.78306427000007</v>
      </c>
      <c r="L186">
        <f t="shared" si="64"/>
        <v>901.56612854000014</v>
      </c>
      <c r="M186">
        <f t="shared" si="64"/>
        <v>1803.1322570800003</v>
      </c>
      <c r="P186" s="105"/>
      <c r="Q186">
        <v>70</v>
      </c>
      <c r="R186">
        <f t="shared" si="71"/>
        <v>5632.6900000000005</v>
      </c>
      <c r="S186">
        <f t="shared" si="73"/>
        <v>6</v>
      </c>
      <c r="U186">
        <f t="shared" si="72"/>
        <v>3666.4319999999998</v>
      </c>
      <c r="V186">
        <f t="shared" si="53"/>
        <v>960.37364500000012</v>
      </c>
      <c r="W186">
        <f t="shared" si="70"/>
        <v>5762.2418700000007</v>
      </c>
      <c r="Y186">
        <f t="shared" si="54"/>
        <v>788.87036247250012</v>
      </c>
    </row>
    <row r="187" spans="2:25" x14ac:dyDescent="0.2">
      <c r="B187" s="92">
        <v>400</v>
      </c>
      <c r="C187">
        <v>5</v>
      </c>
      <c r="D187">
        <f t="shared" si="67"/>
        <v>71.231851033750004</v>
      </c>
      <c r="F187">
        <f t="shared" si="68"/>
        <v>10.175978719107142</v>
      </c>
      <c r="G187">
        <f t="shared" si="64"/>
        <v>11.871975172291666</v>
      </c>
      <c r="H187">
        <f t="shared" si="64"/>
        <v>14.246370206750001</v>
      </c>
      <c r="I187">
        <f t="shared" si="64"/>
        <v>17.807962758437501</v>
      </c>
      <c r="J187">
        <f t="shared" si="64"/>
        <v>23.743950344583332</v>
      </c>
      <c r="K187">
        <f t="shared" si="64"/>
        <v>35.615925516875002</v>
      </c>
      <c r="L187">
        <f t="shared" si="64"/>
        <v>71.231851033750004</v>
      </c>
      <c r="M187">
        <f t="shared" si="64"/>
        <v>142.46370206750001</v>
      </c>
      <c r="P187" s="105"/>
      <c r="Q187">
        <v>80</v>
      </c>
      <c r="R187">
        <f t="shared" si="71"/>
        <v>6437.36</v>
      </c>
      <c r="S187">
        <f t="shared" si="73"/>
        <v>6</v>
      </c>
      <c r="U187">
        <f t="shared" si="72"/>
        <v>4190.2080000000005</v>
      </c>
      <c r="V187">
        <f t="shared" si="53"/>
        <v>1097.56988</v>
      </c>
      <c r="W187">
        <f t="shared" si="70"/>
        <v>6585.4192800000001</v>
      </c>
      <c r="Y187">
        <f t="shared" si="54"/>
        <v>901.56612854000014</v>
      </c>
    </row>
    <row r="188" spans="2:25" x14ac:dyDescent="0.2">
      <c r="B188" s="92"/>
      <c r="C188">
        <v>10</v>
      </c>
      <c r="D188">
        <f t="shared" si="67"/>
        <v>142.46370206750001</v>
      </c>
      <c r="F188">
        <f t="shared" si="68"/>
        <v>20.351957438214285</v>
      </c>
      <c r="G188">
        <f t="shared" si="64"/>
        <v>23.743950344583332</v>
      </c>
      <c r="H188">
        <f t="shared" si="64"/>
        <v>28.492740413500002</v>
      </c>
      <c r="I188">
        <f t="shared" si="64"/>
        <v>35.615925516875002</v>
      </c>
      <c r="J188">
        <f t="shared" si="64"/>
        <v>47.487900689166665</v>
      </c>
      <c r="K188">
        <f t="shared" si="64"/>
        <v>71.231851033750004</v>
      </c>
      <c r="L188">
        <f t="shared" si="64"/>
        <v>142.46370206750001</v>
      </c>
      <c r="M188">
        <f t="shared" si="64"/>
        <v>284.92740413500002</v>
      </c>
      <c r="P188" s="105">
        <v>400</v>
      </c>
      <c r="Q188">
        <v>5</v>
      </c>
      <c r="R188">
        <f t="shared" ref="R188:R196" si="74">R161</f>
        <v>402.33499999999998</v>
      </c>
      <c r="S188">
        <f>$H$96</f>
        <v>8</v>
      </c>
      <c r="U188">
        <f t="shared" ref="U188:U196" si="75">T89*$H$96</f>
        <v>349.18400000000003</v>
      </c>
      <c r="V188">
        <f t="shared" si="53"/>
        <v>68.598117500000001</v>
      </c>
      <c r="W188">
        <f t="shared" si="70"/>
        <v>548.78494000000001</v>
      </c>
      <c r="Y188">
        <f t="shared" si="54"/>
        <v>71.231851033750004</v>
      </c>
    </row>
    <row r="189" spans="2:25" ht="15" x14ac:dyDescent="0.25">
      <c r="B189" s="92"/>
      <c r="C189">
        <v>20</v>
      </c>
      <c r="D189">
        <f t="shared" si="67"/>
        <v>284.92740413500002</v>
      </c>
      <c r="F189" s="1">
        <f t="shared" si="68"/>
        <v>40.70391487642857</v>
      </c>
      <c r="G189">
        <f t="shared" si="64"/>
        <v>47.487900689166665</v>
      </c>
      <c r="H189">
        <f t="shared" si="64"/>
        <v>56.985480827000004</v>
      </c>
      <c r="I189">
        <f t="shared" si="64"/>
        <v>71.231851033750004</v>
      </c>
      <c r="J189">
        <f t="shared" si="64"/>
        <v>94.97580137833333</v>
      </c>
      <c r="K189">
        <f t="shared" si="64"/>
        <v>142.46370206750001</v>
      </c>
      <c r="L189">
        <f t="shared" si="64"/>
        <v>284.92740413500002</v>
      </c>
      <c r="M189">
        <f t="shared" si="64"/>
        <v>569.85480827000004</v>
      </c>
      <c r="P189" s="105"/>
      <c r="Q189">
        <v>10</v>
      </c>
      <c r="R189">
        <f t="shared" si="74"/>
        <v>804.67</v>
      </c>
      <c r="S189">
        <f t="shared" ref="S189:S196" si="76">$H$96</f>
        <v>8</v>
      </c>
      <c r="U189">
        <f t="shared" si="75"/>
        <v>698.36800000000005</v>
      </c>
      <c r="V189">
        <f t="shared" si="53"/>
        <v>137.196235</v>
      </c>
      <c r="W189">
        <f t="shared" si="70"/>
        <v>1097.56988</v>
      </c>
      <c r="Y189">
        <f t="shared" si="54"/>
        <v>142.46370206750001</v>
      </c>
    </row>
    <row r="190" spans="2:25" x14ac:dyDescent="0.2">
      <c r="B190" s="92"/>
      <c r="C190">
        <v>30</v>
      </c>
      <c r="D190">
        <f t="shared" si="67"/>
        <v>427.39110620250011</v>
      </c>
      <c r="F190">
        <f t="shared" si="68"/>
        <v>61.055872314642869</v>
      </c>
      <c r="G190">
        <f t="shared" si="64"/>
        <v>71.231851033750019</v>
      </c>
      <c r="H190">
        <f t="shared" si="64"/>
        <v>85.478221240500034</v>
      </c>
      <c r="I190">
        <f t="shared" si="64"/>
        <v>106.84777655062503</v>
      </c>
      <c r="J190">
        <f t="shared" si="64"/>
        <v>142.46370206750004</v>
      </c>
      <c r="K190">
        <f t="shared" si="64"/>
        <v>213.69555310125006</v>
      </c>
      <c r="L190">
        <f t="shared" si="64"/>
        <v>427.39110620250011</v>
      </c>
      <c r="M190">
        <f t="shared" si="64"/>
        <v>854.78221240500022</v>
      </c>
      <c r="P190" s="105"/>
      <c r="Q190">
        <v>20</v>
      </c>
      <c r="R190">
        <f t="shared" si="74"/>
        <v>1609.34</v>
      </c>
      <c r="S190">
        <f t="shared" si="76"/>
        <v>8</v>
      </c>
      <c r="U190">
        <f t="shared" si="75"/>
        <v>1396.7360000000001</v>
      </c>
      <c r="V190">
        <f t="shared" si="53"/>
        <v>274.39247</v>
      </c>
      <c r="W190">
        <f t="shared" si="70"/>
        <v>2195.13976</v>
      </c>
      <c r="Y190">
        <f t="shared" si="54"/>
        <v>284.92740413500002</v>
      </c>
    </row>
    <row r="191" spans="2:25" x14ac:dyDescent="0.2">
      <c r="B191" s="92"/>
      <c r="C191">
        <v>40</v>
      </c>
      <c r="D191">
        <f t="shared" si="67"/>
        <v>569.85480827000004</v>
      </c>
      <c r="F191">
        <f t="shared" si="68"/>
        <v>81.40782975285714</v>
      </c>
      <c r="G191">
        <f t="shared" si="64"/>
        <v>94.97580137833333</v>
      </c>
      <c r="H191">
        <f t="shared" si="64"/>
        <v>113.97096165400001</v>
      </c>
      <c r="I191">
        <f t="shared" si="64"/>
        <v>142.46370206750001</v>
      </c>
      <c r="J191">
        <f t="shared" si="64"/>
        <v>189.95160275666666</v>
      </c>
      <c r="K191">
        <f t="shared" si="64"/>
        <v>284.92740413500002</v>
      </c>
      <c r="L191">
        <f t="shared" si="64"/>
        <v>569.85480827000004</v>
      </c>
      <c r="M191">
        <f t="shared" si="64"/>
        <v>1139.7096165400001</v>
      </c>
      <c r="P191" s="105"/>
      <c r="Q191">
        <v>30</v>
      </c>
      <c r="R191">
        <f t="shared" si="74"/>
        <v>2414.0100000000002</v>
      </c>
      <c r="S191">
        <f t="shared" si="76"/>
        <v>8</v>
      </c>
      <c r="U191">
        <f t="shared" si="75"/>
        <v>2095.1040000000003</v>
      </c>
      <c r="V191">
        <f t="shared" si="53"/>
        <v>411.58870500000006</v>
      </c>
      <c r="W191">
        <f t="shared" si="70"/>
        <v>3292.7096400000005</v>
      </c>
      <c r="Y191">
        <f t="shared" si="54"/>
        <v>427.39110620250011</v>
      </c>
    </row>
    <row r="192" spans="2:25" x14ac:dyDescent="0.2">
      <c r="B192" s="92"/>
      <c r="C192">
        <v>50</v>
      </c>
      <c r="D192">
        <f t="shared" si="67"/>
        <v>712.31851033750002</v>
      </c>
      <c r="F192">
        <f t="shared" si="68"/>
        <v>101.75978719107142</v>
      </c>
      <c r="G192">
        <f t="shared" si="64"/>
        <v>118.71975172291667</v>
      </c>
      <c r="H192">
        <f t="shared" si="64"/>
        <v>142.46370206750001</v>
      </c>
      <c r="I192">
        <f t="shared" si="64"/>
        <v>178.079627584375</v>
      </c>
      <c r="J192">
        <f t="shared" si="64"/>
        <v>237.43950344583334</v>
      </c>
      <c r="K192">
        <f t="shared" si="64"/>
        <v>356.15925516875001</v>
      </c>
      <c r="L192">
        <f t="shared" si="64"/>
        <v>712.31851033750002</v>
      </c>
      <c r="M192">
        <f t="shared" si="64"/>
        <v>1424.637020675</v>
      </c>
      <c r="P192" s="105"/>
      <c r="Q192">
        <v>40</v>
      </c>
      <c r="R192">
        <f t="shared" si="74"/>
        <v>3218.68</v>
      </c>
      <c r="S192">
        <f t="shared" si="76"/>
        <v>8</v>
      </c>
      <c r="U192">
        <f t="shared" si="75"/>
        <v>2793.4720000000002</v>
      </c>
      <c r="V192">
        <f t="shared" si="53"/>
        <v>548.78494000000001</v>
      </c>
      <c r="W192">
        <f t="shared" si="70"/>
        <v>4390.27952</v>
      </c>
      <c r="Y192">
        <f t="shared" si="54"/>
        <v>569.85480827000004</v>
      </c>
    </row>
    <row r="193" spans="2:25" x14ac:dyDescent="0.2">
      <c r="B193" s="92"/>
      <c r="C193">
        <v>60</v>
      </c>
      <c r="D193">
        <f t="shared" si="67"/>
        <v>854.78221240500022</v>
      </c>
      <c r="F193">
        <f t="shared" si="68"/>
        <v>122.11174462928574</v>
      </c>
      <c r="G193">
        <f t="shared" si="64"/>
        <v>142.46370206750004</v>
      </c>
      <c r="H193">
        <f t="shared" si="64"/>
        <v>170.95644248100007</v>
      </c>
      <c r="I193">
        <f t="shared" si="64"/>
        <v>213.69555310125006</v>
      </c>
      <c r="J193">
        <f t="shared" si="64"/>
        <v>284.92740413500007</v>
      </c>
      <c r="K193">
        <f t="shared" si="64"/>
        <v>427.39110620250011</v>
      </c>
      <c r="L193">
        <f t="shared" si="64"/>
        <v>854.78221240500022</v>
      </c>
      <c r="M193">
        <f t="shared" si="64"/>
        <v>1709.5644248100004</v>
      </c>
      <c r="P193" s="105"/>
      <c r="Q193">
        <v>50</v>
      </c>
      <c r="R193">
        <f t="shared" si="74"/>
        <v>4023.35</v>
      </c>
      <c r="S193">
        <f t="shared" si="76"/>
        <v>8</v>
      </c>
      <c r="U193">
        <f t="shared" si="75"/>
        <v>3491.84</v>
      </c>
      <c r="V193">
        <f t="shared" si="53"/>
        <v>685.98117500000001</v>
      </c>
      <c r="W193">
        <f t="shared" si="70"/>
        <v>5487.8494000000001</v>
      </c>
      <c r="Y193">
        <f t="shared" si="54"/>
        <v>712.31851033750002</v>
      </c>
    </row>
    <row r="194" spans="2:25" x14ac:dyDescent="0.2">
      <c r="B194" s="92"/>
      <c r="C194">
        <v>70</v>
      </c>
      <c r="D194">
        <f t="shared" si="67"/>
        <v>997.2459144725002</v>
      </c>
      <c r="F194">
        <f t="shared" si="68"/>
        <v>142.46370206750001</v>
      </c>
      <c r="G194">
        <f t="shared" si="64"/>
        <v>166.20765241208335</v>
      </c>
      <c r="H194">
        <f t="shared" si="64"/>
        <v>199.44918289450004</v>
      </c>
      <c r="I194">
        <f t="shared" si="64"/>
        <v>249.31147861812505</v>
      </c>
      <c r="J194">
        <f t="shared" si="64"/>
        <v>332.4153048241667</v>
      </c>
      <c r="K194">
        <f t="shared" si="64"/>
        <v>498.6229572362501</v>
      </c>
      <c r="L194">
        <f t="shared" si="64"/>
        <v>997.2459144725002</v>
      </c>
      <c r="M194">
        <f t="shared" si="64"/>
        <v>1994.4918289450004</v>
      </c>
      <c r="P194" s="105"/>
      <c r="Q194">
        <v>60</v>
      </c>
      <c r="R194">
        <f t="shared" si="74"/>
        <v>4828.0200000000004</v>
      </c>
      <c r="S194">
        <f t="shared" si="76"/>
        <v>8</v>
      </c>
      <c r="U194">
        <f t="shared" si="75"/>
        <v>4190.2080000000005</v>
      </c>
      <c r="V194">
        <f t="shared" si="53"/>
        <v>823.17741000000012</v>
      </c>
      <c r="W194">
        <f t="shared" si="70"/>
        <v>6585.419280000001</v>
      </c>
      <c r="Y194">
        <f t="shared" si="54"/>
        <v>854.78221240500022</v>
      </c>
    </row>
    <row r="195" spans="2:25" x14ac:dyDescent="0.2">
      <c r="B195" s="92"/>
      <c r="C195">
        <v>80</v>
      </c>
      <c r="D195">
        <f t="shared" si="67"/>
        <v>1139.7096165400001</v>
      </c>
      <c r="F195">
        <f t="shared" si="68"/>
        <v>162.81565950571428</v>
      </c>
      <c r="G195">
        <f t="shared" si="64"/>
        <v>189.95160275666666</v>
      </c>
      <c r="H195">
        <f t="shared" si="64"/>
        <v>227.94192330800001</v>
      </c>
      <c r="I195">
        <f t="shared" si="64"/>
        <v>284.92740413500002</v>
      </c>
      <c r="J195">
        <f t="shared" si="64"/>
        <v>379.90320551333332</v>
      </c>
      <c r="K195">
        <f t="shared" si="64"/>
        <v>569.85480827000004</v>
      </c>
      <c r="L195">
        <f t="shared" si="64"/>
        <v>1139.7096165400001</v>
      </c>
      <c r="M195">
        <f t="shared" si="64"/>
        <v>2279.4192330800001</v>
      </c>
      <c r="P195" s="105"/>
      <c r="Q195">
        <v>70</v>
      </c>
      <c r="R195">
        <f t="shared" si="74"/>
        <v>5632.6900000000005</v>
      </c>
      <c r="S195">
        <f t="shared" si="76"/>
        <v>8</v>
      </c>
      <c r="U195">
        <f t="shared" si="75"/>
        <v>4888.576</v>
      </c>
      <c r="V195">
        <f t="shared" si="53"/>
        <v>960.37364500000012</v>
      </c>
      <c r="W195">
        <f t="shared" si="70"/>
        <v>7682.989160000001</v>
      </c>
      <c r="Y195">
        <f t="shared" si="54"/>
        <v>997.2459144725002</v>
      </c>
    </row>
    <row r="196" spans="2:25" x14ac:dyDescent="0.2">
      <c r="B196" s="92">
        <v>500</v>
      </c>
      <c r="C196">
        <v>5</v>
      </c>
      <c r="D196">
        <f t="shared" si="67"/>
        <v>86.115819033750014</v>
      </c>
      <c r="F196">
        <f t="shared" si="68"/>
        <v>12.302259861964288</v>
      </c>
      <c r="G196">
        <f t="shared" si="64"/>
        <v>14.352636505625002</v>
      </c>
      <c r="H196">
        <f t="shared" si="64"/>
        <v>17.223163806750005</v>
      </c>
      <c r="I196">
        <f t="shared" si="64"/>
        <v>21.528954758437504</v>
      </c>
      <c r="J196">
        <f t="shared" si="64"/>
        <v>28.705273011250004</v>
      </c>
      <c r="K196">
        <f t="shared" si="64"/>
        <v>43.057909516875007</v>
      </c>
      <c r="L196">
        <f t="shared" si="64"/>
        <v>86.115819033750014</v>
      </c>
      <c r="M196">
        <f t="shared" si="64"/>
        <v>172.23163806750003</v>
      </c>
      <c r="P196" s="105"/>
      <c r="Q196">
        <v>80</v>
      </c>
      <c r="R196">
        <f t="shared" si="74"/>
        <v>6437.36</v>
      </c>
      <c r="S196">
        <f t="shared" si="76"/>
        <v>8</v>
      </c>
      <c r="U196">
        <f t="shared" si="75"/>
        <v>5586.9440000000004</v>
      </c>
      <c r="V196">
        <f t="shared" si="53"/>
        <v>1097.56988</v>
      </c>
      <c r="W196">
        <f t="shared" si="70"/>
        <v>8780.5590400000001</v>
      </c>
      <c r="Y196">
        <f t="shared" si="54"/>
        <v>1139.7096165400001</v>
      </c>
    </row>
    <row r="197" spans="2:25" x14ac:dyDescent="0.2">
      <c r="B197" s="92"/>
      <c r="C197">
        <v>10</v>
      </c>
      <c r="D197">
        <f t="shared" si="67"/>
        <v>172.23163806750003</v>
      </c>
      <c r="F197">
        <f t="shared" si="68"/>
        <v>24.604519723928576</v>
      </c>
      <c r="G197">
        <f t="shared" si="64"/>
        <v>28.705273011250004</v>
      </c>
      <c r="H197">
        <f t="shared" si="64"/>
        <v>34.44632761350001</v>
      </c>
      <c r="I197">
        <f t="shared" si="64"/>
        <v>43.057909516875007</v>
      </c>
      <c r="J197">
        <f t="shared" si="64"/>
        <v>57.410546022500007</v>
      </c>
      <c r="K197">
        <f t="shared" si="64"/>
        <v>86.115819033750014</v>
      </c>
      <c r="L197">
        <f t="shared" si="64"/>
        <v>172.23163806750003</v>
      </c>
      <c r="M197">
        <f t="shared" si="64"/>
        <v>344.46327613500006</v>
      </c>
      <c r="P197" s="105">
        <v>500</v>
      </c>
      <c r="Q197">
        <v>5</v>
      </c>
      <c r="R197">
        <f t="shared" ref="R197:R205" si="77">R161</f>
        <v>402.33499999999998</v>
      </c>
      <c r="S197">
        <f>$H$97</f>
        <v>10</v>
      </c>
      <c r="U197">
        <f t="shared" ref="U197:U205" si="78">T89*$H$97</f>
        <v>436.48</v>
      </c>
      <c r="V197">
        <f t="shared" si="53"/>
        <v>68.598117500000001</v>
      </c>
      <c r="W197">
        <f t="shared" si="70"/>
        <v>685.98117500000001</v>
      </c>
      <c r="Y197">
        <f t="shared" si="54"/>
        <v>86.115819033750014</v>
      </c>
    </row>
    <row r="198" spans="2:25" ht="15" x14ac:dyDescent="0.25">
      <c r="B198" s="92"/>
      <c r="C198">
        <v>20</v>
      </c>
      <c r="D198">
        <f t="shared" si="67"/>
        <v>344.46327613500006</v>
      </c>
      <c r="F198" s="1">
        <f t="shared" si="68"/>
        <v>49.209039447857151</v>
      </c>
      <c r="G198">
        <f t="shared" si="64"/>
        <v>57.410546022500007</v>
      </c>
      <c r="H198">
        <f t="shared" si="64"/>
        <v>68.89265522700002</v>
      </c>
      <c r="I198">
        <f t="shared" si="64"/>
        <v>86.115819033750014</v>
      </c>
      <c r="J198">
        <f t="shared" si="64"/>
        <v>114.82109204500001</v>
      </c>
      <c r="K198">
        <f t="shared" si="64"/>
        <v>172.23163806750003</v>
      </c>
      <c r="L198">
        <f t="shared" si="64"/>
        <v>344.46327613500006</v>
      </c>
      <c r="M198">
        <f t="shared" si="64"/>
        <v>688.92655227000012</v>
      </c>
      <c r="P198" s="105"/>
      <c r="Q198">
        <v>10</v>
      </c>
      <c r="R198">
        <f t="shared" si="77"/>
        <v>804.67</v>
      </c>
      <c r="S198">
        <f t="shared" ref="S198:S205" si="79">$H$97</f>
        <v>10</v>
      </c>
      <c r="U198">
        <f t="shared" si="78"/>
        <v>872.96</v>
      </c>
      <c r="V198">
        <f t="shared" si="53"/>
        <v>137.196235</v>
      </c>
      <c r="W198">
        <f t="shared" si="70"/>
        <v>1371.96235</v>
      </c>
      <c r="Y198">
        <f t="shared" si="54"/>
        <v>172.23163806750003</v>
      </c>
    </row>
    <row r="199" spans="2:25" x14ac:dyDescent="0.2">
      <c r="B199" s="92"/>
      <c r="C199">
        <v>30</v>
      </c>
      <c r="D199">
        <f t="shared" si="67"/>
        <v>516.69491420250006</v>
      </c>
      <c r="F199">
        <f t="shared" si="68"/>
        <v>73.813559171785712</v>
      </c>
      <c r="G199">
        <f t="shared" si="64"/>
        <v>86.11581903375</v>
      </c>
      <c r="H199">
        <f t="shared" si="64"/>
        <v>103.33898284050002</v>
      </c>
      <c r="I199">
        <f t="shared" si="64"/>
        <v>129.17372855062501</v>
      </c>
      <c r="J199">
        <f t="shared" si="64"/>
        <v>172.2316380675</v>
      </c>
      <c r="K199">
        <f t="shared" si="64"/>
        <v>258.34745710125003</v>
      </c>
      <c r="L199">
        <f t="shared" si="64"/>
        <v>516.69491420250006</v>
      </c>
      <c r="M199">
        <f t="shared" si="64"/>
        <v>1033.3898284050001</v>
      </c>
      <c r="P199" s="105"/>
      <c r="Q199">
        <v>20</v>
      </c>
      <c r="R199">
        <f t="shared" si="77"/>
        <v>1609.34</v>
      </c>
      <c r="S199">
        <f t="shared" si="79"/>
        <v>10</v>
      </c>
      <c r="U199">
        <f t="shared" si="78"/>
        <v>1745.92</v>
      </c>
      <c r="V199">
        <f t="shared" ref="V199:V232" si="80">R199*$S$101</f>
        <v>274.39247</v>
      </c>
      <c r="W199">
        <f t="shared" si="70"/>
        <v>2743.9247</v>
      </c>
      <c r="Y199">
        <f t="shared" ref="Y199:Y232" si="81">(U199+V199)*$S$101</f>
        <v>344.46327613500006</v>
      </c>
    </row>
    <row r="200" spans="2:25" x14ac:dyDescent="0.2">
      <c r="B200" s="92"/>
      <c r="C200">
        <v>40</v>
      </c>
      <c r="D200">
        <f t="shared" si="67"/>
        <v>688.92655227000012</v>
      </c>
      <c r="F200">
        <f t="shared" si="68"/>
        <v>98.418078895714302</v>
      </c>
      <c r="G200">
        <f t="shared" si="64"/>
        <v>114.82109204500001</v>
      </c>
      <c r="H200">
        <f t="shared" si="64"/>
        <v>137.78531045400004</v>
      </c>
      <c r="I200">
        <f t="shared" si="64"/>
        <v>172.23163806750003</v>
      </c>
      <c r="J200">
        <f t="shared" si="64"/>
        <v>229.64218409000003</v>
      </c>
      <c r="K200">
        <f t="shared" si="64"/>
        <v>344.46327613500006</v>
      </c>
      <c r="L200">
        <f t="shared" si="64"/>
        <v>688.92655227000012</v>
      </c>
      <c r="M200">
        <f t="shared" si="64"/>
        <v>1377.8531045400002</v>
      </c>
      <c r="P200" s="105"/>
      <c r="Q200">
        <v>30</v>
      </c>
      <c r="R200">
        <f t="shared" si="77"/>
        <v>2414.0100000000002</v>
      </c>
      <c r="S200">
        <f t="shared" si="79"/>
        <v>10</v>
      </c>
      <c r="U200">
        <f t="shared" si="78"/>
        <v>2618.88</v>
      </c>
      <c r="V200">
        <f t="shared" si="80"/>
        <v>411.58870500000006</v>
      </c>
      <c r="W200">
        <f t="shared" si="70"/>
        <v>4115.8870500000003</v>
      </c>
      <c r="Y200">
        <f t="shared" si="81"/>
        <v>516.69491420250006</v>
      </c>
    </row>
    <row r="201" spans="2:25" x14ac:dyDescent="0.2">
      <c r="B201" s="92"/>
      <c r="C201">
        <v>50</v>
      </c>
      <c r="D201">
        <f t="shared" si="67"/>
        <v>861.15819033750006</v>
      </c>
      <c r="F201">
        <f t="shared" si="68"/>
        <v>123.02259861964286</v>
      </c>
      <c r="G201">
        <f t="shared" si="64"/>
        <v>143.52636505625</v>
      </c>
      <c r="H201">
        <f t="shared" si="64"/>
        <v>172.23163806750003</v>
      </c>
      <c r="I201">
        <f t="shared" si="64"/>
        <v>215.28954758437501</v>
      </c>
      <c r="J201">
        <f t="shared" si="64"/>
        <v>287.0527301125</v>
      </c>
      <c r="K201">
        <f t="shared" si="64"/>
        <v>430.57909516875003</v>
      </c>
      <c r="L201">
        <f t="shared" si="64"/>
        <v>861.15819033750006</v>
      </c>
      <c r="M201">
        <f t="shared" si="64"/>
        <v>1722.3163806750001</v>
      </c>
      <c r="P201" s="105"/>
      <c r="Q201">
        <v>40</v>
      </c>
      <c r="R201">
        <f t="shared" si="77"/>
        <v>3218.68</v>
      </c>
      <c r="S201">
        <f t="shared" si="79"/>
        <v>10</v>
      </c>
      <c r="U201">
        <f t="shared" si="78"/>
        <v>3491.84</v>
      </c>
      <c r="V201">
        <f t="shared" si="80"/>
        <v>548.78494000000001</v>
      </c>
      <c r="W201">
        <f t="shared" si="70"/>
        <v>5487.8494000000001</v>
      </c>
      <c r="Y201">
        <f t="shared" si="81"/>
        <v>688.92655227000012</v>
      </c>
    </row>
    <row r="202" spans="2:25" x14ac:dyDescent="0.2">
      <c r="B202" s="92"/>
      <c r="C202">
        <v>60</v>
      </c>
      <c r="D202">
        <f t="shared" si="67"/>
        <v>1033.3898284050001</v>
      </c>
      <c r="F202">
        <f t="shared" si="68"/>
        <v>147.62711834357142</v>
      </c>
      <c r="G202">
        <f t="shared" si="64"/>
        <v>172.2316380675</v>
      </c>
      <c r="H202">
        <f t="shared" si="64"/>
        <v>206.67796568100005</v>
      </c>
      <c r="I202">
        <f t="shared" si="64"/>
        <v>258.34745710125003</v>
      </c>
      <c r="J202">
        <f t="shared" si="64"/>
        <v>344.463276135</v>
      </c>
      <c r="K202">
        <f t="shared" si="64"/>
        <v>516.69491420250006</v>
      </c>
      <c r="L202">
        <f t="shared" si="64"/>
        <v>1033.3898284050001</v>
      </c>
      <c r="M202">
        <f t="shared" si="64"/>
        <v>2066.7796568100002</v>
      </c>
      <c r="P202" s="105"/>
      <c r="Q202">
        <v>50</v>
      </c>
      <c r="R202">
        <f t="shared" si="77"/>
        <v>4023.35</v>
      </c>
      <c r="S202">
        <f t="shared" si="79"/>
        <v>10</v>
      </c>
      <c r="U202">
        <f t="shared" si="78"/>
        <v>4364.8</v>
      </c>
      <c r="V202">
        <f t="shared" si="80"/>
        <v>685.98117500000001</v>
      </c>
      <c r="W202">
        <f t="shared" si="70"/>
        <v>6859.8117499999998</v>
      </c>
      <c r="Y202">
        <f t="shared" si="81"/>
        <v>861.15819033750006</v>
      </c>
    </row>
    <row r="203" spans="2:25" x14ac:dyDescent="0.2">
      <c r="B203" s="92"/>
      <c r="C203">
        <v>70</v>
      </c>
      <c r="D203">
        <f t="shared" si="67"/>
        <v>1205.6214664725003</v>
      </c>
      <c r="F203">
        <f t="shared" si="68"/>
        <v>172.23163806750003</v>
      </c>
      <c r="G203">
        <f t="shared" si="64"/>
        <v>200.93691107875003</v>
      </c>
      <c r="H203">
        <f t="shared" si="64"/>
        <v>241.12429329450006</v>
      </c>
      <c r="I203">
        <f t="shared" si="64"/>
        <v>301.40536661812507</v>
      </c>
      <c r="J203">
        <f t="shared" si="64"/>
        <v>401.87382215750006</v>
      </c>
      <c r="K203">
        <f t="shared" si="64"/>
        <v>602.81073323625014</v>
      </c>
      <c r="L203">
        <f t="shared" si="64"/>
        <v>1205.6214664725003</v>
      </c>
      <c r="M203">
        <f t="shared" si="64"/>
        <v>2411.2429329450006</v>
      </c>
      <c r="P203" s="105"/>
      <c r="Q203">
        <v>60</v>
      </c>
      <c r="R203">
        <f t="shared" si="77"/>
        <v>4828.0200000000004</v>
      </c>
      <c r="S203">
        <f t="shared" si="79"/>
        <v>10</v>
      </c>
      <c r="U203">
        <f t="shared" si="78"/>
        <v>5237.76</v>
      </c>
      <c r="V203">
        <f t="shared" si="80"/>
        <v>823.17741000000012</v>
      </c>
      <c r="W203">
        <f t="shared" si="70"/>
        <v>8231.7741000000005</v>
      </c>
      <c r="Y203">
        <f t="shared" si="81"/>
        <v>1033.3898284050001</v>
      </c>
    </row>
    <row r="204" spans="2:25" x14ac:dyDescent="0.2">
      <c r="B204" s="92"/>
      <c r="C204">
        <v>80</v>
      </c>
      <c r="D204">
        <f t="shared" si="67"/>
        <v>1377.8531045400002</v>
      </c>
      <c r="F204">
        <f t="shared" si="68"/>
        <v>196.8361577914286</v>
      </c>
      <c r="G204">
        <f t="shared" si="64"/>
        <v>229.64218409000003</v>
      </c>
      <c r="H204">
        <f t="shared" si="64"/>
        <v>275.57062090800008</v>
      </c>
      <c r="I204">
        <f t="shared" si="64"/>
        <v>344.46327613500006</v>
      </c>
      <c r="J204">
        <f t="shared" si="64"/>
        <v>459.28436818000006</v>
      </c>
      <c r="K204">
        <f t="shared" si="64"/>
        <v>688.92655227000012</v>
      </c>
      <c r="L204">
        <f t="shared" si="64"/>
        <v>1377.8531045400002</v>
      </c>
      <c r="M204">
        <f t="shared" si="64"/>
        <v>2755.7062090800005</v>
      </c>
      <c r="P204" s="105"/>
      <c r="Q204">
        <v>70</v>
      </c>
      <c r="R204">
        <f t="shared" si="77"/>
        <v>5632.6900000000005</v>
      </c>
      <c r="S204">
        <f t="shared" si="79"/>
        <v>10</v>
      </c>
      <c r="U204">
        <f t="shared" si="78"/>
        <v>6110.72</v>
      </c>
      <c r="V204">
        <f t="shared" si="80"/>
        <v>960.37364500000012</v>
      </c>
      <c r="W204">
        <f t="shared" si="70"/>
        <v>9603.7364500000003</v>
      </c>
      <c r="Y204">
        <f t="shared" si="81"/>
        <v>1205.6214664725003</v>
      </c>
    </row>
    <row r="205" spans="2:25" x14ac:dyDescent="0.2">
      <c r="B205" s="92">
        <v>600</v>
      </c>
      <c r="C205">
        <v>5</v>
      </c>
      <c r="D205">
        <f t="shared" si="67"/>
        <v>100.99978703375001</v>
      </c>
      <c r="F205">
        <f t="shared" si="68"/>
        <v>14.42854100482143</v>
      </c>
      <c r="G205">
        <f t="shared" si="64"/>
        <v>16.833297838958334</v>
      </c>
      <c r="H205">
        <f t="shared" si="64"/>
        <v>20.199957406750002</v>
      </c>
      <c r="I205">
        <f t="shared" si="64"/>
        <v>25.249946758437503</v>
      </c>
      <c r="J205">
        <f t="shared" si="64"/>
        <v>33.666595677916668</v>
      </c>
      <c r="K205">
        <f t="shared" si="64"/>
        <v>50.499893516875005</v>
      </c>
      <c r="L205">
        <f t="shared" si="64"/>
        <v>100.99978703375001</v>
      </c>
      <c r="M205">
        <f t="shared" si="64"/>
        <v>201.99957406750002</v>
      </c>
      <c r="P205" s="105"/>
      <c r="Q205">
        <v>80</v>
      </c>
      <c r="R205">
        <f t="shared" si="77"/>
        <v>6437.36</v>
      </c>
      <c r="S205">
        <f t="shared" si="79"/>
        <v>10</v>
      </c>
      <c r="U205">
        <f t="shared" si="78"/>
        <v>6983.68</v>
      </c>
      <c r="V205">
        <f t="shared" si="80"/>
        <v>1097.56988</v>
      </c>
      <c r="W205">
        <f t="shared" si="70"/>
        <v>10975.6988</v>
      </c>
      <c r="Y205">
        <f t="shared" si="81"/>
        <v>1377.8531045400002</v>
      </c>
    </row>
    <row r="206" spans="2:25" x14ac:dyDescent="0.2">
      <c r="B206" s="92"/>
      <c r="C206">
        <v>10</v>
      </c>
      <c r="D206">
        <f t="shared" si="67"/>
        <v>201.99957406750002</v>
      </c>
      <c r="F206">
        <f t="shared" si="68"/>
        <v>28.857082009642859</v>
      </c>
      <c r="G206">
        <f t="shared" si="64"/>
        <v>33.666595677916668</v>
      </c>
      <c r="H206">
        <f t="shared" si="64"/>
        <v>40.399914813500004</v>
      </c>
      <c r="I206">
        <f t="shared" si="64"/>
        <v>50.499893516875005</v>
      </c>
      <c r="J206">
        <f t="shared" si="64"/>
        <v>67.333191355833335</v>
      </c>
      <c r="K206">
        <f t="shared" si="64"/>
        <v>100.99978703375001</v>
      </c>
      <c r="L206">
        <f t="shared" si="64"/>
        <v>201.99957406750002</v>
      </c>
      <c r="M206">
        <f t="shared" si="64"/>
        <v>403.99914813500004</v>
      </c>
      <c r="P206" s="105">
        <v>600</v>
      </c>
      <c r="Q206">
        <v>5</v>
      </c>
      <c r="R206">
        <f t="shared" ref="R206:R214" si="82">R161</f>
        <v>402.33499999999998</v>
      </c>
      <c r="S206">
        <f>$H$98</f>
        <v>12</v>
      </c>
      <c r="U206">
        <f t="shared" ref="U206:U214" si="83">T89*$H$98</f>
        <v>523.77600000000007</v>
      </c>
      <c r="V206">
        <f t="shared" si="80"/>
        <v>68.598117500000001</v>
      </c>
      <c r="W206">
        <f t="shared" si="70"/>
        <v>823.17741000000001</v>
      </c>
      <c r="Y206">
        <f t="shared" si="81"/>
        <v>100.99978703375001</v>
      </c>
    </row>
    <row r="207" spans="2:25" ht="15" x14ac:dyDescent="0.25">
      <c r="B207" s="92"/>
      <c r="C207">
        <v>20</v>
      </c>
      <c r="D207">
        <f t="shared" si="67"/>
        <v>403.99914813500004</v>
      </c>
      <c r="F207" s="1">
        <f t="shared" si="68"/>
        <v>57.714164019285718</v>
      </c>
      <c r="G207">
        <f t="shared" si="64"/>
        <v>67.333191355833335</v>
      </c>
      <c r="H207">
        <f t="shared" si="64"/>
        <v>80.799829627000008</v>
      </c>
      <c r="I207">
        <f t="shared" ref="G207:M231" si="84">$D207*I$105</f>
        <v>100.99978703375001</v>
      </c>
      <c r="J207">
        <f t="shared" si="84"/>
        <v>134.66638271166667</v>
      </c>
      <c r="K207">
        <f t="shared" si="84"/>
        <v>201.99957406750002</v>
      </c>
      <c r="L207">
        <f t="shared" si="84"/>
        <v>403.99914813500004</v>
      </c>
      <c r="M207">
        <f t="shared" si="84"/>
        <v>807.99829627000008</v>
      </c>
      <c r="P207" s="105"/>
      <c r="Q207">
        <v>10</v>
      </c>
      <c r="R207">
        <f t="shared" si="82"/>
        <v>804.67</v>
      </c>
      <c r="S207">
        <f t="shared" ref="S207:S214" si="85">$H$98</f>
        <v>12</v>
      </c>
      <c r="U207">
        <f t="shared" si="83"/>
        <v>1047.5520000000001</v>
      </c>
      <c r="V207">
        <f t="shared" si="80"/>
        <v>137.196235</v>
      </c>
      <c r="W207">
        <f t="shared" si="70"/>
        <v>1646.35482</v>
      </c>
      <c r="Y207">
        <f t="shared" si="81"/>
        <v>201.99957406750002</v>
      </c>
    </row>
    <row r="208" spans="2:25" x14ac:dyDescent="0.2">
      <c r="B208" s="92"/>
      <c r="C208">
        <v>30</v>
      </c>
      <c r="D208">
        <f t="shared" si="67"/>
        <v>605.99872220250018</v>
      </c>
      <c r="F208">
        <f t="shared" si="68"/>
        <v>86.571246028928599</v>
      </c>
      <c r="G208">
        <f t="shared" si="84"/>
        <v>100.99978703375002</v>
      </c>
      <c r="H208">
        <f t="shared" si="84"/>
        <v>121.19974444050004</v>
      </c>
      <c r="I208">
        <f t="shared" si="84"/>
        <v>151.49968055062504</v>
      </c>
      <c r="J208">
        <f t="shared" si="84"/>
        <v>201.99957406750005</v>
      </c>
      <c r="K208">
        <f t="shared" si="84"/>
        <v>302.99936110125009</v>
      </c>
      <c r="L208">
        <f t="shared" si="84"/>
        <v>605.99872220250018</v>
      </c>
      <c r="M208">
        <f t="shared" si="84"/>
        <v>1211.9974444050004</v>
      </c>
      <c r="P208" s="105"/>
      <c r="Q208">
        <v>20</v>
      </c>
      <c r="R208">
        <f t="shared" si="82"/>
        <v>1609.34</v>
      </c>
      <c r="S208">
        <f t="shared" si="85"/>
        <v>12</v>
      </c>
      <c r="U208">
        <f t="shared" si="83"/>
        <v>2095.1040000000003</v>
      </c>
      <c r="V208">
        <f t="shared" si="80"/>
        <v>274.39247</v>
      </c>
      <c r="W208">
        <f t="shared" si="70"/>
        <v>3292.70964</v>
      </c>
      <c r="Y208">
        <f t="shared" si="81"/>
        <v>403.99914813500004</v>
      </c>
    </row>
    <row r="209" spans="2:25" x14ac:dyDescent="0.2">
      <c r="B209" s="92"/>
      <c r="C209">
        <v>40</v>
      </c>
      <c r="D209">
        <f t="shared" si="67"/>
        <v>807.99829627000008</v>
      </c>
      <c r="F209">
        <f t="shared" si="68"/>
        <v>115.42832803857144</v>
      </c>
      <c r="G209">
        <f t="shared" si="84"/>
        <v>134.66638271166667</v>
      </c>
      <c r="H209">
        <f t="shared" si="84"/>
        <v>161.59965925400002</v>
      </c>
      <c r="I209">
        <f t="shared" si="84"/>
        <v>201.99957406750002</v>
      </c>
      <c r="J209">
        <f t="shared" si="84"/>
        <v>269.33276542333334</v>
      </c>
      <c r="K209">
        <f t="shared" si="84"/>
        <v>403.99914813500004</v>
      </c>
      <c r="L209">
        <f t="shared" si="84"/>
        <v>807.99829627000008</v>
      </c>
      <c r="M209">
        <f t="shared" si="84"/>
        <v>1615.9965925400002</v>
      </c>
      <c r="P209" s="105"/>
      <c r="Q209">
        <v>30</v>
      </c>
      <c r="R209">
        <f t="shared" si="82"/>
        <v>2414.0100000000002</v>
      </c>
      <c r="S209">
        <f t="shared" si="85"/>
        <v>12</v>
      </c>
      <c r="U209">
        <f t="shared" si="83"/>
        <v>3142.6560000000004</v>
      </c>
      <c r="V209">
        <f t="shared" si="80"/>
        <v>411.58870500000006</v>
      </c>
      <c r="W209">
        <f t="shared" si="70"/>
        <v>4939.0644600000005</v>
      </c>
      <c r="Y209">
        <f t="shared" si="81"/>
        <v>605.99872220250018</v>
      </c>
    </row>
    <row r="210" spans="2:25" x14ac:dyDescent="0.2">
      <c r="B210" s="92"/>
      <c r="C210">
        <v>50</v>
      </c>
      <c r="D210">
        <f t="shared" si="67"/>
        <v>1009.9978703375001</v>
      </c>
      <c r="F210">
        <f t="shared" si="68"/>
        <v>144.28541004821429</v>
      </c>
      <c r="G210">
        <f t="shared" si="84"/>
        <v>168.33297838958333</v>
      </c>
      <c r="H210">
        <f t="shared" si="84"/>
        <v>201.99957406750002</v>
      </c>
      <c r="I210">
        <f t="shared" si="84"/>
        <v>252.49946758437503</v>
      </c>
      <c r="J210">
        <f t="shared" si="84"/>
        <v>336.66595677916666</v>
      </c>
      <c r="K210">
        <f t="shared" si="84"/>
        <v>504.99893516875005</v>
      </c>
      <c r="L210">
        <f t="shared" si="84"/>
        <v>1009.9978703375001</v>
      </c>
      <c r="M210">
        <f t="shared" si="84"/>
        <v>2019.9957406750002</v>
      </c>
      <c r="P210" s="105"/>
      <c r="Q210">
        <v>40</v>
      </c>
      <c r="R210">
        <f t="shared" si="82"/>
        <v>3218.68</v>
      </c>
      <c r="S210">
        <f t="shared" si="85"/>
        <v>12</v>
      </c>
      <c r="U210">
        <f t="shared" si="83"/>
        <v>4190.2080000000005</v>
      </c>
      <c r="V210">
        <f t="shared" si="80"/>
        <v>548.78494000000001</v>
      </c>
      <c r="W210">
        <f t="shared" si="70"/>
        <v>6585.4192800000001</v>
      </c>
      <c r="Y210">
        <f t="shared" si="81"/>
        <v>807.99829627000008</v>
      </c>
    </row>
    <row r="211" spans="2:25" x14ac:dyDescent="0.2">
      <c r="B211" s="92"/>
      <c r="C211">
        <v>60</v>
      </c>
      <c r="D211">
        <f t="shared" si="67"/>
        <v>1211.9974444050004</v>
      </c>
      <c r="F211">
        <f t="shared" si="68"/>
        <v>173.1424920578572</v>
      </c>
      <c r="G211">
        <f t="shared" si="84"/>
        <v>201.99957406750005</v>
      </c>
      <c r="H211">
        <f t="shared" si="84"/>
        <v>242.39948888100008</v>
      </c>
      <c r="I211">
        <f t="shared" si="84"/>
        <v>302.99936110125009</v>
      </c>
      <c r="J211">
        <f t="shared" si="84"/>
        <v>403.9991481350001</v>
      </c>
      <c r="K211">
        <f t="shared" si="84"/>
        <v>605.99872220250018</v>
      </c>
      <c r="L211">
        <f t="shared" si="84"/>
        <v>1211.9974444050004</v>
      </c>
      <c r="M211">
        <f t="shared" si="84"/>
        <v>2423.9948888100007</v>
      </c>
      <c r="P211" s="105"/>
      <c r="Q211">
        <v>50</v>
      </c>
      <c r="R211">
        <f t="shared" si="82"/>
        <v>4023.35</v>
      </c>
      <c r="S211">
        <f t="shared" si="85"/>
        <v>12</v>
      </c>
      <c r="U211">
        <f t="shared" si="83"/>
        <v>5237.76</v>
      </c>
      <c r="V211">
        <f t="shared" si="80"/>
        <v>685.98117500000001</v>
      </c>
      <c r="W211">
        <f t="shared" si="70"/>
        <v>8231.7741000000005</v>
      </c>
      <c r="Y211">
        <f t="shared" si="81"/>
        <v>1009.9978703375001</v>
      </c>
    </row>
    <row r="212" spans="2:25" x14ac:dyDescent="0.2">
      <c r="B212" s="92"/>
      <c r="C212">
        <v>70</v>
      </c>
      <c r="D212">
        <f t="shared" si="67"/>
        <v>1413.9970184725</v>
      </c>
      <c r="F212">
        <f t="shared" si="68"/>
        <v>201.99957406749999</v>
      </c>
      <c r="G212">
        <f t="shared" si="84"/>
        <v>235.66616974541665</v>
      </c>
      <c r="H212">
        <f t="shared" si="84"/>
        <v>282.79940369450003</v>
      </c>
      <c r="I212">
        <f t="shared" si="84"/>
        <v>353.49925461812501</v>
      </c>
      <c r="J212">
        <f t="shared" si="84"/>
        <v>471.33233949083331</v>
      </c>
      <c r="K212">
        <f t="shared" si="84"/>
        <v>706.99850923625002</v>
      </c>
      <c r="L212">
        <f t="shared" si="84"/>
        <v>1413.9970184725</v>
      </c>
      <c r="M212">
        <f t="shared" si="84"/>
        <v>2827.9940369450001</v>
      </c>
      <c r="P212" s="105"/>
      <c r="Q212">
        <v>60</v>
      </c>
      <c r="R212">
        <f t="shared" si="82"/>
        <v>4828.0200000000004</v>
      </c>
      <c r="S212">
        <f t="shared" si="85"/>
        <v>12</v>
      </c>
      <c r="U212">
        <f t="shared" si="83"/>
        <v>6285.3120000000008</v>
      </c>
      <c r="V212">
        <f t="shared" si="80"/>
        <v>823.17741000000012</v>
      </c>
      <c r="W212">
        <f t="shared" si="70"/>
        <v>9878.128920000001</v>
      </c>
      <c r="Y212">
        <f t="shared" si="81"/>
        <v>1211.9974444050004</v>
      </c>
    </row>
    <row r="213" spans="2:25" x14ac:dyDescent="0.2">
      <c r="B213" s="92"/>
      <c r="C213">
        <v>80</v>
      </c>
      <c r="D213">
        <f t="shared" si="67"/>
        <v>1615.9965925400002</v>
      </c>
      <c r="F213">
        <f t="shared" si="68"/>
        <v>230.85665607714287</v>
      </c>
      <c r="G213">
        <f t="shared" si="84"/>
        <v>269.33276542333334</v>
      </c>
      <c r="H213">
        <f t="shared" si="84"/>
        <v>323.19931850800003</v>
      </c>
      <c r="I213">
        <f t="shared" si="84"/>
        <v>403.99914813500004</v>
      </c>
      <c r="J213">
        <f t="shared" si="84"/>
        <v>538.66553084666668</v>
      </c>
      <c r="K213">
        <f t="shared" si="84"/>
        <v>807.99829627000008</v>
      </c>
      <c r="L213">
        <f t="shared" si="84"/>
        <v>1615.9965925400002</v>
      </c>
      <c r="M213">
        <f t="shared" si="84"/>
        <v>3231.9931850800003</v>
      </c>
      <c r="P213" s="105"/>
      <c r="Q213">
        <v>70</v>
      </c>
      <c r="R213">
        <f t="shared" si="82"/>
        <v>5632.6900000000005</v>
      </c>
      <c r="S213">
        <f t="shared" si="85"/>
        <v>12</v>
      </c>
      <c r="U213">
        <f t="shared" si="83"/>
        <v>7332.8639999999996</v>
      </c>
      <c r="V213">
        <f t="shared" si="80"/>
        <v>960.37364500000012</v>
      </c>
      <c r="W213">
        <f t="shared" si="70"/>
        <v>11524.483740000001</v>
      </c>
      <c r="Y213">
        <f t="shared" si="81"/>
        <v>1413.9970184725</v>
      </c>
    </row>
    <row r="214" spans="2:25" x14ac:dyDescent="0.2">
      <c r="B214" s="92">
        <v>800</v>
      </c>
      <c r="C214">
        <v>5</v>
      </c>
      <c r="D214">
        <f t="shared" si="67"/>
        <v>130.76772303375003</v>
      </c>
      <c r="F214">
        <f t="shared" si="68"/>
        <v>18.681103290535717</v>
      </c>
      <c r="G214">
        <f t="shared" si="84"/>
        <v>21.794620505625005</v>
      </c>
      <c r="H214">
        <f t="shared" si="84"/>
        <v>26.153544606750007</v>
      </c>
      <c r="I214">
        <f t="shared" si="84"/>
        <v>32.691930758437508</v>
      </c>
      <c r="J214">
        <f t="shared" si="84"/>
        <v>43.58924101125001</v>
      </c>
      <c r="K214">
        <f t="shared" si="84"/>
        <v>65.383861516875015</v>
      </c>
      <c r="L214">
        <f t="shared" si="84"/>
        <v>130.76772303375003</v>
      </c>
      <c r="M214">
        <f t="shared" si="84"/>
        <v>261.53544606750006</v>
      </c>
      <c r="P214" s="105"/>
      <c r="Q214">
        <v>80</v>
      </c>
      <c r="R214">
        <f t="shared" si="82"/>
        <v>6437.36</v>
      </c>
      <c r="S214">
        <f t="shared" si="85"/>
        <v>12</v>
      </c>
      <c r="U214">
        <f t="shared" si="83"/>
        <v>8380.4160000000011</v>
      </c>
      <c r="V214">
        <f t="shared" si="80"/>
        <v>1097.56988</v>
      </c>
      <c r="W214">
        <f t="shared" si="70"/>
        <v>13170.83856</v>
      </c>
      <c r="Y214">
        <f t="shared" si="81"/>
        <v>1615.9965925400002</v>
      </c>
    </row>
    <row r="215" spans="2:25" x14ac:dyDescent="0.2">
      <c r="B215" s="92"/>
      <c r="C215">
        <v>10</v>
      </c>
      <c r="D215">
        <f t="shared" si="67"/>
        <v>261.53544606750006</v>
      </c>
      <c r="F215">
        <f t="shared" si="68"/>
        <v>37.362206581071433</v>
      </c>
      <c r="G215">
        <f t="shared" si="84"/>
        <v>43.58924101125001</v>
      </c>
      <c r="H215">
        <f t="shared" si="84"/>
        <v>52.307089213500014</v>
      </c>
      <c r="I215">
        <f t="shared" si="84"/>
        <v>65.383861516875015</v>
      </c>
      <c r="J215">
        <f t="shared" si="84"/>
        <v>87.17848202250002</v>
      </c>
      <c r="K215">
        <f t="shared" si="84"/>
        <v>130.76772303375003</v>
      </c>
      <c r="L215">
        <f t="shared" si="84"/>
        <v>261.53544606750006</v>
      </c>
      <c r="M215">
        <f t="shared" si="84"/>
        <v>523.07089213500012</v>
      </c>
      <c r="P215" s="105">
        <v>800</v>
      </c>
      <c r="Q215">
        <v>5</v>
      </c>
      <c r="R215">
        <f t="shared" ref="R215:R223" si="86">R161</f>
        <v>402.33499999999998</v>
      </c>
      <c r="S215">
        <f>$H$99</f>
        <v>16</v>
      </c>
      <c r="U215">
        <f t="shared" ref="U215:U223" si="87">T89*$H$99</f>
        <v>698.36800000000005</v>
      </c>
      <c r="V215">
        <f t="shared" si="80"/>
        <v>68.598117500000001</v>
      </c>
      <c r="W215">
        <f t="shared" si="70"/>
        <v>1097.56988</v>
      </c>
      <c r="Y215">
        <f t="shared" si="81"/>
        <v>130.76772303375003</v>
      </c>
    </row>
    <row r="216" spans="2:25" x14ac:dyDescent="0.2">
      <c r="B216" s="92"/>
      <c r="C216">
        <v>20</v>
      </c>
      <c r="D216">
        <f t="shared" si="67"/>
        <v>523.07089213500012</v>
      </c>
      <c r="F216">
        <f t="shared" si="68"/>
        <v>74.724413162142866</v>
      </c>
      <c r="G216">
        <f t="shared" si="84"/>
        <v>87.17848202250002</v>
      </c>
      <c r="H216">
        <f t="shared" si="84"/>
        <v>104.61417842700003</v>
      </c>
      <c r="I216">
        <f t="shared" si="84"/>
        <v>130.76772303375003</v>
      </c>
      <c r="J216">
        <f t="shared" si="84"/>
        <v>174.35696404500004</v>
      </c>
      <c r="K216">
        <f t="shared" si="84"/>
        <v>261.53544606750006</v>
      </c>
      <c r="L216">
        <f t="shared" si="84"/>
        <v>523.07089213500012</v>
      </c>
      <c r="M216">
        <f t="shared" si="84"/>
        <v>1046.1417842700002</v>
      </c>
      <c r="P216" s="105"/>
      <c r="Q216">
        <v>10</v>
      </c>
      <c r="R216">
        <f t="shared" si="86"/>
        <v>804.67</v>
      </c>
      <c r="S216">
        <f t="shared" ref="S216:S223" si="88">$H$99</f>
        <v>16</v>
      </c>
      <c r="U216">
        <f t="shared" si="87"/>
        <v>1396.7360000000001</v>
      </c>
      <c r="V216">
        <f t="shared" si="80"/>
        <v>137.196235</v>
      </c>
      <c r="W216">
        <f t="shared" si="70"/>
        <v>2195.13976</v>
      </c>
      <c r="Y216">
        <f t="shared" si="81"/>
        <v>261.53544606750006</v>
      </c>
    </row>
    <row r="217" spans="2:25" x14ac:dyDescent="0.2">
      <c r="B217" s="92"/>
      <c r="C217">
        <v>30</v>
      </c>
      <c r="D217">
        <f t="shared" si="67"/>
        <v>784.60633820250018</v>
      </c>
      <c r="F217">
        <f t="shared" si="68"/>
        <v>112.0866197432143</v>
      </c>
      <c r="G217">
        <f t="shared" si="84"/>
        <v>130.76772303375003</v>
      </c>
      <c r="H217">
        <f t="shared" si="84"/>
        <v>156.92126764050005</v>
      </c>
      <c r="I217">
        <f t="shared" si="84"/>
        <v>196.15158455062505</v>
      </c>
      <c r="J217">
        <f t="shared" si="84"/>
        <v>261.53544606750006</v>
      </c>
      <c r="K217">
        <f t="shared" si="84"/>
        <v>392.30316910125009</v>
      </c>
      <c r="L217">
        <f t="shared" si="84"/>
        <v>784.60633820250018</v>
      </c>
      <c r="M217">
        <f t="shared" si="84"/>
        <v>1569.2126764050004</v>
      </c>
      <c r="P217" s="105"/>
      <c r="Q217">
        <v>20</v>
      </c>
      <c r="R217">
        <f t="shared" si="86"/>
        <v>1609.34</v>
      </c>
      <c r="S217">
        <f t="shared" si="88"/>
        <v>16</v>
      </c>
      <c r="U217">
        <f t="shared" si="87"/>
        <v>2793.4720000000002</v>
      </c>
      <c r="V217">
        <f t="shared" si="80"/>
        <v>274.39247</v>
      </c>
      <c r="W217">
        <f t="shared" si="70"/>
        <v>4390.27952</v>
      </c>
      <c r="Y217">
        <f t="shared" si="81"/>
        <v>523.07089213500012</v>
      </c>
    </row>
    <row r="218" spans="2:25" x14ac:dyDescent="0.2">
      <c r="B218" s="92"/>
      <c r="C218">
        <v>40</v>
      </c>
      <c r="D218">
        <f t="shared" si="67"/>
        <v>1046.1417842700002</v>
      </c>
      <c r="F218">
        <f t="shared" si="68"/>
        <v>149.44882632428573</v>
      </c>
      <c r="G218">
        <f t="shared" si="84"/>
        <v>174.35696404500004</v>
      </c>
      <c r="H218">
        <f t="shared" si="84"/>
        <v>209.22835685400005</v>
      </c>
      <c r="I218">
        <f t="shared" si="84"/>
        <v>261.53544606750006</v>
      </c>
      <c r="J218">
        <f t="shared" si="84"/>
        <v>348.71392809000008</v>
      </c>
      <c r="K218">
        <f t="shared" si="84"/>
        <v>523.07089213500012</v>
      </c>
      <c r="L218">
        <f t="shared" si="84"/>
        <v>1046.1417842700002</v>
      </c>
      <c r="M218">
        <f t="shared" si="84"/>
        <v>2092.2835685400005</v>
      </c>
      <c r="P218" s="105"/>
      <c r="Q218">
        <v>30</v>
      </c>
      <c r="R218">
        <f t="shared" si="86"/>
        <v>2414.0100000000002</v>
      </c>
      <c r="S218">
        <f t="shared" si="88"/>
        <v>16</v>
      </c>
      <c r="U218">
        <f t="shared" si="87"/>
        <v>4190.2080000000005</v>
      </c>
      <c r="V218">
        <f t="shared" si="80"/>
        <v>411.58870500000006</v>
      </c>
      <c r="W218">
        <f t="shared" si="70"/>
        <v>6585.419280000001</v>
      </c>
      <c r="Y218">
        <f t="shared" si="81"/>
        <v>784.60633820250018</v>
      </c>
    </row>
    <row r="219" spans="2:25" x14ac:dyDescent="0.2">
      <c r="B219" s="92"/>
      <c r="C219">
        <v>50</v>
      </c>
      <c r="D219">
        <f t="shared" si="67"/>
        <v>1307.6772303375001</v>
      </c>
      <c r="F219">
        <f t="shared" si="68"/>
        <v>186.81103290535714</v>
      </c>
      <c r="G219">
        <f t="shared" si="84"/>
        <v>217.94620505624999</v>
      </c>
      <c r="H219">
        <f t="shared" si="84"/>
        <v>261.5354460675</v>
      </c>
      <c r="I219">
        <f t="shared" si="84"/>
        <v>326.91930758437502</v>
      </c>
      <c r="J219">
        <f t="shared" si="84"/>
        <v>435.89241011249999</v>
      </c>
      <c r="K219">
        <f t="shared" si="84"/>
        <v>653.83861516875004</v>
      </c>
      <c r="L219">
        <f t="shared" si="84"/>
        <v>1307.6772303375001</v>
      </c>
      <c r="M219">
        <f t="shared" si="84"/>
        <v>2615.3544606750002</v>
      </c>
      <c r="P219" s="105"/>
      <c r="Q219">
        <v>40</v>
      </c>
      <c r="R219">
        <f t="shared" si="86"/>
        <v>3218.68</v>
      </c>
      <c r="S219">
        <f t="shared" si="88"/>
        <v>16</v>
      </c>
      <c r="U219">
        <f t="shared" si="87"/>
        <v>5586.9440000000004</v>
      </c>
      <c r="V219">
        <f t="shared" si="80"/>
        <v>548.78494000000001</v>
      </c>
      <c r="W219">
        <f t="shared" si="70"/>
        <v>8780.5590400000001</v>
      </c>
      <c r="Y219">
        <f t="shared" si="81"/>
        <v>1046.1417842700002</v>
      </c>
    </row>
    <row r="220" spans="2:25" x14ac:dyDescent="0.2">
      <c r="B220" s="92"/>
      <c r="C220">
        <v>60</v>
      </c>
      <c r="D220">
        <f t="shared" si="67"/>
        <v>1569.2126764050004</v>
      </c>
      <c r="F220">
        <f t="shared" si="68"/>
        <v>224.1732394864286</v>
      </c>
      <c r="G220">
        <f t="shared" si="84"/>
        <v>261.53544606750006</v>
      </c>
      <c r="H220">
        <f t="shared" si="84"/>
        <v>313.8425352810001</v>
      </c>
      <c r="I220">
        <f t="shared" si="84"/>
        <v>392.30316910125009</v>
      </c>
      <c r="J220">
        <f t="shared" si="84"/>
        <v>523.07089213500012</v>
      </c>
      <c r="K220">
        <f t="shared" si="84"/>
        <v>784.60633820250018</v>
      </c>
      <c r="L220">
        <f t="shared" si="84"/>
        <v>1569.2126764050004</v>
      </c>
      <c r="M220">
        <f t="shared" si="84"/>
        <v>3138.4253528100007</v>
      </c>
      <c r="P220" s="105"/>
      <c r="Q220">
        <v>50</v>
      </c>
      <c r="R220">
        <f t="shared" si="86"/>
        <v>4023.35</v>
      </c>
      <c r="S220">
        <f t="shared" si="88"/>
        <v>16</v>
      </c>
      <c r="U220">
        <f t="shared" si="87"/>
        <v>6983.68</v>
      </c>
      <c r="V220">
        <f t="shared" si="80"/>
        <v>685.98117500000001</v>
      </c>
      <c r="W220">
        <f t="shared" si="70"/>
        <v>10975.6988</v>
      </c>
      <c r="Y220">
        <f t="shared" si="81"/>
        <v>1307.6772303375001</v>
      </c>
    </row>
    <row r="221" spans="2:25" x14ac:dyDescent="0.2">
      <c r="B221" s="92"/>
      <c r="C221">
        <v>70</v>
      </c>
      <c r="D221">
        <f t="shared" si="67"/>
        <v>1830.7481224725002</v>
      </c>
      <c r="F221">
        <f t="shared" si="68"/>
        <v>261.5354460675</v>
      </c>
      <c r="G221">
        <f t="shared" si="84"/>
        <v>305.12468707875001</v>
      </c>
      <c r="H221">
        <f t="shared" si="84"/>
        <v>366.14962449450007</v>
      </c>
      <c r="I221">
        <f t="shared" si="84"/>
        <v>457.68703061812505</v>
      </c>
      <c r="J221">
        <f t="shared" si="84"/>
        <v>610.24937415750003</v>
      </c>
      <c r="K221">
        <f t="shared" si="84"/>
        <v>915.3740612362501</v>
      </c>
      <c r="L221">
        <f t="shared" si="84"/>
        <v>1830.7481224725002</v>
      </c>
      <c r="M221">
        <f t="shared" si="84"/>
        <v>3661.4962449450004</v>
      </c>
      <c r="P221" s="105"/>
      <c r="Q221">
        <v>60</v>
      </c>
      <c r="R221">
        <f t="shared" si="86"/>
        <v>4828.0200000000004</v>
      </c>
      <c r="S221">
        <f t="shared" si="88"/>
        <v>16</v>
      </c>
      <c r="U221">
        <f t="shared" si="87"/>
        <v>8380.4160000000011</v>
      </c>
      <c r="V221">
        <f t="shared" si="80"/>
        <v>823.17741000000012</v>
      </c>
      <c r="W221">
        <f t="shared" si="70"/>
        <v>13170.838560000002</v>
      </c>
      <c r="Y221">
        <f t="shared" si="81"/>
        <v>1569.2126764050004</v>
      </c>
    </row>
    <row r="222" spans="2:25" x14ac:dyDescent="0.2">
      <c r="B222" s="92"/>
      <c r="C222">
        <v>80</v>
      </c>
      <c r="D222">
        <f t="shared" si="67"/>
        <v>2092.2835685400005</v>
      </c>
      <c r="F222">
        <f t="shared" si="68"/>
        <v>298.89765264857147</v>
      </c>
      <c r="G222">
        <f t="shared" si="84"/>
        <v>348.71392809000008</v>
      </c>
      <c r="H222">
        <f t="shared" si="84"/>
        <v>418.45671370800011</v>
      </c>
      <c r="I222">
        <f t="shared" si="84"/>
        <v>523.07089213500012</v>
      </c>
      <c r="J222">
        <f t="shared" si="84"/>
        <v>697.42785618000016</v>
      </c>
      <c r="K222">
        <f t="shared" si="84"/>
        <v>1046.1417842700002</v>
      </c>
      <c r="L222">
        <f t="shared" si="84"/>
        <v>2092.2835685400005</v>
      </c>
      <c r="M222">
        <f t="shared" si="84"/>
        <v>4184.567137080001</v>
      </c>
      <c r="P222" s="105"/>
      <c r="Q222">
        <v>70</v>
      </c>
      <c r="R222">
        <f t="shared" si="86"/>
        <v>5632.6900000000005</v>
      </c>
      <c r="S222">
        <f t="shared" si="88"/>
        <v>16</v>
      </c>
      <c r="U222">
        <f t="shared" si="87"/>
        <v>9777.152</v>
      </c>
      <c r="V222">
        <f t="shared" si="80"/>
        <v>960.37364500000012</v>
      </c>
      <c r="W222">
        <f t="shared" si="70"/>
        <v>15365.978320000002</v>
      </c>
      <c r="Y222">
        <f t="shared" si="81"/>
        <v>1830.7481224725002</v>
      </c>
    </row>
    <row r="223" spans="2:25" x14ac:dyDescent="0.2">
      <c r="B223" s="92">
        <v>1000</v>
      </c>
      <c r="C223">
        <v>5</v>
      </c>
      <c r="D223">
        <f t="shared" si="67"/>
        <v>160.53565903375002</v>
      </c>
      <c r="F223">
        <f t="shared" si="68"/>
        <v>22.93366557625</v>
      </c>
      <c r="G223">
        <f t="shared" si="84"/>
        <v>26.755943172291669</v>
      </c>
      <c r="H223">
        <f t="shared" si="84"/>
        <v>32.107131806750004</v>
      </c>
      <c r="I223">
        <f t="shared" si="84"/>
        <v>40.133914758437506</v>
      </c>
      <c r="J223">
        <f t="shared" si="84"/>
        <v>53.511886344583338</v>
      </c>
      <c r="K223">
        <f t="shared" si="84"/>
        <v>80.267829516875011</v>
      </c>
      <c r="L223">
        <f t="shared" si="84"/>
        <v>160.53565903375002</v>
      </c>
      <c r="M223">
        <f t="shared" si="84"/>
        <v>321.07131806750004</v>
      </c>
      <c r="P223" s="105"/>
      <c r="Q223">
        <v>80</v>
      </c>
      <c r="R223">
        <f t="shared" si="86"/>
        <v>6437.36</v>
      </c>
      <c r="S223">
        <f t="shared" si="88"/>
        <v>16</v>
      </c>
      <c r="U223">
        <f t="shared" si="87"/>
        <v>11173.888000000001</v>
      </c>
      <c r="V223">
        <f t="shared" si="80"/>
        <v>1097.56988</v>
      </c>
      <c r="W223">
        <f t="shared" si="70"/>
        <v>17561.11808</v>
      </c>
      <c r="Y223">
        <f t="shared" si="81"/>
        <v>2092.2835685400005</v>
      </c>
    </row>
    <row r="224" spans="2:25" x14ac:dyDescent="0.2">
      <c r="B224" s="92"/>
      <c r="C224">
        <v>10</v>
      </c>
      <c r="D224">
        <f t="shared" si="67"/>
        <v>321.07131806750004</v>
      </c>
      <c r="F224">
        <f t="shared" si="68"/>
        <v>45.8673311525</v>
      </c>
      <c r="G224">
        <f t="shared" si="84"/>
        <v>53.511886344583338</v>
      </c>
      <c r="H224">
        <f t="shared" si="84"/>
        <v>64.214263613500009</v>
      </c>
      <c r="I224">
        <f t="shared" si="84"/>
        <v>80.267829516875011</v>
      </c>
      <c r="J224">
        <f t="shared" si="84"/>
        <v>107.02377268916668</v>
      </c>
      <c r="K224">
        <f t="shared" si="84"/>
        <v>160.53565903375002</v>
      </c>
      <c r="L224">
        <f t="shared" si="84"/>
        <v>321.07131806750004</v>
      </c>
      <c r="M224">
        <f t="shared" si="84"/>
        <v>642.14263613500009</v>
      </c>
      <c r="P224" s="105">
        <v>1000</v>
      </c>
      <c r="Q224">
        <v>5</v>
      </c>
      <c r="R224">
        <f t="shared" ref="R224:R232" si="89">R161</f>
        <v>402.33499999999998</v>
      </c>
      <c r="S224">
        <f>$H$100</f>
        <v>20</v>
      </c>
      <c r="U224">
        <f t="shared" ref="U224:U232" si="90">T89*$H$100</f>
        <v>872.96</v>
      </c>
      <c r="V224">
        <f t="shared" si="80"/>
        <v>68.598117500000001</v>
      </c>
      <c r="W224">
        <f t="shared" si="70"/>
        <v>1371.96235</v>
      </c>
      <c r="Y224">
        <f t="shared" si="81"/>
        <v>160.53565903375002</v>
      </c>
    </row>
    <row r="225" spans="2:25" x14ac:dyDescent="0.2">
      <c r="B225" s="92"/>
      <c r="C225">
        <v>20</v>
      </c>
      <c r="D225">
        <f t="shared" si="67"/>
        <v>642.14263613500009</v>
      </c>
      <c r="F225">
        <f t="shared" si="68"/>
        <v>91.734662305000001</v>
      </c>
      <c r="G225">
        <f t="shared" si="84"/>
        <v>107.02377268916668</v>
      </c>
      <c r="H225">
        <f t="shared" si="84"/>
        <v>128.42852722700002</v>
      </c>
      <c r="I225">
        <f t="shared" si="84"/>
        <v>160.53565903375002</v>
      </c>
      <c r="J225">
        <f t="shared" si="84"/>
        <v>214.04754537833335</v>
      </c>
      <c r="K225">
        <f t="shared" si="84"/>
        <v>321.07131806750004</v>
      </c>
      <c r="L225">
        <f t="shared" si="84"/>
        <v>642.14263613500009</v>
      </c>
      <c r="M225">
        <f t="shared" si="84"/>
        <v>1284.2852722700002</v>
      </c>
      <c r="P225" s="105"/>
      <c r="Q225">
        <v>10</v>
      </c>
      <c r="R225">
        <f t="shared" si="89"/>
        <v>804.67</v>
      </c>
      <c r="S225">
        <f t="shared" ref="S225:S232" si="91">$H$100</f>
        <v>20</v>
      </c>
      <c r="U225">
        <f t="shared" si="90"/>
        <v>1745.92</v>
      </c>
      <c r="V225">
        <f t="shared" si="80"/>
        <v>137.196235</v>
      </c>
      <c r="W225">
        <f t="shared" si="70"/>
        <v>2743.9247</v>
      </c>
      <c r="Y225">
        <f t="shared" si="81"/>
        <v>321.07131806750004</v>
      </c>
    </row>
    <row r="226" spans="2:25" x14ac:dyDescent="0.2">
      <c r="B226" s="92"/>
      <c r="C226">
        <v>30</v>
      </c>
      <c r="D226">
        <f t="shared" si="67"/>
        <v>963.21395420250008</v>
      </c>
      <c r="F226">
        <f t="shared" si="68"/>
        <v>137.60199345750001</v>
      </c>
      <c r="G226">
        <f t="shared" si="84"/>
        <v>160.53565903374999</v>
      </c>
      <c r="H226">
        <f t="shared" si="84"/>
        <v>192.64279084050003</v>
      </c>
      <c r="I226">
        <f t="shared" si="84"/>
        <v>240.80348855062502</v>
      </c>
      <c r="J226">
        <f t="shared" si="84"/>
        <v>321.07131806749999</v>
      </c>
      <c r="K226">
        <f t="shared" si="84"/>
        <v>481.60697710125004</v>
      </c>
      <c r="L226">
        <f t="shared" si="84"/>
        <v>963.21395420250008</v>
      </c>
      <c r="M226">
        <f t="shared" si="84"/>
        <v>1926.4279084050002</v>
      </c>
      <c r="P226" s="105"/>
      <c r="Q226">
        <v>20</v>
      </c>
      <c r="R226">
        <f t="shared" si="89"/>
        <v>1609.34</v>
      </c>
      <c r="S226">
        <f t="shared" si="91"/>
        <v>20</v>
      </c>
      <c r="U226">
        <f t="shared" si="90"/>
        <v>3491.84</v>
      </c>
      <c r="V226">
        <f t="shared" si="80"/>
        <v>274.39247</v>
      </c>
      <c r="W226">
        <f t="shared" si="70"/>
        <v>5487.8494000000001</v>
      </c>
      <c r="Y226">
        <f t="shared" si="81"/>
        <v>642.14263613500009</v>
      </c>
    </row>
    <row r="227" spans="2:25" x14ac:dyDescent="0.2">
      <c r="B227" s="92"/>
      <c r="C227">
        <v>40</v>
      </c>
      <c r="D227">
        <f t="shared" si="67"/>
        <v>1284.2852722700002</v>
      </c>
      <c r="F227">
        <f t="shared" si="68"/>
        <v>183.46932461</v>
      </c>
      <c r="G227">
        <f t="shared" si="84"/>
        <v>214.04754537833335</v>
      </c>
      <c r="H227">
        <f t="shared" si="84"/>
        <v>256.85705445400004</v>
      </c>
      <c r="I227">
        <f t="shared" si="84"/>
        <v>321.07131806750004</v>
      </c>
      <c r="J227">
        <f t="shared" si="84"/>
        <v>428.09509075666671</v>
      </c>
      <c r="K227">
        <f t="shared" si="84"/>
        <v>642.14263613500009</v>
      </c>
      <c r="L227">
        <f t="shared" si="84"/>
        <v>1284.2852722700002</v>
      </c>
      <c r="M227">
        <f t="shared" si="84"/>
        <v>2568.5705445400004</v>
      </c>
      <c r="P227" s="105"/>
      <c r="Q227">
        <v>30</v>
      </c>
      <c r="R227">
        <f t="shared" si="89"/>
        <v>2414.0100000000002</v>
      </c>
      <c r="S227">
        <f t="shared" si="91"/>
        <v>20</v>
      </c>
      <c r="U227">
        <f t="shared" si="90"/>
        <v>5237.76</v>
      </c>
      <c r="V227">
        <f t="shared" si="80"/>
        <v>411.58870500000006</v>
      </c>
      <c r="W227">
        <f t="shared" si="70"/>
        <v>8231.7741000000005</v>
      </c>
      <c r="Y227">
        <f t="shared" si="81"/>
        <v>963.21395420250008</v>
      </c>
    </row>
    <row r="228" spans="2:25" x14ac:dyDescent="0.2">
      <c r="B228" s="92"/>
      <c r="C228">
        <v>50</v>
      </c>
      <c r="D228">
        <f t="shared" si="67"/>
        <v>1605.3565903375004</v>
      </c>
      <c r="F228">
        <f t="shared" si="68"/>
        <v>229.33665576250004</v>
      </c>
      <c r="G228">
        <f t="shared" si="84"/>
        <v>267.55943172291671</v>
      </c>
      <c r="H228">
        <f t="shared" si="84"/>
        <v>321.0713180675001</v>
      </c>
      <c r="I228">
        <f t="shared" si="84"/>
        <v>401.3391475843751</v>
      </c>
      <c r="J228">
        <f t="shared" si="84"/>
        <v>535.11886344583343</v>
      </c>
      <c r="K228">
        <f>$D228*K$105</f>
        <v>802.6782951687502</v>
      </c>
      <c r="L228">
        <f t="shared" si="84"/>
        <v>1605.3565903375004</v>
      </c>
      <c r="M228">
        <f t="shared" si="84"/>
        <v>3210.7131806750008</v>
      </c>
      <c r="P228" s="105"/>
      <c r="Q228">
        <v>40</v>
      </c>
      <c r="R228">
        <f t="shared" si="89"/>
        <v>3218.68</v>
      </c>
      <c r="S228">
        <f t="shared" si="91"/>
        <v>20</v>
      </c>
      <c r="U228">
        <f t="shared" si="90"/>
        <v>6983.68</v>
      </c>
      <c r="V228">
        <f t="shared" si="80"/>
        <v>548.78494000000001</v>
      </c>
      <c r="W228">
        <f t="shared" si="70"/>
        <v>10975.6988</v>
      </c>
      <c r="Y228">
        <f t="shared" si="81"/>
        <v>1284.2852722700002</v>
      </c>
    </row>
    <row r="229" spans="2:25" x14ac:dyDescent="0.2">
      <c r="B229" s="92"/>
      <c r="C229">
        <v>60</v>
      </c>
      <c r="D229">
        <f t="shared" si="67"/>
        <v>1926.4279084050002</v>
      </c>
      <c r="F229">
        <f t="shared" si="68"/>
        <v>275.20398691500003</v>
      </c>
      <c r="G229">
        <f t="shared" si="84"/>
        <v>321.07131806749999</v>
      </c>
      <c r="H229">
        <f t="shared" si="84"/>
        <v>385.28558168100005</v>
      </c>
      <c r="I229">
        <f t="shared" si="84"/>
        <v>481.60697710125004</v>
      </c>
      <c r="J229">
        <f t="shared" si="84"/>
        <v>642.14263613499998</v>
      </c>
      <c r="K229">
        <f t="shared" si="84"/>
        <v>963.21395420250008</v>
      </c>
      <c r="L229">
        <f t="shared" si="84"/>
        <v>1926.4279084050002</v>
      </c>
      <c r="M229">
        <f t="shared" si="84"/>
        <v>3852.8558168100003</v>
      </c>
      <c r="P229" s="105"/>
      <c r="Q229">
        <v>50</v>
      </c>
      <c r="R229">
        <f t="shared" si="89"/>
        <v>4023.35</v>
      </c>
      <c r="S229">
        <f t="shared" si="91"/>
        <v>20</v>
      </c>
      <c r="U229">
        <f t="shared" si="90"/>
        <v>8729.6</v>
      </c>
      <c r="V229">
        <f t="shared" si="80"/>
        <v>685.98117500000001</v>
      </c>
      <c r="W229">
        <f t="shared" si="70"/>
        <v>13719.6235</v>
      </c>
      <c r="Y229">
        <f t="shared" si="81"/>
        <v>1605.3565903375004</v>
      </c>
    </row>
    <row r="230" spans="2:25" x14ac:dyDescent="0.2">
      <c r="B230" s="92"/>
      <c r="C230">
        <v>70</v>
      </c>
      <c r="D230">
        <f t="shared" si="67"/>
        <v>2247.4992264725001</v>
      </c>
      <c r="F230">
        <f t="shared" si="68"/>
        <v>321.07131806749999</v>
      </c>
      <c r="G230">
        <f t="shared" si="84"/>
        <v>374.58320441208332</v>
      </c>
      <c r="H230">
        <f t="shared" si="84"/>
        <v>449.49984529450006</v>
      </c>
      <c r="I230">
        <f t="shared" si="84"/>
        <v>561.87480661812504</v>
      </c>
      <c r="J230">
        <f t="shared" si="84"/>
        <v>749.16640882416664</v>
      </c>
      <c r="K230">
        <f t="shared" si="84"/>
        <v>1123.7496132362501</v>
      </c>
      <c r="L230">
        <f t="shared" si="84"/>
        <v>2247.4992264725001</v>
      </c>
      <c r="M230">
        <f t="shared" si="84"/>
        <v>4494.9984529450003</v>
      </c>
      <c r="P230" s="105"/>
      <c r="Q230">
        <v>60</v>
      </c>
      <c r="R230">
        <f t="shared" si="89"/>
        <v>4828.0200000000004</v>
      </c>
      <c r="S230">
        <f t="shared" si="91"/>
        <v>20</v>
      </c>
      <c r="U230">
        <f t="shared" si="90"/>
        <v>10475.52</v>
      </c>
      <c r="V230">
        <f t="shared" si="80"/>
        <v>823.17741000000012</v>
      </c>
      <c r="W230">
        <f t="shared" si="70"/>
        <v>16463.548200000001</v>
      </c>
      <c r="Y230">
        <f t="shared" si="81"/>
        <v>1926.4279084050002</v>
      </c>
    </row>
    <row r="231" spans="2:25" x14ac:dyDescent="0.2">
      <c r="B231" s="92"/>
      <c r="C231">
        <v>80</v>
      </c>
      <c r="D231">
        <f t="shared" si="67"/>
        <v>2568.5705445400004</v>
      </c>
      <c r="F231">
        <f t="shared" si="68"/>
        <v>366.93864922</v>
      </c>
      <c r="G231">
        <f t="shared" si="84"/>
        <v>428.09509075666671</v>
      </c>
      <c r="H231">
        <f t="shared" si="84"/>
        <v>513.71410890800007</v>
      </c>
      <c r="I231">
        <f t="shared" si="84"/>
        <v>642.14263613500009</v>
      </c>
      <c r="J231">
        <f t="shared" si="84"/>
        <v>856.19018151333341</v>
      </c>
      <c r="K231">
        <f t="shared" si="84"/>
        <v>1284.2852722700002</v>
      </c>
      <c r="L231">
        <f t="shared" si="84"/>
        <v>2568.5705445400004</v>
      </c>
      <c r="M231">
        <f t="shared" si="84"/>
        <v>5137.1410890800007</v>
      </c>
      <c r="P231" s="105"/>
      <c r="Q231">
        <v>70</v>
      </c>
      <c r="R231">
        <f t="shared" si="89"/>
        <v>5632.6900000000005</v>
      </c>
      <c r="S231">
        <f t="shared" si="91"/>
        <v>20</v>
      </c>
      <c r="U231">
        <f t="shared" si="90"/>
        <v>12221.44</v>
      </c>
      <c r="V231">
        <f t="shared" si="80"/>
        <v>960.37364500000012</v>
      </c>
      <c r="W231">
        <f t="shared" si="70"/>
        <v>19207.472900000001</v>
      </c>
      <c r="Y231">
        <f t="shared" si="81"/>
        <v>2247.4992264725001</v>
      </c>
    </row>
    <row r="232" spans="2:25" x14ac:dyDescent="0.2">
      <c r="P232" s="105"/>
      <c r="Q232">
        <v>80</v>
      </c>
      <c r="R232">
        <f t="shared" si="89"/>
        <v>6437.36</v>
      </c>
      <c r="S232">
        <f t="shared" si="91"/>
        <v>20</v>
      </c>
      <c r="U232">
        <f t="shared" si="90"/>
        <v>13967.36</v>
      </c>
      <c r="V232">
        <f t="shared" si="80"/>
        <v>1097.56988</v>
      </c>
      <c r="W232">
        <f t="shared" si="70"/>
        <v>21951.3976</v>
      </c>
      <c r="Y232">
        <f t="shared" si="81"/>
        <v>2568.5705445400004</v>
      </c>
    </row>
    <row r="235" spans="2:25" x14ac:dyDescent="0.2">
      <c r="B235" t="s">
        <v>346</v>
      </c>
    </row>
    <row r="237" spans="2:25" ht="30.75" thickBot="1" x14ac:dyDescent="0.25">
      <c r="B237" s="62" t="s">
        <v>92</v>
      </c>
      <c r="C237" s="65">
        <v>16.02</v>
      </c>
      <c r="D237" s="61" t="s">
        <v>584</v>
      </c>
    </row>
    <row r="238" spans="2:25" ht="30.75" thickBot="1" x14ac:dyDescent="0.25">
      <c r="B238" s="62" t="s">
        <v>585</v>
      </c>
      <c r="C238" s="65">
        <v>0.73</v>
      </c>
      <c r="D238" s="61" t="s">
        <v>584</v>
      </c>
    </row>
    <row r="241" spans="1:21" x14ac:dyDescent="0.2">
      <c r="B241" t="s">
        <v>92</v>
      </c>
      <c r="C241">
        <f>C237</f>
        <v>16.02</v>
      </c>
      <c r="D241" t="s">
        <v>604</v>
      </c>
    </row>
    <row r="242" spans="1:21" x14ac:dyDescent="0.2">
      <c r="B242" t="s">
        <v>304</v>
      </c>
      <c r="C242">
        <f>C238</f>
        <v>0.73</v>
      </c>
      <c r="D242" t="s">
        <v>605</v>
      </c>
    </row>
    <row r="244" spans="1:21" x14ac:dyDescent="0.2">
      <c r="B244" t="s">
        <v>606</v>
      </c>
      <c r="O244">
        <v>21.581622998199641</v>
      </c>
      <c r="Q244">
        <v>10</v>
      </c>
      <c r="R244">
        <v>104.17851611271</v>
      </c>
      <c r="S244">
        <f>R244/7</f>
        <v>14.882645158958571</v>
      </c>
    </row>
    <row r="245" spans="1:21" x14ac:dyDescent="0.2">
      <c r="B245" t="s">
        <v>607</v>
      </c>
      <c r="O245">
        <v>7.4413225794792854</v>
      </c>
      <c r="Q245">
        <v>100</v>
      </c>
      <c r="R245">
        <v>153.10370427000001</v>
      </c>
      <c r="S245">
        <f t="shared" ref="S245:S246" si="92">R245/7</f>
        <v>21.871957752857146</v>
      </c>
    </row>
    <row r="246" spans="1:21" x14ac:dyDescent="0.2">
      <c r="O246">
        <v>8.240678193940715</v>
      </c>
      <c r="Q246">
        <v>1000</v>
      </c>
      <c r="R246">
        <v>1284.2852722700002</v>
      </c>
      <c r="S246">
        <f t="shared" si="92"/>
        <v>183.46932461000003</v>
      </c>
    </row>
    <row r="247" spans="1:21" x14ac:dyDescent="0.2">
      <c r="B247" t="s">
        <v>565</v>
      </c>
      <c r="C247" t="s">
        <v>609</v>
      </c>
      <c r="O247">
        <v>9.9735668873657133</v>
      </c>
    </row>
    <row r="248" spans="1:21" x14ac:dyDescent="0.2">
      <c r="A248" t="s">
        <v>610</v>
      </c>
      <c r="B248">
        <v>0.1</v>
      </c>
      <c r="C248" t="s">
        <v>608</v>
      </c>
      <c r="O248">
        <v>10.935978876428571</v>
      </c>
      <c r="Q248">
        <v>10</v>
      </c>
      <c r="R248">
        <v>5.7906703028885932E-2</v>
      </c>
      <c r="S248">
        <f>S244+R248</f>
        <v>14.940551861987457</v>
      </c>
      <c r="U248">
        <f>S248+'VF '!D191</f>
        <v>441.13348833520166</v>
      </c>
    </row>
    <row r="249" spans="1:21" x14ac:dyDescent="0.2">
      <c r="A249" t="s">
        <v>611</v>
      </c>
      <c r="B249">
        <v>5.0000000000000001E-3</v>
      </c>
      <c r="C249" t="s">
        <v>608</v>
      </c>
      <c r="F249" t="s">
        <v>614</v>
      </c>
      <c r="H249">
        <f>'Operational Emission Factors'!B31</f>
        <v>8.5254865282923843E-3</v>
      </c>
      <c r="I249" t="str">
        <f>'Operational Emission Factors'!C31</f>
        <v>kg Co2 m-3 Biomethane</v>
      </c>
      <c r="O249">
        <v>10.334471383264288</v>
      </c>
      <c r="Q249">
        <v>100</v>
      </c>
      <c r="R249">
        <v>0.57906703028885931</v>
      </c>
      <c r="S249">
        <f t="shared" ref="S249:S250" si="93">S245+R249</f>
        <v>22.451024783146003</v>
      </c>
    </row>
    <row r="250" spans="1:21" x14ac:dyDescent="0.2">
      <c r="O250">
        <v>10.935978876428571</v>
      </c>
      <c r="Q250">
        <v>1000</v>
      </c>
      <c r="R250">
        <v>5.7906703028885929</v>
      </c>
      <c r="S250">
        <f t="shared" si="93"/>
        <v>189.25999491288863</v>
      </c>
    </row>
    <row r="251" spans="1:21" x14ac:dyDescent="0.2">
      <c r="A251" t="s">
        <v>612</v>
      </c>
      <c r="B251">
        <v>80</v>
      </c>
      <c r="C251" t="s">
        <v>613</v>
      </c>
      <c r="O251">
        <v>23.693665733571429</v>
      </c>
    </row>
    <row r="252" spans="1:21" x14ac:dyDescent="0.2">
      <c r="O252">
        <v>32.198790305000003</v>
      </c>
    </row>
    <row r="253" spans="1:21" x14ac:dyDescent="0.2">
      <c r="B253" t="s">
        <v>89</v>
      </c>
      <c r="C253" t="s">
        <v>615</v>
      </c>
      <c r="E253" t="s">
        <v>616</v>
      </c>
      <c r="F253" t="s">
        <v>617</v>
      </c>
      <c r="O253">
        <v>40.70391487642857</v>
      </c>
    </row>
    <row r="254" spans="1:21" x14ac:dyDescent="0.2">
      <c r="B254">
        <v>5</v>
      </c>
      <c r="C254">
        <v>1.875</v>
      </c>
      <c r="E254">
        <f>C254*$B$249</f>
        <v>9.3749999999999997E-3</v>
      </c>
      <c r="F254">
        <f>E254/0.8</f>
        <v>1.1718749999999998E-2</v>
      </c>
      <c r="H254">
        <f>($H$249*E254)*362.25</f>
        <v>2.8953351514442966E-2</v>
      </c>
      <c r="O254">
        <v>49.209039447857151</v>
      </c>
    </row>
    <row r="255" spans="1:21" x14ac:dyDescent="0.2">
      <c r="B255">
        <v>10</v>
      </c>
      <c r="C255">
        <v>3.75</v>
      </c>
      <c r="E255">
        <f t="shared" ref="E255:E268" si="94">C255*$B$249</f>
        <v>1.8749999999999999E-2</v>
      </c>
      <c r="F255">
        <f t="shared" ref="F255:F268" si="95">E255/0.8</f>
        <v>2.3437499999999997E-2</v>
      </c>
      <c r="H255">
        <f t="shared" ref="H255:H268" si="96">($H$249*E255)*362.25</f>
        <v>5.7906703028885932E-2</v>
      </c>
      <c r="O255">
        <v>57.714164019285718</v>
      </c>
    </row>
    <row r="256" spans="1:21" x14ac:dyDescent="0.2">
      <c r="B256">
        <v>20</v>
      </c>
      <c r="C256">
        <v>7.5</v>
      </c>
      <c r="E256">
        <f t="shared" si="94"/>
        <v>3.7499999999999999E-2</v>
      </c>
      <c r="F256">
        <f t="shared" si="95"/>
        <v>4.6874999999999993E-2</v>
      </c>
      <c r="H256">
        <f t="shared" si="96"/>
        <v>0.11581340605777186</v>
      </c>
      <c r="O256">
        <v>74.724413162142866</v>
      </c>
    </row>
    <row r="257" spans="1:15" x14ac:dyDescent="0.2">
      <c r="B257">
        <v>30</v>
      </c>
      <c r="C257">
        <v>11.25</v>
      </c>
      <c r="E257">
        <f t="shared" si="94"/>
        <v>5.6250000000000001E-2</v>
      </c>
      <c r="F257">
        <f t="shared" si="95"/>
        <v>7.03125E-2</v>
      </c>
      <c r="H257">
        <f>($H$249*E257)*362.25</f>
        <v>0.17372010908665778</v>
      </c>
      <c r="O257">
        <v>91.734662305000001</v>
      </c>
    </row>
    <row r="258" spans="1:15" x14ac:dyDescent="0.2">
      <c r="B258">
        <v>50</v>
      </c>
      <c r="C258">
        <v>18.75</v>
      </c>
      <c r="E258">
        <f t="shared" si="94"/>
        <v>9.375E-2</v>
      </c>
      <c r="F258">
        <f t="shared" si="95"/>
        <v>0.1171875</v>
      </c>
      <c r="H258">
        <f>($H$249*E258)*362.25</f>
        <v>0.28953351514442965</v>
      </c>
    </row>
    <row r="259" spans="1:15" x14ac:dyDescent="0.2">
      <c r="B259">
        <v>75</v>
      </c>
      <c r="C259">
        <v>28.125</v>
      </c>
      <c r="E259">
        <f t="shared" si="94"/>
        <v>0.140625</v>
      </c>
      <c r="F259">
        <f t="shared" si="95"/>
        <v>0.17578125</v>
      </c>
      <c r="H259">
        <f t="shared" si="96"/>
        <v>0.43430027271664445</v>
      </c>
    </row>
    <row r="260" spans="1:15" x14ac:dyDescent="0.2">
      <c r="B260">
        <v>100</v>
      </c>
      <c r="C260">
        <v>37.5</v>
      </c>
      <c r="E260">
        <f t="shared" si="94"/>
        <v>0.1875</v>
      </c>
      <c r="F260">
        <f t="shared" si="95"/>
        <v>0.234375</v>
      </c>
      <c r="H260">
        <f>($H$249*E260)*362.25</f>
        <v>0.57906703028885931</v>
      </c>
    </row>
    <row r="261" spans="1:15" x14ac:dyDescent="0.2">
      <c r="B261">
        <v>150</v>
      </c>
      <c r="C261">
        <v>56.25</v>
      </c>
      <c r="E261">
        <f t="shared" si="94"/>
        <v>0.28125</v>
      </c>
      <c r="F261">
        <f t="shared" si="95"/>
        <v>0.3515625</v>
      </c>
      <c r="H261">
        <f t="shared" si="96"/>
        <v>0.86860054543328891</v>
      </c>
    </row>
    <row r="262" spans="1:15" x14ac:dyDescent="0.2">
      <c r="B262">
        <v>200</v>
      </c>
      <c r="C262">
        <v>75</v>
      </c>
      <c r="E262">
        <f t="shared" si="94"/>
        <v>0.375</v>
      </c>
      <c r="F262">
        <f t="shared" si="95"/>
        <v>0.46875</v>
      </c>
      <c r="H262">
        <f t="shared" si="96"/>
        <v>1.1581340605777186</v>
      </c>
    </row>
    <row r="263" spans="1:15" x14ac:dyDescent="0.2">
      <c r="B263">
        <v>300</v>
      </c>
      <c r="C263">
        <v>112.5</v>
      </c>
      <c r="E263">
        <f t="shared" si="94"/>
        <v>0.5625</v>
      </c>
      <c r="F263">
        <f t="shared" si="95"/>
        <v>0.703125</v>
      </c>
      <c r="H263">
        <f t="shared" si="96"/>
        <v>1.7372010908665778</v>
      </c>
    </row>
    <row r="264" spans="1:15" x14ac:dyDescent="0.2">
      <c r="B264">
        <v>400</v>
      </c>
      <c r="C264">
        <v>150</v>
      </c>
      <c r="E264">
        <f t="shared" si="94"/>
        <v>0.75</v>
      </c>
      <c r="F264">
        <f t="shared" si="95"/>
        <v>0.9375</v>
      </c>
      <c r="H264">
        <f t="shared" si="96"/>
        <v>2.3162681211554372</v>
      </c>
    </row>
    <row r="265" spans="1:15" x14ac:dyDescent="0.2">
      <c r="B265">
        <v>500</v>
      </c>
      <c r="C265">
        <v>187.5</v>
      </c>
      <c r="E265">
        <f t="shared" si="94"/>
        <v>0.9375</v>
      </c>
      <c r="F265">
        <f t="shared" si="95"/>
        <v>1.171875</v>
      </c>
      <c r="H265">
        <f t="shared" si="96"/>
        <v>2.8953351514442964</v>
      </c>
    </row>
    <row r="266" spans="1:15" x14ac:dyDescent="0.2">
      <c r="B266">
        <v>600</v>
      </c>
      <c r="C266">
        <v>225</v>
      </c>
      <c r="E266">
        <f t="shared" si="94"/>
        <v>1.125</v>
      </c>
      <c r="F266">
        <f t="shared" si="95"/>
        <v>1.40625</v>
      </c>
      <c r="H266">
        <f t="shared" si="96"/>
        <v>3.4744021817331556</v>
      </c>
    </row>
    <row r="267" spans="1:15" x14ac:dyDescent="0.2">
      <c r="B267">
        <v>800</v>
      </c>
      <c r="C267">
        <v>300</v>
      </c>
      <c r="E267">
        <f t="shared" si="94"/>
        <v>1.5</v>
      </c>
      <c r="F267">
        <f t="shared" si="95"/>
        <v>1.875</v>
      </c>
      <c r="H267">
        <f t="shared" si="96"/>
        <v>4.6325362423108745</v>
      </c>
    </row>
    <row r="268" spans="1:15" x14ac:dyDescent="0.2">
      <c r="B268">
        <v>1000</v>
      </c>
      <c r="C268">
        <v>375</v>
      </c>
      <c r="E268">
        <f t="shared" si="94"/>
        <v>1.875</v>
      </c>
      <c r="F268">
        <f t="shared" si="95"/>
        <v>2.34375</v>
      </c>
      <c r="H268">
        <f t="shared" si="96"/>
        <v>5.7906703028885929</v>
      </c>
    </row>
    <row r="271" spans="1:15" x14ac:dyDescent="0.2">
      <c r="A271" t="s">
        <v>684</v>
      </c>
    </row>
    <row r="273" spans="2:10" x14ac:dyDescent="0.2">
      <c r="B273" t="s">
        <v>685</v>
      </c>
    </row>
    <row r="274" spans="2:10" x14ac:dyDescent="0.2">
      <c r="G274" t="s">
        <v>616</v>
      </c>
      <c r="H274" t="s">
        <v>690</v>
      </c>
    </row>
    <row r="275" spans="2:10" x14ac:dyDescent="0.2">
      <c r="B275" t="s">
        <v>686</v>
      </c>
      <c r="F275">
        <v>5</v>
      </c>
      <c r="G275">
        <v>9.3749999999999997E-3</v>
      </c>
      <c r="H275">
        <f>(G275*365.25)/F275</f>
        <v>0.68484374999999997</v>
      </c>
      <c r="J275">
        <f>B281*H275</f>
        <v>2.1438586956521739</v>
      </c>
    </row>
    <row r="276" spans="2:10" x14ac:dyDescent="0.2">
      <c r="F276">
        <v>10</v>
      </c>
      <c r="G276">
        <v>1.8749999999999999E-2</v>
      </c>
      <c r="H276">
        <f t="shared" ref="H276:H289" si="97">(G276*365.25)/F276</f>
        <v>0.68484374999999997</v>
      </c>
    </row>
    <row r="277" spans="2:10" x14ac:dyDescent="0.2">
      <c r="B277">
        <v>7.9200000000000007E-2</v>
      </c>
      <c r="C277" t="s">
        <v>687</v>
      </c>
      <c r="F277">
        <v>20</v>
      </c>
      <c r="G277">
        <v>3.7499999999999999E-2</v>
      </c>
      <c r="H277">
        <f t="shared" si="97"/>
        <v>0.68484374999999997</v>
      </c>
    </row>
    <row r="278" spans="2:10" x14ac:dyDescent="0.2">
      <c r="B278" t="s">
        <v>688</v>
      </c>
      <c r="F278">
        <v>30</v>
      </c>
      <c r="G278">
        <v>5.6250000000000001E-2</v>
      </c>
      <c r="H278">
        <f t="shared" si="97"/>
        <v>0.68484375000000008</v>
      </c>
    </row>
    <row r="279" spans="2:10" x14ac:dyDescent="0.2">
      <c r="B279">
        <v>2.53E-2</v>
      </c>
      <c r="C279" t="s">
        <v>689</v>
      </c>
      <c r="F279">
        <v>50</v>
      </c>
      <c r="G279">
        <v>9.375E-2</v>
      </c>
      <c r="H279">
        <f t="shared" si="97"/>
        <v>0.68484374999999997</v>
      </c>
    </row>
    <row r="280" spans="2:10" x14ac:dyDescent="0.2">
      <c r="F280">
        <v>75</v>
      </c>
      <c r="G280">
        <v>0.140625</v>
      </c>
      <c r="H280">
        <f t="shared" si="97"/>
        <v>0.68484374999999997</v>
      </c>
    </row>
    <row r="281" spans="2:10" x14ac:dyDescent="0.2">
      <c r="B281">
        <f>B277/B279</f>
        <v>3.1304347826086958</v>
      </c>
      <c r="C281" t="s">
        <v>691</v>
      </c>
      <c r="F281">
        <v>100</v>
      </c>
      <c r="G281">
        <v>0.1875</v>
      </c>
      <c r="H281">
        <f t="shared" si="97"/>
        <v>0.68484374999999997</v>
      </c>
    </row>
    <row r="282" spans="2:10" x14ac:dyDescent="0.2">
      <c r="F282">
        <v>150</v>
      </c>
      <c r="G282">
        <v>0.28125</v>
      </c>
      <c r="H282">
        <f t="shared" si="97"/>
        <v>0.68484374999999997</v>
      </c>
    </row>
    <row r="283" spans="2:10" x14ac:dyDescent="0.2">
      <c r="F283">
        <v>200</v>
      </c>
      <c r="G283">
        <v>0.375</v>
      </c>
      <c r="H283">
        <f t="shared" si="97"/>
        <v>0.68484374999999997</v>
      </c>
    </row>
    <row r="284" spans="2:10" x14ac:dyDescent="0.2">
      <c r="F284">
        <v>300</v>
      </c>
      <c r="G284">
        <v>0.5625</v>
      </c>
      <c r="H284">
        <f t="shared" si="97"/>
        <v>0.68484374999999997</v>
      </c>
    </row>
    <row r="285" spans="2:10" x14ac:dyDescent="0.2">
      <c r="F285">
        <v>400</v>
      </c>
      <c r="G285">
        <v>0.75</v>
      </c>
      <c r="H285">
        <f t="shared" si="97"/>
        <v>0.68484374999999997</v>
      </c>
    </row>
    <row r="286" spans="2:10" x14ac:dyDescent="0.2">
      <c r="F286">
        <v>500</v>
      </c>
      <c r="G286">
        <v>0.9375</v>
      </c>
      <c r="H286">
        <f t="shared" si="97"/>
        <v>0.68484374999999997</v>
      </c>
    </row>
    <row r="287" spans="2:10" x14ac:dyDescent="0.2">
      <c r="F287">
        <v>600</v>
      </c>
      <c r="G287">
        <v>1.125</v>
      </c>
      <c r="H287">
        <f t="shared" si="97"/>
        <v>0.68484374999999997</v>
      </c>
    </row>
    <row r="288" spans="2:10" x14ac:dyDescent="0.2">
      <c r="F288">
        <v>800</v>
      </c>
      <c r="G288">
        <v>1.5</v>
      </c>
      <c r="H288">
        <f t="shared" si="97"/>
        <v>0.68484374999999997</v>
      </c>
    </row>
    <row r="289" spans="6:8" x14ac:dyDescent="0.2">
      <c r="F289">
        <v>1000</v>
      </c>
      <c r="G289">
        <v>1.875</v>
      </c>
      <c r="H289">
        <f t="shared" si="97"/>
        <v>0.68484374999999997</v>
      </c>
    </row>
  </sheetData>
  <mergeCells count="28">
    <mergeCell ref="P170:P178"/>
    <mergeCell ref="P215:P223"/>
    <mergeCell ref="P224:P232"/>
    <mergeCell ref="P206:P214"/>
    <mergeCell ref="P197:P205"/>
    <mergeCell ref="P188:P196"/>
    <mergeCell ref="P179:P187"/>
    <mergeCell ref="P161:P169"/>
    <mergeCell ref="P107:P115"/>
    <mergeCell ref="P116:P124"/>
    <mergeCell ref="P125:P133"/>
    <mergeCell ref="P134:P142"/>
    <mergeCell ref="P143:P151"/>
    <mergeCell ref="P152:P160"/>
    <mergeCell ref="B106:B114"/>
    <mergeCell ref="B115:B123"/>
    <mergeCell ref="B124:B132"/>
    <mergeCell ref="B133:B141"/>
    <mergeCell ref="B142:B150"/>
    <mergeCell ref="B196:B204"/>
    <mergeCell ref="B205:B213"/>
    <mergeCell ref="B214:B222"/>
    <mergeCell ref="B223:B231"/>
    <mergeCell ref="B151:B159"/>
    <mergeCell ref="B160:B168"/>
    <mergeCell ref="B169:B177"/>
    <mergeCell ref="B178:B186"/>
    <mergeCell ref="B187:B195"/>
  </mergeCells>
  <phoneticPr fontId="18" type="noConversion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ED925-B85B-4E00-AA6A-6D6B51C53F06}">
  <sheetPr>
    <tabColor theme="7"/>
  </sheetPr>
  <dimension ref="B1:AG26"/>
  <sheetViews>
    <sheetView zoomScaleNormal="100" workbookViewId="0">
      <selection activeCell="K27" sqref="K27"/>
    </sheetView>
  </sheetViews>
  <sheetFormatPr defaultRowHeight="14.25" x14ac:dyDescent="0.2"/>
  <sheetData>
    <row r="1" spans="2:33" x14ac:dyDescent="0.2">
      <c r="F1" t="s">
        <v>737</v>
      </c>
      <c r="H1" t="s">
        <v>738</v>
      </c>
    </row>
    <row r="2" spans="2:33" x14ac:dyDescent="0.2">
      <c r="F2" t="str">
        <f>'[2]GRP Costing'!$E$237</f>
        <v>48.797x^0.9108</v>
      </c>
      <c r="H2" t="s">
        <v>739</v>
      </c>
    </row>
    <row r="3" spans="2:33" x14ac:dyDescent="0.2">
      <c r="U3" t="s">
        <v>51</v>
      </c>
      <c r="AB3" t="s">
        <v>39</v>
      </c>
      <c r="AF3" t="s">
        <v>747</v>
      </c>
    </row>
    <row r="5" spans="2:33" ht="15" x14ac:dyDescent="0.25">
      <c r="B5" t="s">
        <v>89</v>
      </c>
      <c r="C5" t="s">
        <v>734</v>
      </c>
      <c r="E5" t="s">
        <v>735</v>
      </c>
      <c r="F5" t="s">
        <v>736</v>
      </c>
      <c r="H5" t="s">
        <v>740</v>
      </c>
      <c r="I5" t="s">
        <v>741</v>
      </c>
      <c r="K5" t="s">
        <v>742</v>
      </c>
      <c r="M5" t="str">
        <f>'[2]ABR-T'!AC6</f>
        <v>Excavation</v>
      </c>
      <c r="O5" t="s">
        <v>743</v>
      </c>
      <c r="P5" t="s">
        <v>744</v>
      </c>
      <c r="T5" s="1" t="s">
        <v>89</v>
      </c>
      <c r="U5" t="s">
        <v>30</v>
      </c>
      <c r="V5" t="s">
        <v>15</v>
      </c>
      <c r="W5" t="s">
        <v>265</v>
      </c>
      <c r="X5" t="s">
        <v>55</v>
      </c>
      <c r="Y5" t="s">
        <v>183</v>
      </c>
      <c r="AB5" t="str">
        <f t="shared" ref="AB5:AB19" si="0">M5</f>
        <v>Excavation</v>
      </c>
      <c r="AC5" t="str">
        <f t="shared" ref="AC5:AC19" si="1">O5</f>
        <v>Concrete (m3)</v>
      </c>
      <c r="AD5" t="str">
        <f t="shared" ref="AD5:AD19" si="2">K5</f>
        <v>Overall GRP Mass</v>
      </c>
    </row>
    <row r="6" spans="2:33" ht="15" x14ac:dyDescent="0.25">
      <c r="B6">
        <v>5</v>
      </c>
      <c r="C6">
        <v>6</v>
      </c>
      <c r="E6">
        <v>1</v>
      </c>
      <c r="F6">
        <v>6</v>
      </c>
      <c r="H6">
        <f>48.797*F6^0.9108</f>
        <v>249.53604161570993</v>
      </c>
      <c r="I6">
        <f>H6*1.3</f>
        <v>324.3968541004229</v>
      </c>
      <c r="K6">
        <f>I6*E6</f>
        <v>324.3968541004229</v>
      </c>
      <c r="M6">
        <f>'[2]ABR-T'!AC7</f>
        <v>12.337500000000002</v>
      </c>
      <c r="O6">
        <f>'[2]ABR-T'!AE7</f>
        <v>6.3375000000000021</v>
      </c>
      <c r="P6" s="6">
        <f>O6*Conversions!$B$4</f>
        <v>15843.750000000005</v>
      </c>
      <c r="T6" s="1">
        <v>5</v>
      </c>
      <c r="U6">
        <v>8.8179999999999996</v>
      </c>
      <c r="V6">
        <v>2.3488000000000002</v>
      </c>
      <c r="W6">
        <v>219.47668932802873</v>
      </c>
      <c r="X6">
        <v>20.792000000000002</v>
      </c>
      <c r="Y6">
        <v>33.717344572538565</v>
      </c>
      <c r="AB6">
        <f t="shared" si="0"/>
        <v>12.337500000000002</v>
      </c>
      <c r="AC6">
        <f t="shared" si="1"/>
        <v>6.3375000000000021</v>
      </c>
      <c r="AD6">
        <f t="shared" si="2"/>
        <v>324.3968541004229</v>
      </c>
      <c r="AF6">
        <f>AB6-U6</f>
        <v>3.5195000000000025</v>
      </c>
      <c r="AG6">
        <f>AC6-V6</f>
        <v>3.9887000000000019</v>
      </c>
    </row>
    <row r="7" spans="2:33" ht="15" x14ac:dyDescent="0.25">
      <c r="B7">
        <v>10</v>
      </c>
      <c r="C7">
        <v>12</v>
      </c>
      <c r="E7">
        <v>1</v>
      </c>
      <c r="F7">
        <v>12</v>
      </c>
      <c r="H7">
        <f t="shared" ref="H7:H19" si="3">48.797*F7^0.9108</f>
        <v>469.14965538619452</v>
      </c>
      <c r="I7">
        <f t="shared" ref="I7:I19" si="4">H7*1.3</f>
        <v>609.89455200205293</v>
      </c>
      <c r="K7">
        <f t="shared" ref="K7:K19" si="5">I7*E7</f>
        <v>609.89455200205293</v>
      </c>
      <c r="M7">
        <f>'[2]ABR-T'!AC8</f>
        <v>20.57</v>
      </c>
      <c r="O7">
        <f>'[2]ABR-T'!AE8</f>
        <v>8.57</v>
      </c>
      <c r="P7" s="6">
        <f>O7*Conversions!$B$4</f>
        <v>21425</v>
      </c>
      <c r="T7" s="1">
        <v>10</v>
      </c>
      <c r="U7">
        <v>15.768563498826877</v>
      </c>
      <c r="V7">
        <v>2.4568000000000003</v>
      </c>
      <c r="W7">
        <v>238.40918329562223</v>
      </c>
      <c r="X7">
        <v>32.155735334213851</v>
      </c>
      <c r="Y7">
        <v>53.937435429479493</v>
      </c>
      <c r="AB7">
        <f t="shared" si="0"/>
        <v>20.57</v>
      </c>
      <c r="AC7">
        <f t="shared" si="1"/>
        <v>8.57</v>
      </c>
      <c r="AD7">
        <f t="shared" si="2"/>
        <v>609.89455200205293</v>
      </c>
      <c r="AF7">
        <f t="shared" ref="AF7:AF19" si="6">AB7-U7</f>
        <v>4.8014365011731233</v>
      </c>
      <c r="AG7">
        <f>AC7-V7</f>
        <v>6.1132</v>
      </c>
    </row>
    <row r="8" spans="2:33" ht="15" x14ac:dyDescent="0.25">
      <c r="B8">
        <v>20</v>
      </c>
      <c r="C8">
        <v>24</v>
      </c>
      <c r="E8">
        <v>1</v>
      </c>
      <c r="F8">
        <v>24</v>
      </c>
      <c r="H8">
        <f t="shared" si="3"/>
        <v>882.04252068703215</v>
      </c>
      <c r="I8">
        <f t="shared" si="4"/>
        <v>1146.6552768931419</v>
      </c>
      <c r="K8">
        <f t="shared" si="5"/>
        <v>1146.6552768931419</v>
      </c>
      <c r="M8">
        <f>'[2]ABR-T'!AC9</f>
        <v>35.670749999999998</v>
      </c>
      <c r="O8">
        <f>'[2]ABR-T'!AE9</f>
        <v>11.670749999999998</v>
      </c>
      <c r="P8" s="6">
        <f>O8*Conversions!$B$4</f>
        <v>29176.874999999996</v>
      </c>
      <c r="T8" s="1">
        <v>20</v>
      </c>
      <c r="U8">
        <v>30.413189861972867</v>
      </c>
      <c r="V8">
        <v>4.0902000000000012</v>
      </c>
      <c r="W8">
        <v>433.34375081380745</v>
      </c>
      <c r="X8">
        <v>50.927437064329396</v>
      </c>
      <c r="Y8">
        <v>90.417435723178585</v>
      </c>
      <c r="AB8">
        <f t="shared" si="0"/>
        <v>35.670749999999998</v>
      </c>
      <c r="AC8">
        <f t="shared" si="1"/>
        <v>11.670749999999998</v>
      </c>
      <c r="AD8">
        <f t="shared" si="2"/>
        <v>1146.6552768931419</v>
      </c>
      <c r="AF8">
        <f t="shared" si="6"/>
        <v>5.2575601380271308</v>
      </c>
      <c r="AG8">
        <f t="shared" ref="AG8:AG19" si="7">AC8-V8</f>
        <v>7.580549999999997</v>
      </c>
    </row>
    <row r="9" spans="2:33" ht="15" x14ac:dyDescent="0.25">
      <c r="B9">
        <v>30</v>
      </c>
      <c r="C9">
        <v>36</v>
      </c>
      <c r="E9">
        <v>1</v>
      </c>
      <c r="F9">
        <v>36</v>
      </c>
      <c r="H9">
        <f t="shared" si="3"/>
        <v>1276.0668906948652</v>
      </c>
      <c r="I9">
        <f t="shared" si="4"/>
        <v>1658.8869579033249</v>
      </c>
      <c r="K9">
        <f t="shared" si="5"/>
        <v>1658.8869579033249</v>
      </c>
      <c r="M9">
        <f>'[2]ABR-T'!AC10</f>
        <v>50.26</v>
      </c>
      <c r="O9">
        <f>'[2]ABR-T'!AE10</f>
        <v>14.259999999999998</v>
      </c>
      <c r="P9" s="6">
        <f>O9*Conversions!$B$4</f>
        <v>35649.999999999993</v>
      </c>
      <c r="T9" s="1">
        <v>30</v>
      </c>
      <c r="U9">
        <v>44.263839325333187</v>
      </c>
      <c r="V9">
        <v>4.0902000000000012</v>
      </c>
      <c r="W9">
        <v>433.34375081380745</v>
      </c>
      <c r="X9">
        <v>67.666661369149566</v>
      </c>
      <c r="Y9">
        <v>124.24637850562284</v>
      </c>
      <c r="AB9">
        <f t="shared" si="0"/>
        <v>50.26</v>
      </c>
      <c r="AC9">
        <f t="shared" si="1"/>
        <v>14.259999999999998</v>
      </c>
      <c r="AD9">
        <f t="shared" si="2"/>
        <v>1658.8869579033249</v>
      </c>
      <c r="AF9">
        <f t="shared" si="6"/>
        <v>5.996160674666811</v>
      </c>
      <c r="AG9">
        <f t="shared" si="7"/>
        <v>10.169799999999997</v>
      </c>
    </row>
    <row r="10" spans="2:33" ht="15" x14ac:dyDescent="0.25">
      <c r="B10">
        <v>50</v>
      </c>
      <c r="C10">
        <v>60</v>
      </c>
      <c r="E10">
        <v>1</v>
      </c>
      <c r="F10">
        <v>60</v>
      </c>
      <c r="H10">
        <f t="shared" si="3"/>
        <v>2032.0448144926124</v>
      </c>
      <c r="I10">
        <f t="shared" si="4"/>
        <v>2641.6582588403962</v>
      </c>
      <c r="K10">
        <f t="shared" si="5"/>
        <v>2641.6582588403962</v>
      </c>
      <c r="M10">
        <f>'[2]ABR-T'!AC11</f>
        <v>77.946749999999994</v>
      </c>
      <c r="O10">
        <f>'[2]ABR-T'!AE11</f>
        <v>17.946749999999994</v>
      </c>
      <c r="P10" s="6">
        <f>O10*Conversions!$B$4</f>
        <v>44866.874999999985</v>
      </c>
      <c r="T10" s="1">
        <v>50</v>
      </c>
      <c r="U10">
        <v>71.876374904706978</v>
      </c>
      <c r="V10">
        <v>4.0902000000000012</v>
      </c>
      <c r="W10">
        <v>433.34375081380745</v>
      </c>
      <c r="X10">
        <v>98.368592473780396</v>
      </c>
      <c r="Y10">
        <v>188.2827194987598</v>
      </c>
      <c r="AB10">
        <f t="shared" si="0"/>
        <v>77.946749999999994</v>
      </c>
      <c r="AC10">
        <f t="shared" si="1"/>
        <v>17.946749999999994</v>
      </c>
      <c r="AD10">
        <f t="shared" si="2"/>
        <v>2641.6582588403962</v>
      </c>
      <c r="AF10">
        <f t="shared" si="6"/>
        <v>6.0703750952930164</v>
      </c>
      <c r="AG10">
        <f t="shared" si="7"/>
        <v>13.856549999999993</v>
      </c>
    </row>
    <row r="11" spans="2:33" ht="15" x14ac:dyDescent="0.25">
      <c r="B11">
        <v>75</v>
      </c>
      <c r="C11">
        <v>90</v>
      </c>
      <c r="E11">
        <v>2</v>
      </c>
      <c r="F11">
        <v>45</v>
      </c>
      <c r="H11">
        <f t="shared" si="3"/>
        <v>1563.6483118015024</v>
      </c>
      <c r="I11">
        <f t="shared" si="4"/>
        <v>2032.742805341953</v>
      </c>
      <c r="K11">
        <f t="shared" si="5"/>
        <v>4065.4856106839061</v>
      </c>
      <c r="M11">
        <f>'[2]ABR-T'!AC12</f>
        <v>121.23749999999998</v>
      </c>
      <c r="O11">
        <f>'[2]ABR-T'!AE12</f>
        <v>31.237499999999983</v>
      </c>
      <c r="P11" s="6">
        <f>O11*Conversions!$B$4</f>
        <v>78093.749999999956</v>
      </c>
      <c r="T11" s="1">
        <v>75</v>
      </c>
      <c r="U11">
        <v>107.03509963741726</v>
      </c>
      <c r="V11">
        <v>5.7236000000000011</v>
      </c>
      <c r="W11">
        <v>628.27831833199264</v>
      </c>
      <c r="X11">
        <v>134.05765484023021</v>
      </c>
      <c r="Y11">
        <v>264.82160028669574</v>
      </c>
      <c r="AB11">
        <f t="shared" si="0"/>
        <v>121.23749999999998</v>
      </c>
      <c r="AC11">
        <f t="shared" si="1"/>
        <v>31.237499999999983</v>
      </c>
      <c r="AD11">
        <f t="shared" si="2"/>
        <v>4065.4856106839061</v>
      </c>
      <c r="AF11">
        <f t="shared" si="6"/>
        <v>14.202400362582722</v>
      </c>
      <c r="AG11">
        <f t="shared" si="7"/>
        <v>25.513899999999982</v>
      </c>
    </row>
    <row r="12" spans="2:33" ht="15" x14ac:dyDescent="0.25">
      <c r="B12">
        <v>100</v>
      </c>
      <c r="C12">
        <v>120</v>
      </c>
      <c r="E12">
        <v>2</v>
      </c>
      <c r="F12">
        <v>60</v>
      </c>
      <c r="H12">
        <f t="shared" si="3"/>
        <v>2032.0448144926124</v>
      </c>
      <c r="I12">
        <f t="shared" si="4"/>
        <v>2641.6582588403962</v>
      </c>
      <c r="K12">
        <f t="shared" si="5"/>
        <v>5283.3165176807925</v>
      </c>
      <c r="M12">
        <f>'[2]ABR-T'!AC13</f>
        <v>155.89349999999999</v>
      </c>
      <c r="O12">
        <f>'[2]ABR-T'!AE13</f>
        <v>35.893499999999989</v>
      </c>
      <c r="P12" s="6">
        <f>O12*Conversions!$B$4</f>
        <v>89733.749999999971</v>
      </c>
      <c r="T12" s="1">
        <v>100</v>
      </c>
      <c r="U12">
        <v>141.41164352719247</v>
      </c>
      <c r="V12">
        <v>5.7236000000000011</v>
      </c>
      <c r="W12">
        <v>628.27831833199264</v>
      </c>
      <c r="X12">
        <v>168.08322043967129</v>
      </c>
      <c r="Y12">
        <v>339.19070268288118</v>
      </c>
      <c r="AB12">
        <f t="shared" si="0"/>
        <v>155.89349999999999</v>
      </c>
      <c r="AC12">
        <f t="shared" si="1"/>
        <v>35.893499999999989</v>
      </c>
      <c r="AD12">
        <f t="shared" si="2"/>
        <v>5283.3165176807925</v>
      </c>
      <c r="AF12">
        <f t="shared" si="6"/>
        <v>14.481856472807522</v>
      </c>
      <c r="AG12">
        <f t="shared" si="7"/>
        <v>30.169899999999988</v>
      </c>
    </row>
    <row r="13" spans="2:33" ht="15" x14ac:dyDescent="0.25">
      <c r="B13">
        <v>200</v>
      </c>
      <c r="C13">
        <v>240</v>
      </c>
      <c r="E13">
        <v>3</v>
      </c>
      <c r="F13">
        <v>80</v>
      </c>
      <c r="H13">
        <f t="shared" si="3"/>
        <v>2640.7511823096579</v>
      </c>
      <c r="I13">
        <f t="shared" si="4"/>
        <v>3432.9765370025552</v>
      </c>
      <c r="K13">
        <f t="shared" si="5"/>
        <v>10298.929611007665</v>
      </c>
      <c r="M13">
        <f>'[2]ABR-T'!AC14</f>
        <v>301.8599999999999</v>
      </c>
      <c r="O13">
        <f>'[2]ABR-T'!AE14</f>
        <v>61.859999999999928</v>
      </c>
      <c r="P13" s="6">
        <f>O13*Conversions!$B$4</f>
        <v>154649.99999999983</v>
      </c>
      <c r="T13" s="1">
        <v>200</v>
      </c>
      <c r="U13">
        <v>279.38738617305029</v>
      </c>
      <c r="V13">
        <v>7.3570000000000011</v>
      </c>
      <c r="W13">
        <v>823.21288585017794</v>
      </c>
      <c r="X13">
        <v>296.07042131119715</v>
      </c>
      <c r="Y13">
        <v>626.08224940731168</v>
      </c>
      <c r="AB13">
        <f t="shared" si="0"/>
        <v>301.8599999999999</v>
      </c>
      <c r="AC13">
        <f t="shared" si="1"/>
        <v>61.859999999999928</v>
      </c>
      <c r="AD13">
        <f t="shared" si="2"/>
        <v>10298.929611007665</v>
      </c>
      <c r="AF13">
        <f t="shared" si="6"/>
        <v>22.472613826949612</v>
      </c>
      <c r="AG13">
        <f t="shared" si="7"/>
        <v>54.502999999999929</v>
      </c>
    </row>
    <row r="14" spans="2:33" ht="15" x14ac:dyDescent="0.25">
      <c r="B14">
        <v>300</v>
      </c>
      <c r="C14">
        <v>360</v>
      </c>
      <c r="E14">
        <v>6</v>
      </c>
      <c r="F14">
        <v>60</v>
      </c>
      <c r="H14">
        <f t="shared" si="3"/>
        <v>2032.0448144926124</v>
      </c>
      <c r="I14">
        <f t="shared" si="4"/>
        <v>2641.6582588403962</v>
      </c>
      <c r="K14">
        <f t="shared" si="5"/>
        <v>15849.949553042377</v>
      </c>
      <c r="M14">
        <f>'[2]ABR-T'!AC15</f>
        <v>467.68049999999994</v>
      </c>
      <c r="O14">
        <f>'[2]ABR-T'!AE15</f>
        <v>107.68049999999997</v>
      </c>
      <c r="P14" s="6">
        <f>O14*Conversions!$B$4</f>
        <v>269201.24999999994</v>
      </c>
      <c r="T14" s="1">
        <v>300</v>
      </c>
      <c r="U14">
        <v>417.15765382028911</v>
      </c>
      <c r="V14">
        <v>8.9904000000000011</v>
      </c>
      <c r="W14">
        <v>1018.147453368363</v>
      </c>
      <c r="X14">
        <v>417.630364225915</v>
      </c>
      <c r="Y14">
        <v>904.59041618807964</v>
      </c>
      <c r="AB14">
        <f t="shared" si="0"/>
        <v>467.68049999999994</v>
      </c>
      <c r="AC14">
        <f t="shared" si="1"/>
        <v>107.68049999999997</v>
      </c>
      <c r="AD14">
        <f t="shared" si="2"/>
        <v>15849.949553042377</v>
      </c>
      <c r="AF14">
        <f t="shared" si="6"/>
        <v>50.522846179710825</v>
      </c>
      <c r="AG14">
        <f t="shared" si="7"/>
        <v>98.690099999999973</v>
      </c>
    </row>
    <row r="15" spans="2:33" ht="15" x14ac:dyDescent="0.25">
      <c r="B15">
        <v>400</v>
      </c>
      <c r="C15">
        <v>480</v>
      </c>
      <c r="E15">
        <v>6</v>
      </c>
      <c r="F15">
        <v>80</v>
      </c>
      <c r="H15">
        <f t="shared" si="3"/>
        <v>2640.7511823096579</v>
      </c>
      <c r="I15">
        <f t="shared" si="4"/>
        <v>3432.9765370025552</v>
      </c>
      <c r="K15">
        <f t="shared" si="5"/>
        <v>20597.85922201533</v>
      </c>
      <c r="M15">
        <f>'[2]ABR-T'!AC16</f>
        <v>603.7199999999998</v>
      </c>
      <c r="O15">
        <f>'[2]ABR-T'!AE16</f>
        <v>123.71999999999986</v>
      </c>
      <c r="P15" s="6">
        <f>O15*Conversions!$B$4</f>
        <v>309299.99999999965</v>
      </c>
      <c r="T15" s="1">
        <v>400</v>
      </c>
      <c r="U15">
        <v>554.09255978165777</v>
      </c>
      <c r="V15">
        <v>8.9904000000000011</v>
      </c>
      <c r="W15">
        <v>1018.147453368363</v>
      </c>
      <c r="X15">
        <v>535.86331360661529</v>
      </c>
      <c r="Y15">
        <v>1178.7590261853466</v>
      </c>
      <c r="AB15">
        <f t="shared" si="0"/>
        <v>603.7199999999998</v>
      </c>
      <c r="AC15">
        <f t="shared" si="1"/>
        <v>123.71999999999986</v>
      </c>
      <c r="AD15">
        <f t="shared" si="2"/>
        <v>20597.85922201533</v>
      </c>
      <c r="AF15">
        <f t="shared" si="6"/>
        <v>49.627440218342031</v>
      </c>
      <c r="AG15">
        <f t="shared" si="7"/>
        <v>114.72959999999986</v>
      </c>
    </row>
    <row r="16" spans="2:33" ht="15" x14ac:dyDescent="0.25">
      <c r="B16">
        <v>500</v>
      </c>
      <c r="C16">
        <v>600</v>
      </c>
      <c r="E16">
        <v>8</v>
      </c>
      <c r="F16">
        <v>75</v>
      </c>
      <c r="H16">
        <f t="shared" si="3"/>
        <v>2489.9975595763322</v>
      </c>
      <c r="I16">
        <f t="shared" si="4"/>
        <v>3236.9968274492321</v>
      </c>
      <c r="K16">
        <f t="shared" si="5"/>
        <v>25895.974619593857</v>
      </c>
      <c r="M16">
        <f>'[2]ABR-T'!AC17</f>
        <v>760.78599999999994</v>
      </c>
      <c r="O16">
        <f>'[2]ABR-T'!AE17</f>
        <v>160.78599999999994</v>
      </c>
      <c r="P16" s="6">
        <f>O16*Conversions!$B$4</f>
        <v>401964.99999999988</v>
      </c>
      <c r="T16" s="1">
        <v>500</v>
      </c>
      <c r="U16">
        <v>691.68849476440971</v>
      </c>
      <c r="V16">
        <v>10.623800000000001</v>
      </c>
      <c r="W16">
        <v>1213.0820208865484</v>
      </c>
      <c r="X16">
        <v>651.97013077619249</v>
      </c>
      <c r="Y16">
        <v>1450.1544202550613</v>
      </c>
      <c r="AB16">
        <f t="shared" si="0"/>
        <v>760.78599999999994</v>
      </c>
      <c r="AC16">
        <f t="shared" si="1"/>
        <v>160.78599999999994</v>
      </c>
      <c r="AD16">
        <f t="shared" si="2"/>
        <v>25895.974619593857</v>
      </c>
      <c r="AF16">
        <f t="shared" si="6"/>
        <v>69.097505235590233</v>
      </c>
      <c r="AG16">
        <f t="shared" si="7"/>
        <v>150.16219999999996</v>
      </c>
    </row>
    <row r="17" spans="2:33" ht="15" x14ac:dyDescent="0.25">
      <c r="B17">
        <v>600</v>
      </c>
      <c r="C17">
        <v>720</v>
      </c>
      <c r="E17">
        <v>9</v>
      </c>
      <c r="F17">
        <v>80</v>
      </c>
      <c r="H17">
        <f t="shared" si="3"/>
        <v>2640.7511823096579</v>
      </c>
      <c r="I17">
        <f t="shared" si="4"/>
        <v>3432.9765370025552</v>
      </c>
      <c r="K17">
        <f t="shared" si="5"/>
        <v>30896.788833022998</v>
      </c>
      <c r="M17">
        <f>'[2]ABR-T'!AC18</f>
        <v>905.57999999999981</v>
      </c>
      <c r="O17">
        <f>'[2]ABR-T'!AE18</f>
        <v>185.57999999999979</v>
      </c>
      <c r="P17" s="6">
        <f>O17*Conversions!$B$4</f>
        <v>463949.99999999948</v>
      </c>
      <c r="T17" s="1">
        <v>600</v>
      </c>
      <c r="U17">
        <v>828.507147860489</v>
      </c>
      <c r="V17">
        <v>10.623800000000001</v>
      </c>
      <c r="W17">
        <v>1213.0820208865484</v>
      </c>
      <c r="X17">
        <v>766.56669053064491</v>
      </c>
      <c r="Y17">
        <v>1719.5799133485264</v>
      </c>
      <c r="AB17">
        <f t="shared" si="0"/>
        <v>905.57999999999981</v>
      </c>
      <c r="AC17">
        <f t="shared" si="1"/>
        <v>185.57999999999979</v>
      </c>
      <c r="AD17">
        <f t="shared" si="2"/>
        <v>30896.788833022998</v>
      </c>
      <c r="AF17">
        <f t="shared" si="6"/>
        <v>77.072852139510815</v>
      </c>
      <c r="AG17">
        <f t="shared" si="7"/>
        <v>174.9561999999998</v>
      </c>
    </row>
    <row r="18" spans="2:33" ht="15" x14ac:dyDescent="0.25">
      <c r="B18">
        <v>800</v>
      </c>
      <c r="C18">
        <v>960</v>
      </c>
      <c r="E18">
        <v>12</v>
      </c>
      <c r="F18">
        <v>80</v>
      </c>
      <c r="H18">
        <f t="shared" si="3"/>
        <v>2640.7511823096579</v>
      </c>
      <c r="I18">
        <f t="shared" si="4"/>
        <v>3432.9765370025552</v>
      </c>
      <c r="K18">
        <f t="shared" si="5"/>
        <v>41195.718444030659</v>
      </c>
      <c r="M18">
        <f>'[2]ABR-T'!AC19</f>
        <v>1207.4399999999996</v>
      </c>
      <c r="O18">
        <f>'[2]ABR-T'!AE19</f>
        <v>247.43999999999971</v>
      </c>
      <c r="P18" s="6">
        <f>O18*Conversions!$B$4</f>
        <v>618599.9999999993</v>
      </c>
      <c r="T18" s="1">
        <v>800</v>
      </c>
      <c r="U18">
        <v>1102.7713178006461</v>
      </c>
      <c r="V18">
        <v>12.257200000000003</v>
      </c>
      <c r="W18">
        <v>1408.0165884047337</v>
      </c>
      <c r="X18">
        <v>992.56498807693981</v>
      </c>
      <c r="Y18">
        <v>2254.2637404537913</v>
      </c>
      <c r="AB18">
        <f t="shared" si="0"/>
        <v>1207.4399999999996</v>
      </c>
      <c r="AC18">
        <f t="shared" si="1"/>
        <v>247.43999999999971</v>
      </c>
      <c r="AD18">
        <f t="shared" si="2"/>
        <v>41195.718444030659</v>
      </c>
      <c r="AF18">
        <f t="shared" si="6"/>
        <v>104.6686821993535</v>
      </c>
      <c r="AG18">
        <f t="shared" si="7"/>
        <v>235.1827999999997</v>
      </c>
    </row>
    <row r="19" spans="2:33" ht="15" x14ac:dyDescent="0.25">
      <c r="B19">
        <v>1000</v>
      </c>
      <c r="C19">
        <v>1200</v>
      </c>
      <c r="E19">
        <v>15</v>
      </c>
      <c r="F19">
        <v>80</v>
      </c>
      <c r="H19">
        <f t="shared" si="3"/>
        <v>2640.7511823096579</v>
      </c>
      <c r="I19">
        <f t="shared" si="4"/>
        <v>3432.9765370025552</v>
      </c>
      <c r="K19">
        <f t="shared" si="5"/>
        <v>51494.648055038328</v>
      </c>
      <c r="M19">
        <f>'[2]ABR-T'!AC20</f>
        <v>1509.2999999999997</v>
      </c>
      <c r="O19">
        <f>'[2]ABR-T'!AE20</f>
        <v>309.29999999999961</v>
      </c>
      <c r="P19" s="6">
        <f>O19*Conversions!$B$4</f>
        <v>773249.99999999907</v>
      </c>
      <c r="T19" s="1">
        <v>1000</v>
      </c>
      <c r="U19">
        <v>1376.9393622609959</v>
      </c>
      <c r="V19">
        <v>13.890600000000003</v>
      </c>
      <c r="W19">
        <v>1602.951155922919</v>
      </c>
      <c r="X19">
        <v>1215.5564806148657</v>
      </c>
      <c r="Y19">
        <v>2785.0256479829241</v>
      </c>
      <c r="AB19">
        <f t="shared" si="0"/>
        <v>1509.2999999999997</v>
      </c>
      <c r="AC19">
        <f t="shared" si="1"/>
        <v>309.29999999999961</v>
      </c>
      <c r="AD19">
        <f t="shared" si="2"/>
        <v>51494.648055038328</v>
      </c>
      <c r="AF19">
        <f t="shared" si="6"/>
        <v>132.36063773900378</v>
      </c>
      <c r="AG19">
        <f t="shared" si="7"/>
        <v>295.40939999999961</v>
      </c>
    </row>
    <row r="21" spans="2:33" x14ac:dyDescent="0.2">
      <c r="B21" t="s">
        <v>745</v>
      </c>
      <c r="E21" t="s">
        <v>746</v>
      </c>
    </row>
    <row r="23" spans="2:33" x14ac:dyDescent="0.2">
      <c r="Q23" t="s">
        <v>89</v>
      </c>
      <c r="R23" t="s">
        <v>765</v>
      </c>
    </row>
    <row r="24" spans="2:33" x14ac:dyDescent="0.2">
      <c r="Q24">
        <v>10</v>
      </c>
      <c r="R24">
        <v>9402</v>
      </c>
    </row>
    <row r="25" spans="2:33" x14ac:dyDescent="0.2">
      <c r="Q25">
        <v>100</v>
      </c>
      <c r="R25">
        <f>6.5766*10^4</f>
        <v>65766</v>
      </c>
    </row>
    <row r="26" spans="2:33" x14ac:dyDescent="0.2">
      <c r="Q26">
        <v>1000</v>
      </c>
      <c r="R26">
        <f>6.24*10^5</f>
        <v>624000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6B9E3-774E-4FD7-9ADF-27B965B9BC7D}">
  <sheetPr>
    <tabColor theme="7"/>
  </sheetPr>
  <dimension ref="A1:BE368"/>
  <sheetViews>
    <sheetView topLeftCell="A204" zoomScale="70" zoomScaleNormal="70" workbookViewId="0">
      <selection activeCell="D250" sqref="D250"/>
    </sheetView>
  </sheetViews>
  <sheetFormatPr defaultRowHeight="14.25" x14ac:dyDescent="0.2"/>
  <cols>
    <col min="2" max="2" width="34.875" bestFit="1" customWidth="1"/>
    <col min="43" max="43" width="13" bestFit="1" customWidth="1"/>
  </cols>
  <sheetData>
    <row r="1" spans="1:17" s="34" customFormat="1" ht="18.75" thickBot="1" x14ac:dyDescent="0.3">
      <c r="A1" s="33"/>
      <c r="B1" s="43" t="s">
        <v>463</v>
      </c>
    </row>
    <row r="3" spans="1:17" x14ac:dyDescent="0.2">
      <c r="B3" t="s">
        <v>89</v>
      </c>
      <c r="C3">
        <v>5</v>
      </c>
      <c r="D3">
        <v>10</v>
      </c>
      <c r="E3">
        <v>20</v>
      </c>
      <c r="F3">
        <v>30</v>
      </c>
      <c r="G3">
        <v>50</v>
      </c>
      <c r="H3">
        <v>75</v>
      </c>
      <c r="I3">
        <v>100</v>
      </c>
      <c r="J3">
        <v>150</v>
      </c>
      <c r="K3">
        <v>200</v>
      </c>
      <c r="L3">
        <v>300</v>
      </c>
      <c r="M3">
        <v>400</v>
      </c>
      <c r="N3">
        <v>500</v>
      </c>
      <c r="O3">
        <v>600</v>
      </c>
      <c r="P3">
        <v>800</v>
      </c>
      <c r="Q3">
        <v>1000</v>
      </c>
    </row>
    <row r="4" spans="1:17" x14ac:dyDescent="0.2">
      <c r="B4" t="s">
        <v>30</v>
      </c>
      <c r="C4">
        <v>16.240000000000002</v>
      </c>
      <c r="D4">
        <v>29.23</v>
      </c>
      <c r="E4">
        <v>52.17</v>
      </c>
      <c r="F4">
        <v>76.16</v>
      </c>
      <c r="G4">
        <v>120.74999999999999</v>
      </c>
      <c r="H4">
        <v>197.79999999999998</v>
      </c>
      <c r="I4">
        <v>257.91999999999996</v>
      </c>
      <c r="J4">
        <v>359.99999999999994</v>
      </c>
      <c r="K4">
        <v>487.5</v>
      </c>
      <c r="L4">
        <v>719.99999999999989</v>
      </c>
      <c r="M4">
        <v>975</v>
      </c>
      <c r="N4">
        <v>1207.5</v>
      </c>
      <c r="O4">
        <v>1439.9999999999998</v>
      </c>
      <c r="P4">
        <v>1700</v>
      </c>
      <c r="Q4">
        <v>1925</v>
      </c>
    </row>
    <row r="5" spans="1:17" x14ac:dyDescent="0.2">
      <c r="B5" t="s">
        <v>55</v>
      </c>
      <c r="C5">
        <v>36.599036004625439</v>
      </c>
      <c r="D5">
        <v>45.433737235978171</v>
      </c>
      <c r="E5">
        <v>76.203050716004697</v>
      </c>
      <c r="F5">
        <v>104.55970479604305</v>
      </c>
      <c r="G5">
        <v>157.97713819051489</v>
      </c>
      <c r="H5">
        <v>272.97599759951987</v>
      </c>
      <c r="I5">
        <v>342.53634902075339</v>
      </c>
      <c r="J5">
        <v>455.37599999999998</v>
      </c>
      <c r="K5">
        <v>627.16800000000001</v>
      </c>
      <c r="L5">
        <v>910.75199999999995</v>
      </c>
      <c r="M5">
        <v>1254.336</v>
      </c>
      <c r="N5">
        <v>1537.9199999999998</v>
      </c>
      <c r="O5">
        <v>1821.5039999999999</v>
      </c>
      <c r="P5">
        <v>2165.0879999999997</v>
      </c>
      <c r="Q5">
        <v>2448.672</v>
      </c>
    </row>
    <row r="6" spans="1:17" x14ac:dyDescent="0.2">
      <c r="B6" t="s">
        <v>183</v>
      </c>
      <c r="C6">
        <v>36.599036004625439</v>
      </c>
      <c r="D6">
        <v>45.433737235978171</v>
      </c>
      <c r="E6">
        <v>76.203050716004697</v>
      </c>
      <c r="F6">
        <v>104.55970479604305</v>
      </c>
      <c r="G6">
        <v>157.97713819051489</v>
      </c>
      <c r="H6">
        <v>272.97599759951987</v>
      </c>
      <c r="I6">
        <v>342.53634902075339</v>
      </c>
      <c r="J6">
        <v>455.37599999999998</v>
      </c>
      <c r="K6">
        <v>627.16800000000001</v>
      </c>
      <c r="L6">
        <v>910.75199999999995</v>
      </c>
      <c r="M6">
        <v>1254.336</v>
      </c>
      <c r="N6">
        <v>1537.9199999999998</v>
      </c>
      <c r="O6">
        <v>1821.5039999999999</v>
      </c>
      <c r="P6">
        <v>2165.0879999999997</v>
      </c>
      <c r="Q6">
        <v>2448.672</v>
      </c>
    </row>
    <row r="7" spans="1:17" x14ac:dyDescent="0.2">
      <c r="B7" t="s">
        <v>184</v>
      </c>
      <c r="C7">
        <v>3.36</v>
      </c>
      <c r="D7">
        <v>4.7399999999999993</v>
      </c>
      <c r="E7">
        <v>6.6599999999999993</v>
      </c>
      <c r="F7">
        <v>8.16</v>
      </c>
      <c r="G7">
        <v>10.5</v>
      </c>
      <c r="H7">
        <v>25.8</v>
      </c>
      <c r="I7">
        <v>29.759999999999998</v>
      </c>
      <c r="J7">
        <v>30</v>
      </c>
      <c r="K7">
        <v>45</v>
      </c>
      <c r="L7">
        <v>60</v>
      </c>
      <c r="M7">
        <v>90</v>
      </c>
      <c r="N7">
        <v>105</v>
      </c>
      <c r="O7">
        <v>120</v>
      </c>
      <c r="P7">
        <v>150</v>
      </c>
      <c r="Q7">
        <v>165</v>
      </c>
    </row>
    <row r="8" spans="1:17" ht="15.75" x14ac:dyDescent="0.2">
      <c r="B8" s="31" t="s">
        <v>185</v>
      </c>
      <c r="C8">
        <v>6.3840000000000003</v>
      </c>
      <c r="D8">
        <v>12.797999999999998</v>
      </c>
      <c r="E8">
        <v>24.641999999999999</v>
      </c>
      <c r="F8">
        <v>37.535999999999994</v>
      </c>
      <c r="G8">
        <v>61.949999999999989</v>
      </c>
      <c r="H8">
        <v>92.88000000000001</v>
      </c>
      <c r="I8">
        <v>124.99199999999998</v>
      </c>
      <c r="J8">
        <v>185.99999999999997</v>
      </c>
      <c r="K8">
        <v>247.5</v>
      </c>
      <c r="L8">
        <v>371.99999999999994</v>
      </c>
      <c r="M8">
        <v>495</v>
      </c>
      <c r="N8">
        <v>619.5</v>
      </c>
      <c r="O8">
        <v>743.99999999999989</v>
      </c>
      <c r="P8">
        <v>870</v>
      </c>
      <c r="Q8">
        <v>990</v>
      </c>
    </row>
    <row r="10" spans="1:17" ht="15" x14ac:dyDescent="0.25">
      <c r="B10" s="30" t="s">
        <v>186</v>
      </c>
    </row>
    <row r="11" spans="1:17" x14ac:dyDescent="0.2">
      <c r="B11" t="s">
        <v>187</v>
      </c>
      <c r="C11">
        <v>20</v>
      </c>
      <c r="D11">
        <v>29</v>
      </c>
      <c r="E11">
        <v>44</v>
      </c>
      <c r="F11">
        <v>52</v>
      </c>
      <c r="G11">
        <v>68</v>
      </c>
      <c r="H11">
        <v>168</v>
      </c>
      <c r="I11">
        <v>194</v>
      </c>
      <c r="J11">
        <v>200</v>
      </c>
      <c r="K11">
        <v>300</v>
      </c>
      <c r="L11">
        <v>400</v>
      </c>
      <c r="M11">
        <v>600</v>
      </c>
      <c r="N11">
        <v>700</v>
      </c>
      <c r="O11">
        <v>800</v>
      </c>
      <c r="P11">
        <v>1000</v>
      </c>
      <c r="Q11">
        <v>1100</v>
      </c>
    </row>
    <row r="12" spans="1:17" x14ac:dyDescent="0.2">
      <c r="B12" t="s">
        <v>188</v>
      </c>
      <c r="C12">
        <v>8</v>
      </c>
      <c r="D12">
        <v>9</v>
      </c>
      <c r="E12">
        <v>14</v>
      </c>
      <c r="F12">
        <v>16</v>
      </c>
      <c r="G12">
        <v>20</v>
      </c>
      <c r="H12">
        <v>48</v>
      </c>
      <c r="I12">
        <v>52</v>
      </c>
      <c r="J12">
        <v>54</v>
      </c>
      <c r="K12">
        <v>81</v>
      </c>
      <c r="L12">
        <v>108</v>
      </c>
      <c r="M12">
        <v>162</v>
      </c>
      <c r="N12">
        <v>189</v>
      </c>
      <c r="O12">
        <v>216</v>
      </c>
      <c r="P12">
        <v>270</v>
      </c>
      <c r="Q12">
        <v>297</v>
      </c>
    </row>
    <row r="13" spans="1:17" x14ac:dyDescent="0.2">
      <c r="B13" t="s">
        <v>189</v>
      </c>
      <c r="C13">
        <v>16</v>
      </c>
      <c r="D13">
        <v>18</v>
      </c>
      <c r="E13">
        <v>28</v>
      </c>
      <c r="F13">
        <v>32</v>
      </c>
      <c r="G13">
        <v>40</v>
      </c>
      <c r="H13">
        <v>96</v>
      </c>
      <c r="I13">
        <v>104</v>
      </c>
      <c r="J13">
        <v>108</v>
      </c>
      <c r="K13">
        <v>162</v>
      </c>
      <c r="L13">
        <v>216</v>
      </c>
      <c r="M13">
        <v>324</v>
      </c>
      <c r="N13">
        <v>378</v>
      </c>
      <c r="O13">
        <v>432</v>
      </c>
      <c r="P13">
        <v>540</v>
      </c>
      <c r="Q13">
        <v>594</v>
      </c>
    </row>
    <row r="14" spans="1:17" x14ac:dyDescent="0.2">
      <c r="B14" t="s">
        <v>190</v>
      </c>
      <c r="C14">
        <v>20</v>
      </c>
      <c r="D14">
        <v>29</v>
      </c>
      <c r="E14">
        <v>44</v>
      </c>
      <c r="F14">
        <v>52</v>
      </c>
      <c r="G14">
        <v>68</v>
      </c>
      <c r="H14">
        <v>168</v>
      </c>
      <c r="I14">
        <v>194</v>
      </c>
      <c r="J14">
        <v>200</v>
      </c>
      <c r="K14">
        <v>300</v>
      </c>
      <c r="L14">
        <v>400</v>
      </c>
      <c r="M14">
        <v>600</v>
      </c>
      <c r="N14">
        <v>700</v>
      </c>
      <c r="O14">
        <v>800</v>
      </c>
      <c r="P14">
        <v>1000</v>
      </c>
      <c r="Q14">
        <v>1100</v>
      </c>
    </row>
    <row r="17" spans="2:17" ht="15" x14ac:dyDescent="0.25">
      <c r="B17" s="30" t="s">
        <v>191</v>
      </c>
    </row>
    <row r="18" spans="2:17" x14ac:dyDescent="0.2">
      <c r="B18" t="s">
        <v>192</v>
      </c>
      <c r="C18">
        <v>49.2</v>
      </c>
      <c r="D18">
        <v>68.8</v>
      </c>
      <c r="E18">
        <v>96.2</v>
      </c>
      <c r="F18">
        <v>118.2</v>
      </c>
      <c r="G18">
        <v>152</v>
      </c>
      <c r="H18">
        <v>395.5</v>
      </c>
      <c r="I18">
        <v>456</v>
      </c>
      <c r="J18">
        <v>459</v>
      </c>
      <c r="K18">
        <v>701</v>
      </c>
      <c r="L18">
        <v>943</v>
      </c>
      <c r="M18">
        <v>1441.25</v>
      </c>
      <c r="N18">
        <v>1683.65</v>
      </c>
      <c r="O18">
        <v>1925.95</v>
      </c>
      <c r="P18">
        <v>2408.4749999999999</v>
      </c>
      <c r="Q18">
        <v>2650.875</v>
      </c>
    </row>
    <row r="19" spans="2:17" x14ac:dyDescent="0.2">
      <c r="B19" t="s">
        <v>199</v>
      </c>
      <c r="C19">
        <v>4</v>
      </c>
      <c r="D19">
        <v>6</v>
      </c>
      <c r="E19">
        <v>10.199999999999999</v>
      </c>
      <c r="F19">
        <v>10.199999999999999</v>
      </c>
      <c r="G19">
        <v>10.199999999999999</v>
      </c>
      <c r="H19">
        <v>10.199999999999999</v>
      </c>
      <c r="I19">
        <v>10.199999999999999</v>
      </c>
      <c r="J19">
        <v>17</v>
      </c>
      <c r="K19">
        <v>17</v>
      </c>
      <c r="L19">
        <v>17</v>
      </c>
      <c r="M19">
        <v>17</v>
      </c>
      <c r="N19">
        <v>17</v>
      </c>
      <c r="O19">
        <v>24</v>
      </c>
      <c r="P19">
        <v>30</v>
      </c>
      <c r="Q19">
        <v>30</v>
      </c>
    </row>
    <row r="20" spans="2:17" x14ac:dyDescent="0.2">
      <c r="B20" t="s">
        <v>200</v>
      </c>
      <c r="C20">
        <f>C19/SAF!$F$24</f>
        <v>2.8571428571428571E-2</v>
      </c>
      <c r="D20">
        <f>D19/SAF!$F$24</f>
        <v>4.2857142857142858E-2</v>
      </c>
      <c r="E20">
        <f>E19/SAF!$F$24</f>
        <v>7.2857142857142856E-2</v>
      </c>
      <c r="F20">
        <f>F19/SAF!$F$24</f>
        <v>7.2857142857142856E-2</v>
      </c>
      <c r="G20">
        <f>G19/SAF!$F$24</f>
        <v>7.2857142857142856E-2</v>
      </c>
      <c r="H20">
        <f>H19/SAF!$F$24</f>
        <v>7.2857142857142856E-2</v>
      </c>
      <c r="I20">
        <f>I19/SAF!$F$24</f>
        <v>7.2857142857142856E-2</v>
      </c>
      <c r="J20">
        <f>J19/SAF!$F$24</f>
        <v>0.12142857142857143</v>
      </c>
      <c r="K20">
        <f>K19/SAF!$F$24</f>
        <v>0.12142857142857143</v>
      </c>
      <c r="L20">
        <f>L19/SAF!$F$24</f>
        <v>0.12142857142857143</v>
      </c>
      <c r="M20">
        <f>M19/SAF!$F$24</f>
        <v>0.12142857142857143</v>
      </c>
      <c r="N20">
        <f>N19/SAF!$F$24</f>
        <v>0.12142857142857143</v>
      </c>
      <c r="O20">
        <f>O19/SAF!$F$24</f>
        <v>0.17142857142857143</v>
      </c>
      <c r="P20">
        <f>P19/SAF!$F$24</f>
        <v>0.21428571428571427</v>
      </c>
      <c r="Q20">
        <f>Q19/SAF!$F$24</f>
        <v>0.21428571428571427</v>
      </c>
    </row>
    <row r="22" spans="2:17" ht="15" x14ac:dyDescent="0.25">
      <c r="B22" s="30" t="s">
        <v>193</v>
      </c>
    </row>
    <row r="23" spans="2:17" x14ac:dyDescent="0.2">
      <c r="B23" t="s">
        <v>30</v>
      </c>
      <c r="C23">
        <v>0.6</v>
      </c>
      <c r="D23">
        <v>0.6</v>
      </c>
      <c r="E23">
        <v>0.6</v>
      </c>
      <c r="F23">
        <v>0.6</v>
      </c>
      <c r="G23">
        <v>0.6</v>
      </c>
      <c r="H23">
        <v>1.2</v>
      </c>
      <c r="I23">
        <v>1.2</v>
      </c>
      <c r="J23">
        <v>1.2</v>
      </c>
      <c r="K23">
        <v>1.7999999999999998</v>
      </c>
      <c r="L23">
        <v>2.4</v>
      </c>
      <c r="M23">
        <v>3.5999999999999996</v>
      </c>
      <c r="N23">
        <v>4.2</v>
      </c>
      <c r="O23">
        <v>4.8</v>
      </c>
      <c r="P23">
        <v>6</v>
      </c>
      <c r="Q23">
        <v>6.6</v>
      </c>
    </row>
    <row r="24" spans="2:17" x14ac:dyDescent="0.2">
      <c r="B24" t="s">
        <v>194</v>
      </c>
      <c r="C24">
        <v>11.799999999999999</v>
      </c>
      <c r="D24">
        <v>16.399999999999999</v>
      </c>
      <c r="E24">
        <v>22.8</v>
      </c>
      <c r="F24">
        <v>27.8</v>
      </c>
      <c r="G24">
        <v>35.6</v>
      </c>
      <c r="H24">
        <v>65.099999999999994</v>
      </c>
      <c r="I24">
        <v>75</v>
      </c>
      <c r="J24">
        <v>75.599999999999994</v>
      </c>
      <c r="K24">
        <v>100.6</v>
      </c>
      <c r="L24">
        <v>125.6</v>
      </c>
      <c r="M24">
        <v>189.85</v>
      </c>
      <c r="N24">
        <v>215.25</v>
      </c>
      <c r="O24">
        <v>240.54999999999998</v>
      </c>
      <c r="P24">
        <v>289.07499999999999</v>
      </c>
      <c r="Q24">
        <v>314.47500000000002</v>
      </c>
    </row>
    <row r="25" spans="2:17" x14ac:dyDescent="0.2">
      <c r="B25" t="s">
        <v>195</v>
      </c>
      <c r="C25">
        <v>4</v>
      </c>
      <c r="D25">
        <v>4</v>
      </c>
      <c r="E25">
        <v>4</v>
      </c>
      <c r="F25">
        <v>4</v>
      </c>
      <c r="G25">
        <v>4</v>
      </c>
      <c r="H25">
        <v>4</v>
      </c>
      <c r="I25">
        <v>4</v>
      </c>
      <c r="J25">
        <v>4</v>
      </c>
      <c r="K25">
        <v>4</v>
      </c>
      <c r="L25">
        <v>4</v>
      </c>
      <c r="M25">
        <v>4</v>
      </c>
      <c r="N25">
        <v>4</v>
      </c>
      <c r="O25">
        <v>4</v>
      </c>
      <c r="P25">
        <v>4</v>
      </c>
      <c r="Q25">
        <v>4</v>
      </c>
    </row>
    <row r="26" spans="2:17" x14ac:dyDescent="0.2">
      <c r="B26" t="s">
        <v>196</v>
      </c>
      <c r="C26">
        <v>2</v>
      </c>
      <c r="D26">
        <v>2</v>
      </c>
      <c r="E26">
        <v>2</v>
      </c>
      <c r="F26">
        <v>2</v>
      </c>
      <c r="G26">
        <v>2</v>
      </c>
      <c r="H26">
        <v>4</v>
      </c>
      <c r="I26">
        <v>4</v>
      </c>
      <c r="J26">
        <v>4</v>
      </c>
      <c r="K26">
        <v>6</v>
      </c>
      <c r="L26">
        <v>8</v>
      </c>
      <c r="M26">
        <v>14</v>
      </c>
      <c r="N26">
        <v>16</v>
      </c>
      <c r="O26">
        <v>18</v>
      </c>
      <c r="P26">
        <v>20</v>
      </c>
      <c r="Q26">
        <v>22</v>
      </c>
    </row>
    <row r="27" spans="2:17" x14ac:dyDescent="0.2">
      <c r="B27" t="s">
        <v>197</v>
      </c>
      <c r="C27">
        <v>2</v>
      </c>
      <c r="D27">
        <v>2</v>
      </c>
      <c r="E27">
        <v>2</v>
      </c>
      <c r="F27">
        <v>2</v>
      </c>
      <c r="G27">
        <v>2</v>
      </c>
      <c r="H27">
        <v>4</v>
      </c>
      <c r="I27">
        <v>4</v>
      </c>
      <c r="J27">
        <v>4</v>
      </c>
      <c r="K27">
        <v>4</v>
      </c>
      <c r="L27">
        <v>4</v>
      </c>
      <c r="M27">
        <v>8</v>
      </c>
      <c r="N27">
        <v>8</v>
      </c>
      <c r="O27">
        <v>8</v>
      </c>
      <c r="P27">
        <v>10</v>
      </c>
      <c r="Q27">
        <v>10</v>
      </c>
    </row>
    <row r="28" spans="2:17" x14ac:dyDescent="0.2">
      <c r="B28" t="s">
        <v>198</v>
      </c>
      <c r="C28">
        <v>2</v>
      </c>
      <c r="D28">
        <v>2</v>
      </c>
      <c r="E28">
        <v>2</v>
      </c>
      <c r="F28">
        <v>2</v>
      </c>
      <c r="G28">
        <v>2</v>
      </c>
      <c r="H28">
        <v>3</v>
      </c>
      <c r="I28">
        <v>3</v>
      </c>
      <c r="J28">
        <v>3</v>
      </c>
      <c r="K28">
        <v>4</v>
      </c>
      <c r="L28">
        <v>5</v>
      </c>
      <c r="M28">
        <v>7</v>
      </c>
      <c r="N28">
        <v>8</v>
      </c>
      <c r="O28">
        <v>9</v>
      </c>
      <c r="P28">
        <v>11</v>
      </c>
      <c r="Q28">
        <v>12</v>
      </c>
    </row>
    <row r="29" spans="2:17" x14ac:dyDescent="0.2">
      <c r="B29" t="s">
        <v>55</v>
      </c>
      <c r="C29">
        <v>5.3999999999999995</v>
      </c>
      <c r="D29">
        <v>5.3999999999999995</v>
      </c>
      <c r="E29">
        <v>5.3999999999999995</v>
      </c>
      <c r="F29">
        <v>5.3999999999999995</v>
      </c>
      <c r="G29">
        <v>5.3999999999999995</v>
      </c>
      <c r="H29">
        <v>10.799999999999999</v>
      </c>
      <c r="I29">
        <v>10.799999999999999</v>
      </c>
      <c r="J29">
        <v>10.799999999999999</v>
      </c>
      <c r="K29">
        <v>16.2</v>
      </c>
      <c r="L29">
        <v>21.599999999999998</v>
      </c>
      <c r="M29">
        <v>32.4</v>
      </c>
      <c r="N29">
        <v>37.799999999999997</v>
      </c>
      <c r="O29">
        <v>43.199999999999996</v>
      </c>
      <c r="P29">
        <v>53.999999999999993</v>
      </c>
      <c r="Q29">
        <v>59.399999999999991</v>
      </c>
    </row>
    <row r="30" spans="2:17" x14ac:dyDescent="0.2">
      <c r="B30" t="s">
        <v>183</v>
      </c>
      <c r="C30">
        <f>C29</f>
        <v>5.3999999999999995</v>
      </c>
      <c r="D30">
        <f t="shared" ref="D30:Q30" si="0">D29</f>
        <v>5.3999999999999995</v>
      </c>
      <c r="E30">
        <f t="shared" si="0"/>
        <v>5.3999999999999995</v>
      </c>
      <c r="F30">
        <f t="shared" si="0"/>
        <v>5.3999999999999995</v>
      </c>
      <c r="G30">
        <f t="shared" si="0"/>
        <v>5.3999999999999995</v>
      </c>
      <c r="H30">
        <f t="shared" si="0"/>
        <v>10.799999999999999</v>
      </c>
      <c r="I30">
        <f t="shared" si="0"/>
        <v>10.799999999999999</v>
      </c>
      <c r="J30">
        <f t="shared" si="0"/>
        <v>10.799999999999999</v>
      </c>
      <c r="K30">
        <f t="shared" si="0"/>
        <v>16.2</v>
      </c>
      <c r="L30">
        <f t="shared" si="0"/>
        <v>21.599999999999998</v>
      </c>
      <c r="M30">
        <f t="shared" si="0"/>
        <v>32.4</v>
      </c>
      <c r="N30">
        <f t="shared" si="0"/>
        <v>37.799999999999997</v>
      </c>
      <c r="O30">
        <f t="shared" si="0"/>
        <v>43.199999999999996</v>
      </c>
      <c r="P30">
        <f t="shared" si="0"/>
        <v>53.999999999999993</v>
      </c>
      <c r="Q30">
        <f t="shared" si="0"/>
        <v>59.399999999999991</v>
      </c>
    </row>
    <row r="32" spans="2:17" x14ac:dyDescent="0.2">
      <c r="B32" t="s">
        <v>201</v>
      </c>
    </row>
    <row r="34" spans="2:17" x14ac:dyDescent="0.2">
      <c r="B34" t="s">
        <v>34</v>
      </c>
      <c r="C34">
        <f>C23+C4</f>
        <v>16.840000000000003</v>
      </c>
      <c r="D34">
        <f t="shared" ref="D34:Q34" si="1">D23+D4</f>
        <v>29.830000000000002</v>
      </c>
      <c r="E34">
        <f t="shared" si="1"/>
        <v>52.77</v>
      </c>
      <c r="F34">
        <f t="shared" si="1"/>
        <v>76.759999999999991</v>
      </c>
      <c r="G34">
        <f t="shared" si="1"/>
        <v>121.34999999999998</v>
      </c>
      <c r="H34">
        <f t="shared" si="1"/>
        <v>198.99999999999997</v>
      </c>
      <c r="I34">
        <f t="shared" si="1"/>
        <v>259.11999999999995</v>
      </c>
      <c r="J34">
        <f t="shared" si="1"/>
        <v>361.19999999999993</v>
      </c>
      <c r="K34">
        <f t="shared" si="1"/>
        <v>489.3</v>
      </c>
      <c r="L34">
        <f t="shared" si="1"/>
        <v>722.39999999999986</v>
      </c>
      <c r="M34">
        <f t="shared" si="1"/>
        <v>978.6</v>
      </c>
      <c r="N34">
        <f t="shared" si="1"/>
        <v>1211.7</v>
      </c>
      <c r="O34">
        <f t="shared" si="1"/>
        <v>1444.7999999999997</v>
      </c>
      <c r="P34">
        <f t="shared" si="1"/>
        <v>1706</v>
      </c>
      <c r="Q34">
        <f t="shared" si="1"/>
        <v>1931.6</v>
      </c>
    </row>
    <row r="35" spans="2:17" x14ac:dyDescent="0.2">
      <c r="B35" t="s">
        <v>203</v>
      </c>
      <c r="C35">
        <f>C8*Conversions!$B$16</f>
        <v>9735.6</v>
      </c>
      <c r="D35">
        <f>D8*Conversions!$B$16</f>
        <v>19516.949999999997</v>
      </c>
      <c r="E35">
        <f>E8*Conversions!$B$16</f>
        <v>37579.049999999996</v>
      </c>
      <c r="F35">
        <f>F8*Conversions!$B$16</f>
        <v>57242.399999999994</v>
      </c>
      <c r="G35">
        <f>G8*Conversions!$B$16</f>
        <v>94473.749999999985</v>
      </c>
      <c r="H35">
        <f>H8*Conversions!$B$16</f>
        <v>141642.00000000003</v>
      </c>
      <c r="I35">
        <f>I8*Conversions!$B$16</f>
        <v>190612.79999999996</v>
      </c>
      <c r="J35">
        <f>J8*Conversions!$B$16</f>
        <v>283649.99999999994</v>
      </c>
      <c r="K35">
        <f>K8*Conversions!$B$16</f>
        <v>377437.5</v>
      </c>
      <c r="L35">
        <f>L8*Conversions!$B$16</f>
        <v>567299.99999999988</v>
      </c>
      <c r="M35">
        <f>M8*Conversions!$B$16</f>
        <v>754875</v>
      </c>
      <c r="N35">
        <f>N8*Conversions!$B$16</f>
        <v>944737.5</v>
      </c>
      <c r="O35">
        <f>O8*Conversions!$B$16</f>
        <v>1134599.9999999998</v>
      </c>
      <c r="P35">
        <f>P8*Conversions!$B$16</f>
        <v>1326750</v>
      </c>
      <c r="Q35">
        <f>Q8*Conversions!$B$16</f>
        <v>1509750</v>
      </c>
    </row>
    <row r="36" spans="2:17" x14ac:dyDescent="0.2">
      <c r="B36" t="s">
        <v>204</v>
      </c>
      <c r="C36">
        <f>C7*Conversions!$B$16</f>
        <v>5124</v>
      </c>
      <c r="D36">
        <f>D7*Conversions!$B$16</f>
        <v>7228.4999999999991</v>
      </c>
      <c r="E36">
        <f>E7*Conversions!$B$16</f>
        <v>10156.499999999998</v>
      </c>
      <c r="F36">
        <f>F7*Conversions!$B$16</f>
        <v>12444</v>
      </c>
      <c r="G36">
        <f>G7*Conversions!$B$16</f>
        <v>16012.5</v>
      </c>
      <c r="H36">
        <f>H7*Conversions!$B$16</f>
        <v>39345</v>
      </c>
      <c r="I36">
        <f>I7*Conversions!$B$16</f>
        <v>45384</v>
      </c>
      <c r="J36">
        <f>J7*Conversions!$B$16</f>
        <v>45750</v>
      </c>
      <c r="K36">
        <f>K7*Conversions!$B$16</f>
        <v>68625</v>
      </c>
      <c r="L36">
        <f>L7*Conversions!$B$16</f>
        <v>91500</v>
      </c>
      <c r="M36">
        <f>M7*Conversions!$B$16</f>
        <v>137250</v>
      </c>
      <c r="N36">
        <f>N7*Conversions!$B$16</f>
        <v>160125</v>
      </c>
      <c r="O36">
        <f>O7*Conversions!$B$16</f>
        <v>183000</v>
      </c>
      <c r="P36">
        <f>P7*Conversions!$B$16</f>
        <v>228750</v>
      </c>
      <c r="Q36">
        <f>Q7*Conversions!$B$16</f>
        <v>251625</v>
      </c>
    </row>
    <row r="37" spans="2:17" x14ac:dyDescent="0.2">
      <c r="B37" t="s">
        <v>205</v>
      </c>
      <c r="C37">
        <f>(C5+C29)*Conversions!$C$21*Conversions!$C$23</f>
        <v>38.63911312425541</v>
      </c>
      <c r="D37">
        <f>(D5+D29)*Conversions!$C$21*Conversions!$C$23</f>
        <v>46.767038257099919</v>
      </c>
      <c r="E37">
        <f>(E5+E29)*Conversions!$C$21*Conversions!$C$23</f>
        <v>75.074806658724327</v>
      </c>
      <c r="F37">
        <f>(F5+F29)*Conversions!$C$21*Conversions!$C$23</f>
        <v>101.16292841235961</v>
      </c>
      <c r="G37">
        <f>(G5+G29)*Conversions!$C$21*Conversions!$C$23</f>
        <v>150.30696713527371</v>
      </c>
      <c r="H37">
        <f>(H5+H29)*Conversions!$C$21*Conversions!$C$23</f>
        <v>261.0739177915583</v>
      </c>
      <c r="I37">
        <f>(I5+I29)*Conversions!$C$21*Conversions!$C$23</f>
        <v>325.06944109909313</v>
      </c>
      <c r="J37">
        <f>(J5+J29)*Conversions!$C$21*Conversions!$C$23</f>
        <v>428.88191999999998</v>
      </c>
      <c r="K37">
        <f>(K5+K29)*Conversions!$C$21*Conversions!$C$23</f>
        <v>591.89856000000009</v>
      </c>
      <c r="L37">
        <f>(L5+L29)*Conversions!$C$21*Conversions!$C$23</f>
        <v>857.76383999999996</v>
      </c>
      <c r="M37">
        <f>(M5+M29)*Conversions!$C$21*Conversions!$C$23</f>
        <v>1183.7971200000002</v>
      </c>
      <c r="N37">
        <f>(N5+N29)*Conversions!$C$21*Conversions!$C$23</f>
        <v>1449.6623999999997</v>
      </c>
      <c r="O37">
        <f>(O5+O29)*Conversions!$C$21*Conversions!$C$23</f>
        <v>1715.5276799999999</v>
      </c>
      <c r="P37">
        <f>(P5+P29)*Conversions!$C$21*Conversions!$C$23</f>
        <v>2041.5609599999998</v>
      </c>
      <c r="Q37">
        <f>(Q5+Q29)*Conversions!$C$21*Conversions!$C$23</f>
        <v>2307.4262400000002</v>
      </c>
    </row>
    <row r="38" spans="2:17" x14ac:dyDescent="0.2">
      <c r="B38" t="s">
        <v>238</v>
      </c>
      <c r="C38">
        <f>C6*Conversions!$C$27*Conversions!$C$29</f>
        <v>43.91884320555053</v>
      </c>
      <c r="D38">
        <f>D6*Conversions!$C$27*Conversions!$C$29</f>
        <v>54.520484683173805</v>
      </c>
      <c r="E38">
        <f>E6*Conversions!$C$27*Conversions!$C$29</f>
        <v>91.443660859205636</v>
      </c>
      <c r="F38">
        <f>F6*Conversions!$C$27*Conversions!$C$29</f>
        <v>125.47164575525167</v>
      </c>
      <c r="G38">
        <f>G6*Conversions!$C$27*Conversions!$C$29</f>
        <v>189.57256582861788</v>
      </c>
      <c r="H38">
        <f>H6*Conversions!$C$27*Conversions!$C$29</f>
        <v>327.57119711942386</v>
      </c>
      <c r="I38">
        <f>I6*Conversions!$C$27*Conversions!$C$29</f>
        <v>411.04361882490412</v>
      </c>
      <c r="J38">
        <f>J6*Conversions!$C$27*Conversions!$C$29</f>
        <v>546.45119999999997</v>
      </c>
      <c r="K38">
        <f>K6*Conversions!$C$27*Conversions!$C$29</f>
        <v>752.60160000000008</v>
      </c>
      <c r="L38">
        <f>L6*Conversions!$C$27*Conversions!$C$29</f>
        <v>1092.9023999999999</v>
      </c>
      <c r="M38">
        <f>M6*Conversions!$C$27*Conversions!$C$29</f>
        <v>1505.2032000000002</v>
      </c>
      <c r="N38">
        <f>N6*Conversions!$C$27*Conversions!$C$29</f>
        <v>1845.5039999999999</v>
      </c>
      <c r="O38">
        <f>O6*Conversions!$C$27*Conversions!$C$29</f>
        <v>2185.8047999999999</v>
      </c>
      <c r="P38">
        <f>P6*Conversions!$C$27*Conversions!$C$29</f>
        <v>2598.1055999999999</v>
      </c>
      <c r="Q38">
        <f>Q6*Conversions!$C$27*Conversions!$C$29</f>
        <v>2938.4064000000003</v>
      </c>
    </row>
    <row r="40" spans="2:17" x14ac:dyDescent="0.2">
      <c r="B40" t="s">
        <v>146</v>
      </c>
      <c r="C40">
        <f>C11*(0.6*1*Conversions!$C$39)+C12*(0.6*0.5*Conversions!$C$39)+(C14+C13*1.2)*Conversions!$C$40</f>
        <v>27.688000000000002</v>
      </c>
      <c r="D40">
        <f>D11*(0.6*1*Conversions!$C$39)+D12*(0.6*0.5*Conversions!$C$39)+(D14+D13*1.2)*Conversions!$C$40</f>
        <v>37.948</v>
      </c>
      <c r="E40">
        <f>E11*(0.6*1*Conversions!$C$39)+E12*(0.6*0.5*Conversions!$C$39)+(E14+E13*1.2)*Conversions!$C$40</f>
        <v>57.867999999999995</v>
      </c>
      <c r="F40">
        <f>F11*(0.6*1*Conversions!$C$39)+F12*(0.6*0.5*Conversions!$C$39)+(F14+F13*1.2)*Conversions!$C$40</f>
        <v>67.927999999999997</v>
      </c>
      <c r="G40">
        <f>G11*(0.6*1*Conversions!$C$39)+G12*(0.6*0.5*Conversions!$C$39)+(G14+G13*1.2)*Conversions!$C$40</f>
        <v>88.048000000000002</v>
      </c>
      <c r="H40">
        <f>H11*(0.6*1*Conversions!$C$39)+H12*(0.6*0.5*Conversions!$C$39)+(H14+H13*1.2)*Conversions!$C$40</f>
        <v>216.33600000000001</v>
      </c>
      <c r="I40">
        <f>I11*(0.6*1*Conversions!$C$39)+I12*(0.6*0.5*Conversions!$C$39)+(I14+I13*1.2)*Conversions!$C$40</f>
        <v>246.916</v>
      </c>
      <c r="J40">
        <f>J11*(0.6*1*Conversions!$C$39)+J12*(0.6*0.5*Conversions!$C$39)+(J14+J13*1.2)*Conversions!$C$40</f>
        <v>254.88399999999999</v>
      </c>
      <c r="K40">
        <f>K11*(0.6*1*Conversions!$C$39)+K12*(0.6*0.5*Conversions!$C$39)+(K14+K13*1.2)*Conversions!$C$40</f>
        <v>382.32600000000002</v>
      </c>
      <c r="L40">
        <f>L11*(0.6*1*Conversions!$C$39)+L12*(0.6*0.5*Conversions!$C$39)+(L14+L13*1.2)*Conversions!$C$40</f>
        <v>509.76799999999997</v>
      </c>
      <c r="M40">
        <f>M11*(0.6*1*Conversions!$C$39)+M12*(0.6*0.5*Conversions!$C$39)+(M14+M13*1.2)*Conversions!$C$40</f>
        <v>764.65200000000004</v>
      </c>
      <c r="N40">
        <f>N11*(0.6*1*Conversions!$C$39)+N12*(0.6*0.5*Conversions!$C$39)+(N14+N13*1.2)*Conversions!$C$40</f>
        <v>892.09400000000005</v>
      </c>
      <c r="O40">
        <f>O11*(0.6*1*Conversions!$C$39)+O12*(0.6*0.5*Conversions!$C$39)+(O14+O13*1.2)*Conversions!$C$40</f>
        <v>1019.5359999999999</v>
      </c>
      <c r="P40">
        <f>P11*(0.6*1*Conversions!$C$39)+P12*(0.6*0.5*Conversions!$C$39)+(P14+P13*1.2)*Conversions!$C$40</f>
        <v>1274.42</v>
      </c>
      <c r="Q40">
        <f>Q11*(0.6*1*Conversions!$C$39)+Q12*(0.6*0.5*Conversions!$C$39)+(Q14+Q13*1.2)*Conversions!$C$40</f>
        <v>1401.8620000000001</v>
      </c>
    </row>
    <row r="42" spans="2:17" x14ac:dyDescent="0.2">
      <c r="B42" t="s">
        <v>199</v>
      </c>
      <c r="C42">
        <f t="shared" ref="C42:Q42" si="2">C20</f>
        <v>2.8571428571428571E-2</v>
      </c>
      <c r="D42">
        <f t="shared" si="2"/>
        <v>4.2857142857142858E-2</v>
      </c>
      <c r="E42">
        <f t="shared" si="2"/>
        <v>7.2857142857142856E-2</v>
      </c>
      <c r="F42">
        <f t="shared" si="2"/>
        <v>7.2857142857142856E-2</v>
      </c>
      <c r="G42">
        <f t="shared" si="2"/>
        <v>7.2857142857142856E-2</v>
      </c>
      <c r="H42">
        <f t="shared" si="2"/>
        <v>7.2857142857142856E-2</v>
      </c>
      <c r="I42">
        <f t="shared" si="2"/>
        <v>7.2857142857142856E-2</v>
      </c>
      <c r="J42">
        <f t="shared" si="2"/>
        <v>0.12142857142857143</v>
      </c>
      <c r="K42">
        <f t="shared" si="2"/>
        <v>0.12142857142857143</v>
      </c>
      <c r="L42">
        <f t="shared" si="2"/>
        <v>0.12142857142857143</v>
      </c>
      <c r="M42">
        <f t="shared" si="2"/>
        <v>0.12142857142857143</v>
      </c>
      <c r="N42">
        <f t="shared" si="2"/>
        <v>0.12142857142857143</v>
      </c>
      <c r="O42">
        <f t="shared" si="2"/>
        <v>0.17142857142857143</v>
      </c>
      <c r="P42">
        <f t="shared" si="2"/>
        <v>0.21428571428571427</v>
      </c>
      <c r="Q42">
        <f t="shared" si="2"/>
        <v>0.21428571428571427</v>
      </c>
    </row>
    <row r="44" spans="2:17" x14ac:dyDescent="0.2">
      <c r="B44" t="s">
        <v>207</v>
      </c>
      <c r="C44">
        <f>C24*Conversions!$C$32+Conversions!$C$33*'AHF '!C25+'AHF '!C26*Conversions!$C$34+'AHF '!C27*Conversions!$C$35+'AHF '!C28*Conversions!$C$36</f>
        <v>72.015999999999991</v>
      </c>
      <c r="D44">
        <f>D24*Conversions!$C$32+Conversions!$C$33*'AHF '!D25+'AHF '!D26*Conversions!$C$34+'AHF '!D27*Conversions!$C$35+'AHF '!D28*Conversions!$C$36</f>
        <v>98.23599999999999</v>
      </c>
      <c r="E44">
        <f>E24*Conversions!$C$32+Conversions!$C$33*'AHF '!E25+'AHF '!E26*Conversions!$C$34+'AHF '!E27*Conversions!$C$35+'AHF '!E28*Conversions!$C$36</f>
        <v>134.71600000000001</v>
      </c>
      <c r="F44">
        <f>F24*Conversions!$C$32+Conversions!$C$33*'AHF '!F25+'AHF '!F26*Conversions!$C$34+'AHF '!F27*Conversions!$C$35+'AHF '!F28*Conversions!$C$36</f>
        <v>163.21600000000001</v>
      </c>
      <c r="G44">
        <f>G24*Conversions!$C$32+Conversions!$C$33*'AHF '!G25+'AHF '!G26*Conversions!$C$34+'AHF '!G27*Conversions!$C$35+'AHF '!G28*Conversions!$C$36</f>
        <v>207.67600000000002</v>
      </c>
      <c r="H44">
        <f>H24*Conversions!$C$32+Conversions!$C$33*'AHF '!H25+'AHF '!H26*Conversions!$C$34+'AHF '!H27*Conversions!$C$35+'AHF '!H28*Conversions!$C$36</f>
        <v>379.33600000000001</v>
      </c>
      <c r="I44">
        <f>I24*Conversions!$C$32+Conversions!$C$33*'AHF '!I25+'AHF '!I26*Conversions!$C$34+'AHF '!I27*Conversions!$C$35+'AHF '!I28*Conversions!$C$36</f>
        <v>435.76600000000002</v>
      </c>
      <c r="J44">
        <f>J24*Conversions!$C$32+Conversions!$C$33*'AHF '!J25+'AHF '!J26*Conversions!$C$34+'AHF '!J27*Conversions!$C$35+'AHF '!J28*Conversions!$C$36</f>
        <v>439.18599999999998</v>
      </c>
      <c r="K44">
        <f>K24*Conversions!$C$32+Conversions!$C$33*'AHF '!K25+'AHF '!K26*Conversions!$C$34+'AHF '!K27*Conversions!$C$35+'AHF '!K28*Conversions!$C$36</f>
        <v>583.99599999999987</v>
      </c>
      <c r="L44">
        <f>L24*Conversions!$C$32+Conversions!$C$33*'AHF '!L25+'AHF '!L26*Conversions!$C$34+'AHF '!L27*Conversions!$C$35+'AHF '!L28*Conversions!$C$36</f>
        <v>728.80599999999993</v>
      </c>
      <c r="M44">
        <f>M24*Conversions!$C$32+Conversions!$C$33*'AHF '!M25+'AHF '!M26*Conversions!$C$34+'AHF '!M27*Conversions!$C$35+'AHF '!M28*Conversions!$C$36</f>
        <v>1103.8809999999999</v>
      </c>
      <c r="N44">
        <f>N24*Conversions!$C$32+Conversions!$C$33*'AHF '!N25+'AHF '!N26*Conversions!$C$34+'AHF '!N27*Conversions!$C$35+'AHF '!N28*Conversions!$C$36</f>
        <v>1250.971</v>
      </c>
      <c r="O44">
        <f>O24*Conversions!$C$32+Conversions!$C$33*'AHF '!O25+'AHF '!O26*Conversions!$C$34+'AHF '!O27*Conversions!$C$35+'AHF '!O28*Conversions!$C$36</f>
        <v>1397.491</v>
      </c>
      <c r="P44">
        <f>P24*Conversions!$C$32+Conversions!$C$33*'AHF '!P25+'AHF '!P26*Conversions!$C$34+'AHF '!P27*Conversions!$C$35+'AHF '!P28*Conversions!$C$36</f>
        <v>1678.0735</v>
      </c>
      <c r="Q44">
        <f>Q24*Conversions!$C$32+Conversions!$C$33*'AHF '!Q25+'AHF '!Q26*Conversions!$C$34+'AHF '!Q27*Conversions!$C$35+'AHF '!Q28*Conversions!$C$36</f>
        <v>1825.1635000000003</v>
      </c>
    </row>
    <row r="46" spans="2:17" x14ac:dyDescent="0.2">
      <c r="B46" t="s">
        <v>220</v>
      </c>
      <c r="C46">
        <f>C18*Conversions!$C$42</f>
        <v>2.8536000000000001</v>
      </c>
      <c r="D46">
        <f>D18*Conversions!$C$42</f>
        <v>3.9904000000000002</v>
      </c>
      <c r="E46">
        <f>E18*Conversions!$C$42</f>
        <v>5.5796000000000001</v>
      </c>
      <c r="F46">
        <f>F18*Conversions!$C$42</f>
        <v>6.8556000000000008</v>
      </c>
      <c r="G46">
        <f>G18*Conversions!$C$42</f>
        <v>8.8160000000000007</v>
      </c>
      <c r="H46">
        <f>H18*Conversions!$C$42</f>
        <v>22.939</v>
      </c>
      <c r="I46">
        <f>I18*Conversions!$C$42</f>
        <v>26.448</v>
      </c>
      <c r="J46">
        <f>J18*Conversions!$C$42</f>
        <v>26.622</v>
      </c>
      <c r="K46">
        <f>K18*Conversions!$C$42</f>
        <v>40.658000000000001</v>
      </c>
      <c r="L46">
        <f>L18*Conversions!$C$42</f>
        <v>54.694000000000003</v>
      </c>
      <c r="M46">
        <f>M18*Conversions!$C$42</f>
        <v>83.592500000000001</v>
      </c>
      <c r="N46">
        <f>N18*Conversions!$C$42</f>
        <v>97.651700000000005</v>
      </c>
      <c r="O46">
        <f>O18*Conversions!$C$42</f>
        <v>111.7051</v>
      </c>
      <c r="P46">
        <f>P18*Conversions!$C$42</f>
        <v>139.69155000000001</v>
      </c>
      <c r="Q46">
        <f>Q18*Conversions!$C$42</f>
        <v>153.75075000000001</v>
      </c>
    </row>
    <row r="48" spans="2:17" hidden="1" x14ac:dyDescent="0.2">
      <c r="C48">
        <v>38.198</v>
      </c>
      <c r="D48">
        <v>51.308000000000007</v>
      </c>
      <c r="E48">
        <v>69.547999999999988</v>
      </c>
      <c r="F48">
        <v>83.797999999999988</v>
      </c>
      <c r="G48">
        <v>106.02800000000001</v>
      </c>
      <c r="H48">
        <v>253.37300000000002</v>
      </c>
      <c r="I48">
        <v>290.99299999999999</v>
      </c>
      <c r="J48">
        <v>293.27299999999997</v>
      </c>
      <c r="K48">
        <v>437.16799999999995</v>
      </c>
      <c r="L48">
        <v>581.06299999999999</v>
      </c>
      <c r="M48">
        <v>952.19299999999998</v>
      </c>
      <c r="N48">
        <v>1098.3679999999999</v>
      </c>
      <c r="O48">
        <v>1243.973</v>
      </c>
      <c r="P48">
        <v>1523.0405000000001</v>
      </c>
      <c r="Q48">
        <v>1669.2155000000002</v>
      </c>
    </row>
    <row r="49" spans="2:17" hidden="1" x14ac:dyDescent="0.2">
      <c r="C49">
        <f>C44/C48</f>
        <v>1.8853343106968949</v>
      </c>
      <c r="D49">
        <f t="shared" ref="D49:Q49" si="3">D44/D48</f>
        <v>1.9146331956030245</v>
      </c>
      <c r="E49">
        <f t="shared" si="3"/>
        <v>1.9370219129234489</v>
      </c>
      <c r="F49">
        <f t="shared" si="3"/>
        <v>1.9477314494379345</v>
      </c>
      <c r="G49">
        <f t="shared" si="3"/>
        <v>1.9586901573169353</v>
      </c>
      <c r="H49">
        <f t="shared" si="3"/>
        <v>1.4971445260544729</v>
      </c>
      <c r="I49">
        <f t="shared" si="3"/>
        <v>1.4975136858962244</v>
      </c>
      <c r="J49">
        <f t="shared" si="3"/>
        <v>1.497533015313377</v>
      </c>
      <c r="K49">
        <f t="shared" si="3"/>
        <v>1.3358617282143248</v>
      </c>
      <c r="L49">
        <f t="shared" si="3"/>
        <v>1.2542633070768574</v>
      </c>
      <c r="M49">
        <f t="shared" si="3"/>
        <v>1.15930383861255</v>
      </c>
      <c r="N49">
        <f t="shared" si="3"/>
        <v>1.1389361306957231</v>
      </c>
      <c r="O49">
        <f t="shared" si="3"/>
        <v>1.1234094309120857</v>
      </c>
      <c r="P49">
        <f t="shared" si="3"/>
        <v>1.1017917776973101</v>
      </c>
      <c r="Q49">
        <f t="shared" si="3"/>
        <v>1.0934259237348323</v>
      </c>
    </row>
    <row r="50" spans="2:17" x14ac:dyDescent="0.2">
      <c r="B50" t="s">
        <v>107</v>
      </c>
    </row>
    <row r="51" spans="2:17" x14ac:dyDescent="0.2">
      <c r="B51" t="s">
        <v>221</v>
      </c>
    </row>
    <row r="53" spans="2:17" x14ac:dyDescent="0.2">
      <c r="B53" t="s">
        <v>89</v>
      </c>
      <c r="C53">
        <v>5</v>
      </c>
      <c r="D53">
        <v>10</v>
      </c>
      <c r="E53">
        <v>20</v>
      </c>
      <c r="F53">
        <v>30</v>
      </c>
      <c r="G53">
        <v>50</v>
      </c>
      <c r="H53">
        <v>75</v>
      </c>
      <c r="I53">
        <v>100</v>
      </c>
      <c r="J53">
        <v>150</v>
      </c>
      <c r="K53">
        <v>200</v>
      </c>
      <c r="L53">
        <v>300</v>
      </c>
      <c r="M53">
        <v>400</v>
      </c>
      <c r="N53">
        <v>500</v>
      </c>
      <c r="O53">
        <v>600</v>
      </c>
      <c r="P53">
        <v>800</v>
      </c>
      <c r="Q53">
        <v>1000</v>
      </c>
    </row>
    <row r="54" spans="2:17" ht="15" x14ac:dyDescent="0.25">
      <c r="B54" s="1" t="s">
        <v>223</v>
      </c>
    </row>
    <row r="55" spans="2:17" x14ac:dyDescent="0.2">
      <c r="B55" t="s">
        <v>30</v>
      </c>
      <c r="C55">
        <v>8.9499999999999993</v>
      </c>
      <c r="D55">
        <v>15.8</v>
      </c>
      <c r="E55">
        <v>28</v>
      </c>
      <c r="F55">
        <v>40.799999999999997</v>
      </c>
      <c r="G55">
        <v>64.400000000000006</v>
      </c>
      <c r="H55">
        <v>106</v>
      </c>
      <c r="I55">
        <v>138</v>
      </c>
      <c r="J55">
        <v>192</v>
      </c>
      <c r="K55">
        <v>260</v>
      </c>
      <c r="L55">
        <v>383</v>
      </c>
      <c r="M55">
        <v>520</v>
      </c>
      <c r="N55">
        <v>643</v>
      </c>
      <c r="O55">
        <v>767</v>
      </c>
      <c r="P55">
        <v>906</v>
      </c>
      <c r="Q55">
        <v>1030</v>
      </c>
    </row>
    <row r="56" spans="2:17" x14ac:dyDescent="0.2">
      <c r="B56" t="s">
        <v>222</v>
      </c>
      <c r="C56">
        <v>47.5</v>
      </c>
      <c r="D56">
        <v>95.3</v>
      </c>
      <c r="E56">
        <v>183</v>
      </c>
      <c r="F56">
        <v>279</v>
      </c>
      <c r="G56">
        <v>461</v>
      </c>
      <c r="H56">
        <v>691</v>
      </c>
      <c r="I56">
        <v>930</v>
      </c>
      <c r="J56">
        <v>1380</v>
      </c>
      <c r="K56">
        <v>1840</v>
      </c>
      <c r="L56">
        <v>2770</v>
      </c>
      <c r="M56">
        <v>3680</v>
      </c>
      <c r="N56">
        <v>4610</v>
      </c>
      <c r="O56">
        <v>5540</v>
      </c>
      <c r="P56">
        <v>6470</v>
      </c>
      <c r="Q56">
        <v>7370</v>
      </c>
    </row>
    <row r="57" spans="2:17" x14ac:dyDescent="0.2">
      <c r="B57" t="s">
        <v>202</v>
      </c>
      <c r="C57">
        <v>51.3</v>
      </c>
      <c r="D57">
        <v>72.400000000000006</v>
      </c>
      <c r="E57">
        <v>102</v>
      </c>
      <c r="F57">
        <v>125</v>
      </c>
      <c r="G57">
        <v>160</v>
      </c>
      <c r="H57">
        <v>394</v>
      </c>
      <c r="I57">
        <v>454</v>
      </c>
      <c r="J57">
        <v>458</v>
      </c>
      <c r="K57">
        <v>687</v>
      </c>
      <c r="L57">
        <v>916</v>
      </c>
      <c r="M57">
        <v>1370</v>
      </c>
      <c r="N57">
        <v>1600</v>
      </c>
      <c r="O57">
        <v>1830</v>
      </c>
      <c r="P57">
        <v>2290</v>
      </c>
      <c r="Q57">
        <v>2520</v>
      </c>
    </row>
    <row r="58" spans="2:17" x14ac:dyDescent="0.2">
      <c r="B58" t="s">
        <v>55</v>
      </c>
      <c r="C58">
        <v>112</v>
      </c>
      <c r="D58">
        <v>135</v>
      </c>
      <c r="E58">
        <v>216</v>
      </c>
      <c r="F58">
        <v>291</v>
      </c>
      <c r="G58">
        <v>433</v>
      </c>
      <c r="H58">
        <v>753</v>
      </c>
      <c r="I58">
        <v>938</v>
      </c>
      <c r="J58">
        <v>1240</v>
      </c>
      <c r="K58">
        <v>1710</v>
      </c>
      <c r="L58">
        <v>2480</v>
      </c>
      <c r="M58">
        <v>3420</v>
      </c>
      <c r="N58">
        <v>4180</v>
      </c>
      <c r="O58">
        <v>5150</v>
      </c>
      <c r="P58">
        <v>6130</v>
      </c>
      <c r="Q58">
        <v>6920</v>
      </c>
    </row>
    <row r="59" spans="2:17" x14ac:dyDescent="0.2">
      <c r="B59" t="s">
        <v>238</v>
      </c>
      <c r="C59">
        <v>127</v>
      </c>
      <c r="D59">
        <v>158</v>
      </c>
      <c r="E59">
        <v>264</v>
      </c>
      <c r="F59">
        <v>361</v>
      </c>
      <c r="G59">
        <v>549</v>
      </c>
      <c r="H59">
        <v>948</v>
      </c>
      <c r="I59">
        <v>1190</v>
      </c>
      <c r="J59">
        <v>1580</v>
      </c>
      <c r="K59">
        <v>2180</v>
      </c>
      <c r="L59">
        <v>3160</v>
      </c>
      <c r="M59">
        <v>4350</v>
      </c>
      <c r="N59">
        <v>5330</v>
      </c>
      <c r="O59">
        <v>6320</v>
      </c>
      <c r="P59">
        <v>7510</v>
      </c>
      <c r="Q59">
        <v>8490</v>
      </c>
    </row>
    <row r="60" spans="2:17" x14ac:dyDescent="0.2">
      <c r="B60" t="s">
        <v>146</v>
      </c>
      <c r="C60">
        <v>52.3</v>
      </c>
      <c r="D60">
        <v>71.599999999999994</v>
      </c>
      <c r="E60">
        <v>109</v>
      </c>
      <c r="F60">
        <v>128</v>
      </c>
      <c r="G60">
        <v>166</v>
      </c>
      <c r="H60">
        <v>407</v>
      </c>
      <c r="I60">
        <v>466</v>
      </c>
      <c r="J60">
        <v>479</v>
      </c>
      <c r="K60">
        <v>721</v>
      </c>
      <c r="L60">
        <v>962</v>
      </c>
      <c r="M60">
        <v>1440</v>
      </c>
      <c r="N60">
        <v>1680</v>
      </c>
      <c r="O60">
        <v>2070</v>
      </c>
      <c r="P60">
        <v>2560</v>
      </c>
      <c r="Q60">
        <v>2830</v>
      </c>
    </row>
    <row r="61" spans="2:17" x14ac:dyDescent="0.2">
      <c r="B61" t="s">
        <v>133</v>
      </c>
      <c r="C61">
        <v>21</v>
      </c>
      <c r="D61">
        <v>31.5</v>
      </c>
      <c r="E61">
        <v>53.6</v>
      </c>
      <c r="F61">
        <v>53.6</v>
      </c>
      <c r="G61">
        <f>F61</f>
        <v>53.6</v>
      </c>
      <c r="H61">
        <f>G61</f>
        <v>53.6</v>
      </c>
      <c r="I61">
        <f>H61</f>
        <v>53.6</v>
      </c>
      <c r="J61">
        <v>89.3</v>
      </c>
      <c r="K61">
        <f>J61</f>
        <v>89.3</v>
      </c>
      <c r="L61">
        <f>K61</f>
        <v>89.3</v>
      </c>
      <c r="M61">
        <f>L61</f>
        <v>89.3</v>
      </c>
      <c r="N61">
        <f>M61</f>
        <v>89.3</v>
      </c>
      <c r="O61">
        <v>125</v>
      </c>
      <c r="P61">
        <v>158</v>
      </c>
      <c r="Q61">
        <v>158</v>
      </c>
    </row>
    <row r="62" spans="2:17" hidden="1" x14ac:dyDescent="0.2">
      <c r="B62" t="s">
        <v>207</v>
      </c>
      <c r="C62">
        <v>203</v>
      </c>
      <c r="D62">
        <v>273</v>
      </c>
      <c r="E62">
        <v>369</v>
      </c>
      <c r="F62">
        <v>445</v>
      </c>
      <c r="G62">
        <v>563</v>
      </c>
      <c r="H62">
        <v>1340</v>
      </c>
      <c r="I62">
        <v>1550</v>
      </c>
      <c r="J62">
        <v>1560</v>
      </c>
      <c r="K62">
        <v>2320</v>
      </c>
      <c r="L62">
        <v>3090</v>
      </c>
      <c r="M62">
        <v>5060</v>
      </c>
      <c r="N62">
        <v>5830</v>
      </c>
    </row>
    <row r="63" spans="2:17" x14ac:dyDescent="0.2">
      <c r="B63" t="s">
        <v>207</v>
      </c>
      <c r="C63">
        <f>ROUND(C62*C49,0)</f>
        <v>383</v>
      </c>
      <c r="D63">
        <f t="shared" ref="D63:M63" si="4">ROUND(D62*D49,0)</f>
        <v>523</v>
      </c>
      <c r="E63">
        <f t="shared" si="4"/>
        <v>715</v>
      </c>
      <c r="F63">
        <f t="shared" si="4"/>
        <v>867</v>
      </c>
      <c r="G63">
        <f t="shared" si="4"/>
        <v>1103</v>
      </c>
      <c r="H63">
        <f t="shared" si="4"/>
        <v>2006</v>
      </c>
      <c r="I63">
        <f t="shared" si="4"/>
        <v>2321</v>
      </c>
      <c r="J63">
        <f t="shared" si="4"/>
        <v>2336</v>
      </c>
      <c r="K63">
        <f t="shared" si="4"/>
        <v>3099</v>
      </c>
      <c r="L63">
        <f t="shared" si="4"/>
        <v>3876</v>
      </c>
      <c r="M63">
        <f t="shared" si="4"/>
        <v>5866</v>
      </c>
      <c r="N63">
        <f>ROUND(N62*N49,0)</f>
        <v>6640</v>
      </c>
      <c r="O63">
        <v>7440</v>
      </c>
      <c r="P63">
        <v>8920</v>
      </c>
      <c r="Q63">
        <v>9700</v>
      </c>
    </row>
    <row r="64" spans="2:17" x14ac:dyDescent="0.2">
      <c r="B64" t="s">
        <v>220</v>
      </c>
      <c r="C64">
        <v>7.56</v>
      </c>
      <c r="D64">
        <v>10.6</v>
      </c>
      <c r="E64">
        <v>14.8</v>
      </c>
      <c r="F64">
        <v>18.3</v>
      </c>
      <c r="G64">
        <v>23.6</v>
      </c>
      <c r="H64">
        <v>60.6</v>
      </c>
      <c r="I64">
        <v>70</v>
      </c>
      <c r="J64">
        <v>71.099999999999994</v>
      </c>
      <c r="K64">
        <v>108</v>
      </c>
      <c r="L64">
        <v>146</v>
      </c>
      <c r="M64">
        <v>223</v>
      </c>
      <c r="N64">
        <v>260</v>
      </c>
      <c r="O64">
        <v>298</v>
      </c>
      <c r="P64">
        <v>373</v>
      </c>
      <c r="Q64">
        <v>411</v>
      </c>
    </row>
    <row r="66" spans="1:17" ht="15" x14ac:dyDescent="0.25">
      <c r="B66" s="1" t="s">
        <v>225</v>
      </c>
      <c r="C66">
        <f t="shared" ref="C66:M66" si="5">SUM(C55:C61)+SUM(C63:C64)</f>
        <v>810.61</v>
      </c>
      <c r="D66">
        <f t="shared" si="5"/>
        <v>1113.2</v>
      </c>
      <c r="E66">
        <f t="shared" si="5"/>
        <v>1685.4</v>
      </c>
      <c r="F66">
        <f t="shared" si="5"/>
        <v>2163.6999999999998</v>
      </c>
      <c r="G66">
        <f t="shared" si="5"/>
        <v>3013.6</v>
      </c>
      <c r="H66">
        <f t="shared" si="5"/>
        <v>5419.2</v>
      </c>
      <c r="I66">
        <f t="shared" si="5"/>
        <v>6560.6</v>
      </c>
      <c r="J66">
        <f t="shared" si="5"/>
        <v>7825.4</v>
      </c>
      <c r="K66">
        <f t="shared" si="5"/>
        <v>10694.3</v>
      </c>
      <c r="L66">
        <f t="shared" si="5"/>
        <v>14782.3</v>
      </c>
      <c r="M66">
        <f t="shared" si="5"/>
        <v>20958.3</v>
      </c>
      <c r="N66">
        <f>SUM(N55:N61)+SUM(N63:N64)</f>
        <v>25032.3</v>
      </c>
      <c r="O66">
        <f>SUM(O55:O64)</f>
        <v>29540</v>
      </c>
      <c r="P66">
        <f>SUM(P55:P64)</f>
        <v>35317</v>
      </c>
      <c r="Q66">
        <f>SUM(Q55:Q64)</f>
        <v>39429</v>
      </c>
    </row>
    <row r="68" spans="1:17" hidden="1" x14ac:dyDescent="0.2">
      <c r="A68" t="s">
        <v>227</v>
      </c>
      <c r="B68" t="s">
        <v>226</v>
      </c>
      <c r="C68">
        <v>629</v>
      </c>
      <c r="D68">
        <v>861</v>
      </c>
      <c r="E68">
        <v>1340</v>
      </c>
      <c r="F68">
        <v>1740</v>
      </c>
      <c r="G68">
        <v>2470</v>
      </c>
      <c r="H68">
        <v>4750</v>
      </c>
      <c r="I68">
        <v>5780</v>
      </c>
      <c r="J68">
        <v>7040</v>
      </c>
      <c r="K68">
        <v>9900</v>
      </c>
      <c r="L68">
        <v>14000</v>
      </c>
      <c r="M68">
        <v>20100</v>
      </c>
      <c r="N68">
        <v>24200</v>
      </c>
    </row>
    <row r="69" spans="1:17" x14ac:dyDescent="0.2">
      <c r="B69" t="s">
        <v>298</v>
      </c>
      <c r="O69">
        <v>29100</v>
      </c>
      <c r="P69">
        <v>34800</v>
      </c>
      <c r="Q69">
        <v>38800</v>
      </c>
    </row>
    <row r="72" spans="1:17" x14ac:dyDescent="0.2">
      <c r="C72">
        <v>810.61</v>
      </c>
      <c r="D72">
        <v>1113.2</v>
      </c>
      <c r="E72">
        <v>1685.4</v>
      </c>
      <c r="F72">
        <v>2163.6999999999998</v>
      </c>
      <c r="G72">
        <v>3013.6</v>
      </c>
      <c r="H72">
        <v>5419.2</v>
      </c>
      <c r="I72">
        <v>6560.6</v>
      </c>
      <c r="J72">
        <v>7825.4</v>
      </c>
      <c r="K72">
        <v>10694.3</v>
      </c>
      <c r="L72">
        <v>14782.3</v>
      </c>
      <c r="M72">
        <v>20958.3</v>
      </c>
      <c r="N72">
        <v>25032.3</v>
      </c>
      <c r="O72">
        <v>29100</v>
      </c>
      <c r="P72">
        <v>34800</v>
      </c>
      <c r="Q72">
        <v>38800</v>
      </c>
    </row>
    <row r="75" spans="1:17" x14ac:dyDescent="0.2">
      <c r="C75" t="s">
        <v>228</v>
      </c>
      <c r="D75" t="s">
        <v>229</v>
      </c>
      <c r="E75" t="s">
        <v>230</v>
      </c>
      <c r="F75" t="s">
        <v>231</v>
      </c>
      <c r="G75" t="s">
        <v>232</v>
      </c>
      <c r="H75" t="s">
        <v>233</v>
      </c>
      <c r="I75" t="s">
        <v>234</v>
      </c>
      <c r="J75" t="s">
        <v>235</v>
      </c>
      <c r="K75" t="s">
        <v>240</v>
      </c>
      <c r="L75" t="s">
        <v>241</v>
      </c>
      <c r="M75" t="s">
        <v>242</v>
      </c>
      <c r="N75" t="s">
        <v>243</v>
      </c>
      <c r="O75" t="s">
        <v>299</v>
      </c>
      <c r="P75" t="s">
        <v>300</v>
      </c>
      <c r="Q75" t="s">
        <v>301</v>
      </c>
    </row>
    <row r="76" spans="1:17" x14ac:dyDescent="0.2">
      <c r="B76" t="s">
        <v>30</v>
      </c>
      <c r="C76">
        <f t="shared" ref="C76:Q76" si="6">C55</f>
        <v>8.9499999999999993</v>
      </c>
      <c r="D76">
        <f t="shared" si="6"/>
        <v>15.8</v>
      </c>
      <c r="E76">
        <f t="shared" si="6"/>
        <v>28</v>
      </c>
      <c r="F76">
        <f t="shared" si="6"/>
        <v>40.799999999999997</v>
      </c>
      <c r="G76">
        <f t="shared" si="6"/>
        <v>64.400000000000006</v>
      </c>
      <c r="H76">
        <f t="shared" si="6"/>
        <v>106</v>
      </c>
      <c r="I76">
        <f t="shared" si="6"/>
        <v>138</v>
      </c>
      <c r="J76">
        <f t="shared" si="6"/>
        <v>192</v>
      </c>
      <c r="K76">
        <f t="shared" si="6"/>
        <v>260</v>
      </c>
      <c r="L76">
        <f t="shared" si="6"/>
        <v>383</v>
      </c>
      <c r="M76">
        <f t="shared" si="6"/>
        <v>520</v>
      </c>
      <c r="N76">
        <f t="shared" si="6"/>
        <v>643</v>
      </c>
      <c r="O76">
        <f t="shared" si="6"/>
        <v>767</v>
      </c>
      <c r="P76">
        <f t="shared" si="6"/>
        <v>906</v>
      </c>
      <c r="Q76">
        <f t="shared" si="6"/>
        <v>1030</v>
      </c>
    </row>
    <row r="77" spans="1:17" x14ac:dyDescent="0.2">
      <c r="B77" t="s">
        <v>222</v>
      </c>
      <c r="C77">
        <f t="shared" ref="C77:Q77" si="7">C56</f>
        <v>47.5</v>
      </c>
      <c r="D77">
        <f t="shared" si="7"/>
        <v>95.3</v>
      </c>
      <c r="E77">
        <f t="shared" si="7"/>
        <v>183</v>
      </c>
      <c r="F77">
        <f t="shared" si="7"/>
        <v>279</v>
      </c>
      <c r="G77">
        <f t="shared" si="7"/>
        <v>461</v>
      </c>
      <c r="H77">
        <f t="shared" si="7"/>
        <v>691</v>
      </c>
      <c r="I77">
        <f t="shared" si="7"/>
        <v>930</v>
      </c>
      <c r="J77">
        <f t="shared" si="7"/>
        <v>1380</v>
      </c>
      <c r="K77">
        <f t="shared" si="7"/>
        <v>1840</v>
      </c>
      <c r="L77">
        <f t="shared" si="7"/>
        <v>2770</v>
      </c>
      <c r="M77">
        <f t="shared" si="7"/>
        <v>3680</v>
      </c>
      <c r="N77">
        <f t="shared" si="7"/>
        <v>4610</v>
      </c>
      <c r="O77">
        <f t="shared" si="7"/>
        <v>5540</v>
      </c>
      <c r="P77">
        <f t="shared" si="7"/>
        <v>6470</v>
      </c>
      <c r="Q77">
        <f t="shared" si="7"/>
        <v>7370</v>
      </c>
    </row>
    <row r="78" spans="1:17" x14ac:dyDescent="0.2">
      <c r="B78" t="s">
        <v>202</v>
      </c>
      <c r="C78">
        <f t="shared" ref="C78:Q78" si="8">C57</f>
        <v>51.3</v>
      </c>
      <c r="D78">
        <f t="shared" si="8"/>
        <v>72.400000000000006</v>
      </c>
      <c r="E78">
        <f t="shared" si="8"/>
        <v>102</v>
      </c>
      <c r="F78">
        <f t="shared" si="8"/>
        <v>125</v>
      </c>
      <c r="G78">
        <f t="shared" si="8"/>
        <v>160</v>
      </c>
      <c r="H78">
        <f t="shared" si="8"/>
        <v>394</v>
      </c>
      <c r="I78">
        <f t="shared" si="8"/>
        <v>454</v>
      </c>
      <c r="J78">
        <f t="shared" si="8"/>
        <v>458</v>
      </c>
      <c r="K78">
        <f t="shared" si="8"/>
        <v>687</v>
      </c>
      <c r="L78">
        <f t="shared" si="8"/>
        <v>916</v>
      </c>
      <c r="M78">
        <f t="shared" si="8"/>
        <v>1370</v>
      </c>
      <c r="N78">
        <f t="shared" si="8"/>
        <v>1600</v>
      </c>
      <c r="O78">
        <f t="shared" si="8"/>
        <v>1830</v>
      </c>
      <c r="P78">
        <f t="shared" si="8"/>
        <v>2290</v>
      </c>
      <c r="Q78">
        <f t="shared" si="8"/>
        <v>2520</v>
      </c>
    </row>
    <row r="79" spans="1:17" x14ac:dyDescent="0.2">
      <c r="B79" t="s">
        <v>55</v>
      </c>
      <c r="C79">
        <f t="shared" ref="C79:Q79" si="9">C58</f>
        <v>112</v>
      </c>
      <c r="D79">
        <f t="shared" si="9"/>
        <v>135</v>
      </c>
      <c r="E79">
        <f t="shared" si="9"/>
        <v>216</v>
      </c>
      <c r="F79">
        <f t="shared" si="9"/>
        <v>291</v>
      </c>
      <c r="G79">
        <f t="shared" si="9"/>
        <v>433</v>
      </c>
      <c r="H79">
        <f t="shared" si="9"/>
        <v>753</v>
      </c>
      <c r="I79">
        <f t="shared" si="9"/>
        <v>938</v>
      </c>
      <c r="J79">
        <f t="shared" si="9"/>
        <v>1240</v>
      </c>
      <c r="K79">
        <f t="shared" si="9"/>
        <v>1710</v>
      </c>
      <c r="L79">
        <f t="shared" si="9"/>
        <v>2480</v>
      </c>
      <c r="M79">
        <f t="shared" si="9"/>
        <v>3420</v>
      </c>
      <c r="N79">
        <f t="shared" si="9"/>
        <v>4180</v>
      </c>
      <c r="O79">
        <f t="shared" si="9"/>
        <v>5150</v>
      </c>
      <c r="P79">
        <f t="shared" si="9"/>
        <v>6130</v>
      </c>
      <c r="Q79">
        <f t="shared" si="9"/>
        <v>6920</v>
      </c>
    </row>
    <row r="80" spans="1:17" x14ac:dyDescent="0.2">
      <c r="B80" t="s">
        <v>238</v>
      </c>
      <c r="C80">
        <f t="shared" ref="C80:Q80" si="10">C59</f>
        <v>127</v>
      </c>
      <c r="D80">
        <f t="shared" si="10"/>
        <v>158</v>
      </c>
      <c r="E80">
        <f t="shared" si="10"/>
        <v>264</v>
      </c>
      <c r="F80">
        <f t="shared" si="10"/>
        <v>361</v>
      </c>
      <c r="G80">
        <f t="shared" si="10"/>
        <v>549</v>
      </c>
      <c r="H80">
        <f t="shared" si="10"/>
        <v>948</v>
      </c>
      <c r="I80">
        <f t="shared" si="10"/>
        <v>1190</v>
      </c>
      <c r="J80">
        <f t="shared" si="10"/>
        <v>1580</v>
      </c>
      <c r="K80">
        <f t="shared" si="10"/>
        <v>2180</v>
      </c>
      <c r="L80">
        <f t="shared" si="10"/>
        <v>3160</v>
      </c>
      <c r="M80">
        <f t="shared" si="10"/>
        <v>4350</v>
      </c>
      <c r="N80">
        <f t="shared" si="10"/>
        <v>5330</v>
      </c>
      <c r="O80">
        <f t="shared" si="10"/>
        <v>6320</v>
      </c>
      <c r="P80">
        <f t="shared" si="10"/>
        <v>7510</v>
      </c>
      <c r="Q80">
        <f t="shared" si="10"/>
        <v>8490</v>
      </c>
    </row>
    <row r="81" spans="1:33" x14ac:dyDescent="0.2">
      <c r="B81" t="s">
        <v>146</v>
      </c>
      <c r="C81">
        <f t="shared" ref="C81:Q81" si="11">C60</f>
        <v>52.3</v>
      </c>
      <c r="D81">
        <f t="shared" si="11"/>
        <v>71.599999999999994</v>
      </c>
      <c r="E81">
        <f t="shared" si="11"/>
        <v>109</v>
      </c>
      <c r="F81">
        <f t="shared" si="11"/>
        <v>128</v>
      </c>
      <c r="G81">
        <f t="shared" si="11"/>
        <v>166</v>
      </c>
      <c r="H81">
        <f t="shared" si="11"/>
        <v>407</v>
      </c>
      <c r="I81">
        <f t="shared" si="11"/>
        <v>466</v>
      </c>
      <c r="J81">
        <f t="shared" si="11"/>
        <v>479</v>
      </c>
      <c r="K81">
        <f t="shared" si="11"/>
        <v>721</v>
      </c>
      <c r="L81">
        <f t="shared" si="11"/>
        <v>962</v>
      </c>
      <c r="M81">
        <f t="shared" si="11"/>
        <v>1440</v>
      </c>
      <c r="N81">
        <f t="shared" si="11"/>
        <v>1680</v>
      </c>
      <c r="O81">
        <f t="shared" si="11"/>
        <v>2070</v>
      </c>
      <c r="P81">
        <f t="shared" si="11"/>
        <v>2560</v>
      </c>
      <c r="Q81">
        <f t="shared" si="11"/>
        <v>2830</v>
      </c>
    </row>
    <row r="82" spans="1:33" x14ac:dyDescent="0.2">
      <c r="B82" t="s">
        <v>133</v>
      </c>
      <c r="C82">
        <f t="shared" ref="C82:Q82" si="12">C61</f>
        <v>21</v>
      </c>
      <c r="D82">
        <f t="shared" si="12"/>
        <v>31.5</v>
      </c>
      <c r="E82">
        <f t="shared" si="12"/>
        <v>53.6</v>
      </c>
      <c r="F82">
        <f t="shared" si="12"/>
        <v>53.6</v>
      </c>
      <c r="G82">
        <f t="shared" si="12"/>
        <v>53.6</v>
      </c>
      <c r="H82">
        <f t="shared" si="12"/>
        <v>53.6</v>
      </c>
      <c r="I82">
        <f t="shared" si="12"/>
        <v>53.6</v>
      </c>
      <c r="J82">
        <f t="shared" si="12"/>
        <v>89.3</v>
      </c>
      <c r="K82">
        <f t="shared" si="12"/>
        <v>89.3</v>
      </c>
      <c r="L82">
        <f t="shared" si="12"/>
        <v>89.3</v>
      </c>
      <c r="M82">
        <f t="shared" si="12"/>
        <v>89.3</v>
      </c>
      <c r="N82">
        <f t="shared" si="12"/>
        <v>89.3</v>
      </c>
      <c r="O82">
        <f t="shared" si="12"/>
        <v>125</v>
      </c>
      <c r="P82">
        <f t="shared" si="12"/>
        <v>158</v>
      </c>
      <c r="Q82">
        <f t="shared" si="12"/>
        <v>158</v>
      </c>
    </row>
    <row r="83" spans="1:33" x14ac:dyDescent="0.2">
      <c r="B83" t="s">
        <v>207</v>
      </c>
      <c r="C83">
        <f t="shared" ref="C83:Q83" si="13">C63</f>
        <v>383</v>
      </c>
      <c r="D83">
        <f t="shared" si="13"/>
        <v>523</v>
      </c>
      <c r="E83">
        <f t="shared" si="13"/>
        <v>715</v>
      </c>
      <c r="F83">
        <f t="shared" si="13"/>
        <v>867</v>
      </c>
      <c r="G83">
        <f t="shared" si="13"/>
        <v>1103</v>
      </c>
      <c r="H83">
        <f t="shared" si="13"/>
        <v>2006</v>
      </c>
      <c r="I83">
        <f t="shared" si="13"/>
        <v>2321</v>
      </c>
      <c r="J83">
        <f t="shared" si="13"/>
        <v>2336</v>
      </c>
      <c r="K83">
        <f t="shared" si="13"/>
        <v>3099</v>
      </c>
      <c r="L83">
        <f t="shared" si="13"/>
        <v>3876</v>
      </c>
      <c r="M83">
        <f t="shared" si="13"/>
        <v>5866</v>
      </c>
      <c r="N83">
        <f t="shared" si="13"/>
        <v>6640</v>
      </c>
      <c r="O83">
        <f t="shared" si="13"/>
        <v>7440</v>
      </c>
      <c r="P83">
        <f t="shared" si="13"/>
        <v>8920</v>
      </c>
      <c r="Q83">
        <f t="shared" si="13"/>
        <v>9700</v>
      </c>
    </row>
    <row r="84" spans="1:33" x14ac:dyDescent="0.2">
      <c r="B84" t="s">
        <v>220</v>
      </c>
      <c r="C84">
        <f t="shared" ref="C84:Q84" si="14">C64</f>
        <v>7.56</v>
      </c>
      <c r="D84">
        <f t="shared" si="14"/>
        <v>10.6</v>
      </c>
      <c r="E84">
        <f t="shared" si="14"/>
        <v>14.8</v>
      </c>
      <c r="F84">
        <f t="shared" si="14"/>
        <v>18.3</v>
      </c>
      <c r="G84">
        <f t="shared" si="14"/>
        <v>23.6</v>
      </c>
      <c r="H84">
        <f t="shared" si="14"/>
        <v>60.6</v>
      </c>
      <c r="I84">
        <f t="shared" si="14"/>
        <v>70</v>
      </c>
      <c r="J84">
        <f t="shared" si="14"/>
        <v>71.099999999999994</v>
      </c>
      <c r="K84">
        <f t="shared" si="14"/>
        <v>108</v>
      </c>
      <c r="L84">
        <f t="shared" si="14"/>
        <v>146</v>
      </c>
      <c r="M84">
        <f t="shared" si="14"/>
        <v>223</v>
      </c>
      <c r="N84">
        <f t="shared" si="14"/>
        <v>260</v>
      </c>
      <c r="O84">
        <f t="shared" si="14"/>
        <v>298</v>
      </c>
      <c r="P84">
        <f t="shared" si="14"/>
        <v>373</v>
      </c>
      <c r="Q84">
        <f t="shared" si="14"/>
        <v>411</v>
      </c>
    </row>
    <row r="87" spans="1:33" x14ac:dyDescent="0.2">
      <c r="C87" t="s">
        <v>228</v>
      </c>
      <c r="D87" t="s">
        <v>229</v>
      </c>
      <c r="E87" t="s">
        <v>230</v>
      </c>
      <c r="F87" t="s">
        <v>231</v>
      </c>
      <c r="G87" t="s">
        <v>232</v>
      </c>
      <c r="H87" t="s">
        <v>233</v>
      </c>
      <c r="I87" t="s">
        <v>234</v>
      </c>
      <c r="J87" t="s">
        <v>235</v>
      </c>
      <c r="K87" t="s">
        <v>240</v>
      </c>
      <c r="L87" t="s">
        <v>241</v>
      </c>
      <c r="M87" t="s">
        <v>242</v>
      </c>
      <c r="N87" t="s">
        <v>243</v>
      </c>
      <c r="O87" t="str">
        <f t="shared" ref="O87:Q88" si="15">O75</f>
        <v>PE=600</v>
      </c>
      <c r="P87" t="str">
        <f t="shared" si="15"/>
        <v>PE=800</v>
      </c>
      <c r="Q87" t="str">
        <f t="shared" si="15"/>
        <v>PE=1000</v>
      </c>
      <c r="S87" t="s">
        <v>228</v>
      </c>
      <c r="T87" t="s">
        <v>229</v>
      </c>
      <c r="U87" t="s">
        <v>230</v>
      </c>
      <c r="V87" t="s">
        <v>231</v>
      </c>
      <c r="W87" t="s">
        <v>232</v>
      </c>
      <c r="X87" t="s">
        <v>233</v>
      </c>
      <c r="Y87" t="s">
        <v>234</v>
      </c>
      <c r="Z87" t="s">
        <v>235</v>
      </c>
      <c r="AA87" t="s">
        <v>240</v>
      </c>
      <c r="AB87" t="s">
        <v>241</v>
      </c>
      <c r="AC87" t="s">
        <v>242</v>
      </c>
      <c r="AD87" t="s">
        <v>243</v>
      </c>
      <c r="AE87">
        <f>AE75</f>
        <v>0</v>
      </c>
      <c r="AF87">
        <f>AF75</f>
        <v>0</v>
      </c>
      <c r="AG87">
        <f>AG75</f>
        <v>0</v>
      </c>
    </row>
    <row r="88" spans="1:33" x14ac:dyDescent="0.2">
      <c r="B88" t="s">
        <v>30</v>
      </c>
      <c r="C88">
        <f t="shared" ref="C88:N88" si="16">C76</f>
        <v>8.9499999999999993</v>
      </c>
      <c r="D88">
        <f t="shared" si="16"/>
        <v>15.8</v>
      </c>
      <c r="E88">
        <f t="shared" si="16"/>
        <v>28</v>
      </c>
      <c r="F88">
        <f t="shared" si="16"/>
        <v>40.799999999999997</v>
      </c>
      <c r="G88">
        <f t="shared" si="16"/>
        <v>64.400000000000006</v>
      </c>
      <c r="H88">
        <f t="shared" si="16"/>
        <v>106</v>
      </c>
      <c r="I88">
        <f t="shared" si="16"/>
        <v>138</v>
      </c>
      <c r="J88">
        <f t="shared" si="16"/>
        <v>192</v>
      </c>
      <c r="K88">
        <f t="shared" si="16"/>
        <v>260</v>
      </c>
      <c r="L88">
        <f t="shared" si="16"/>
        <v>383</v>
      </c>
      <c r="M88">
        <f t="shared" si="16"/>
        <v>520</v>
      </c>
      <c r="N88">
        <f t="shared" si="16"/>
        <v>643</v>
      </c>
      <c r="O88">
        <f t="shared" si="15"/>
        <v>767</v>
      </c>
      <c r="P88">
        <f t="shared" si="15"/>
        <v>906</v>
      </c>
      <c r="Q88">
        <f t="shared" si="15"/>
        <v>1030</v>
      </c>
      <c r="S88">
        <f>(C88/C$94)*100</f>
        <v>1.1041067837801164</v>
      </c>
      <c r="T88">
        <f t="shared" ref="T88:AC92" si="17">(D88/D$94)*100</f>
        <v>1.4193316564858067</v>
      </c>
      <c r="U88">
        <f t="shared" si="17"/>
        <v>1.6613266880265813</v>
      </c>
      <c r="V88">
        <f t="shared" si="17"/>
        <v>1.8856588251606046</v>
      </c>
      <c r="W88">
        <f t="shared" si="17"/>
        <v>2.136979028404566</v>
      </c>
      <c r="X88">
        <f t="shared" si="17"/>
        <v>1.9560082669028638</v>
      </c>
      <c r="Y88">
        <f t="shared" si="17"/>
        <v>2.1034661463890494</v>
      </c>
      <c r="Z88">
        <f t="shared" si="17"/>
        <v>2.4535487003859227</v>
      </c>
      <c r="AA88">
        <f t="shared" si="17"/>
        <v>2.4312016681783755</v>
      </c>
      <c r="AB88">
        <f t="shared" si="17"/>
        <v>2.5909364577907366</v>
      </c>
      <c r="AC88">
        <f t="shared" si="17"/>
        <v>2.4811172661904832</v>
      </c>
      <c r="AD88">
        <f t="shared" ref="AD88:AD92" si="18">(N88/N$94)*100</f>
        <v>2.5686812638071612</v>
      </c>
      <c r="AE88">
        <f t="shared" ref="AE88:AE92" si="19">(O88/O$94)*100</f>
        <v>2.5964793500338526</v>
      </c>
      <c r="AF88">
        <f t="shared" ref="AF88:AF92" si="20">(P88/P$94)*100</f>
        <v>2.5653368066370303</v>
      </c>
      <c r="AG88">
        <f t="shared" ref="AG88:AG92" si="21">(Q88/Q$94)*100</f>
        <v>2.6122904461183394</v>
      </c>
    </row>
    <row r="89" spans="1:33" x14ac:dyDescent="0.2">
      <c r="B89" t="s">
        <v>81</v>
      </c>
      <c r="C89">
        <f t="shared" ref="C89:Q89" si="22">C77+C78+C81</f>
        <v>151.1</v>
      </c>
      <c r="D89">
        <f t="shared" si="22"/>
        <v>239.29999999999998</v>
      </c>
      <c r="E89">
        <f t="shared" si="22"/>
        <v>394</v>
      </c>
      <c r="F89">
        <f t="shared" si="22"/>
        <v>532</v>
      </c>
      <c r="G89">
        <f t="shared" si="22"/>
        <v>787</v>
      </c>
      <c r="H89">
        <f t="shared" si="22"/>
        <v>1492</v>
      </c>
      <c r="I89">
        <f t="shared" si="22"/>
        <v>1850</v>
      </c>
      <c r="J89">
        <f t="shared" si="22"/>
        <v>2317</v>
      </c>
      <c r="K89">
        <f t="shared" si="22"/>
        <v>3248</v>
      </c>
      <c r="L89">
        <f t="shared" si="22"/>
        <v>4648</v>
      </c>
      <c r="M89">
        <f t="shared" si="22"/>
        <v>6490</v>
      </c>
      <c r="N89">
        <f t="shared" si="22"/>
        <v>7890</v>
      </c>
      <c r="O89">
        <f t="shared" si="22"/>
        <v>9440</v>
      </c>
      <c r="P89">
        <f t="shared" si="22"/>
        <v>11320</v>
      </c>
      <c r="Q89">
        <f t="shared" si="22"/>
        <v>12720</v>
      </c>
      <c r="S89">
        <f t="shared" ref="S89:S92" si="23">(C89/C$94)*100</f>
        <v>18.640283243483307</v>
      </c>
      <c r="T89">
        <f t="shared" si="17"/>
        <v>21.496586417535031</v>
      </c>
      <c r="U89">
        <f t="shared" si="17"/>
        <v>23.377239824374037</v>
      </c>
      <c r="V89">
        <f t="shared" si="17"/>
        <v>24.587512131996121</v>
      </c>
      <c r="W89">
        <f t="shared" si="17"/>
        <v>26.114945580037162</v>
      </c>
      <c r="X89">
        <f t="shared" si="17"/>
        <v>27.531739002066725</v>
      </c>
      <c r="Y89">
        <f t="shared" si="17"/>
        <v>28.198640368258999</v>
      </c>
      <c r="Z89">
        <f t="shared" si="17"/>
        <v>29.60871009788637</v>
      </c>
      <c r="AA89">
        <f t="shared" si="17"/>
        <v>30.371319300936015</v>
      </c>
      <c r="AB89">
        <f t="shared" si="17"/>
        <v>31.443009545199331</v>
      </c>
      <c r="AC89">
        <f t="shared" si="17"/>
        <v>30.966252033800451</v>
      </c>
      <c r="AD89">
        <f t="shared" si="18"/>
        <v>31.519277093994557</v>
      </c>
      <c r="AE89">
        <f t="shared" si="19"/>
        <v>31.95666892349357</v>
      </c>
      <c r="AF89">
        <f t="shared" si="20"/>
        <v>32.052552595067532</v>
      </c>
      <c r="AG89">
        <f t="shared" si="21"/>
        <v>32.260518907403181</v>
      </c>
    </row>
    <row r="90" spans="1:33" x14ac:dyDescent="0.2">
      <c r="B90" t="s">
        <v>239</v>
      </c>
      <c r="C90">
        <f t="shared" ref="C90:Q90" si="24">C79+C80</f>
        <v>239</v>
      </c>
      <c r="D90">
        <f t="shared" si="24"/>
        <v>293</v>
      </c>
      <c r="E90">
        <f t="shared" si="24"/>
        <v>480</v>
      </c>
      <c r="F90">
        <f t="shared" si="24"/>
        <v>652</v>
      </c>
      <c r="G90">
        <f t="shared" si="24"/>
        <v>982</v>
      </c>
      <c r="H90">
        <f t="shared" si="24"/>
        <v>1701</v>
      </c>
      <c r="I90">
        <f t="shared" si="24"/>
        <v>2128</v>
      </c>
      <c r="J90">
        <f t="shared" si="24"/>
        <v>2820</v>
      </c>
      <c r="K90">
        <f t="shared" si="24"/>
        <v>3890</v>
      </c>
      <c r="L90">
        <f t="shared" si="24"/>
        <v>5640</v>
      </c>
      <c r="M90">
        <f t="shared" si="24"/>
        <v>7770</v>
      </c>
      <c r="N90">
        <f t="shared" si="24"/>
        <v>9510</v>
      </c>
      <c r="O90">
        <f t="shared" si="24"/>
        <v>11470</v>
      </c>
      <c r="P90">
        <f t="shared" si="24"/>
        <v>13640</v>
      </c>
      <c r="Q90">
        <f t="shared" si="24"/>
        <v>15410</v>
      </c>
      <c r="S90">
        <f t="shared" si="23"/>
        <v>29.483968862955063</v>
      </c>
      <c r="T90">
        <f t="shared" si="17"/>
        <v>26.320517427236794</v>
      </c>
      <c r="U90">
        <f t="shared" si="17"/>
        <v>28.479886080455678</v>
      </c>
      <c r="V90">
        <f t="shared" si="17"/>
        <v>30.133567500115543</v>
      </c>
      <c r="W90">
        <f t="shared" si="17"/>
        <v>32.585611892752851</v>
      </c>
      <c r="X90">
        <f t="shared" si="17"/>
        <v>31.388396811337461</v>
      </c>
      <c r="Y90">
        <f t="shared" si="17"/>
        <v>32.436057677651434</v>
      </c>
      <c r="Z90">
        <f t="shared" si="17"/>
        <v>36.036496536918236</v>
      </c>
      <c r="AA90">
        <f t="shared" si="17"/>
        <v>36.374517266207235</v>
      </c>
      <c r="AB90">
        <f t="shared" si="17"/>
        <v>38.153737916291789</v>
      </c>
      <c r="AC90">
        <f>(M90/M$94)*100</f>
        <v>37.073617612115491</v>
      </c>
      <c r="AD90">
        <f t="shared" si="18"/>
        <v>37.990915736867969</v>
      </c>
      <c r="AE90">
        <f t="shared" si="19"/>
        <v>38.828706838185511</v>
      </c>
      <c r="AF90">
        <f t="shared" si="20"/>
        <v>38.621626978508935</v>
      </c>
      <c r="AG90">
        <f t="shared" si="21"/>
        <v>39.082908519110298</v>
      </c>
    </row>
    <row r="91" spans="1:33" x14ac:dyDescent="0.2">
      <c r="B91" t="s">
        <v>192</v>
      </c>
      <c r="C91">
        <f t="shared" ref="C91:Q91" si="25">C83+C84</f>
        <v>390.56</v>
      </c>
      <c r="D91">
        <f t="shared" si="25"/>
        <v>533.6</v>
      </c>
      <c r="E91">
        <f t="shared" si="25"/>
        <v>729.8</v>
      </c>
      <c r="F91">
        <f t="shared" si="25"/>
        <v>885.3</v>
      </c>
      <c r="G91">
        <f t="shared" si="25"/>
        <v>1126.5999999999999</v>
      </c>
      <c r="H91">
        <f t="shared" si="25"/>
        <v>2066.6</v>
      </c>
      <c r="I91">
        <f t="shared" si="25"/>
        <v>2391</v>
      </c>
      <c r="J91">
        <f t="shared" si="25"/>
        <v>2407.1</v>
      </c>
      <c r="K91">
        <f t="shared" si="25"/>
        <v>3207</v>
      </c>
      <c r="L91">
        <f t="shared" si="25"/>
        <v>4022</v>
      </c>
      <c r="M91">
        <f t="shared" si="25"/>
        <v>6089</v>
      </c>
      <c r="N91">
        <f t="shared" si="25"/>
        <v>6900</v>
      </c>
      <c r="O91">
        <f t="shared" si="25"/>
        <v>7738</v>
      </c>
      <c r="P91">
        <f t="shared" si="25"/>
        <v>9293</v>
      </c>
      <c r="Q91">
        <f t="shared" si="25"/>
        <v>10111</v>
      </c>
      <c r="S91">
        <f t="shared" si="23"/>
        <v>48.180999494208073</v>
      </c>
      <c r="T91">
        <f t="shared" si="17"/>
        <v>47.933884297520663</v>
      </c>
      <c r="U91">
        <f t="shared" si="17"/>
        <v>43.301293461492826</v>
      </c>
      <c r="V91">
        <f t="shared" si="17"/>
        <v>40.916023478301064</v>
      </c>
      <c r="W91">
        <f t="shared" si="17"/>
        <v>37.383859835412792</v>
      </c>
      <c r="X91">
        <f t="shared" si="17"/>
        <v>38.134780041334508</v>
      </c>
      <c r="Y91">
        <f t="shared" si="17"/>
        <v>36.44483736243636</v>
      </c>
      <c r="Z91">
        <f t="shared" si="17"/>
        <v>30.760088941140385</v>
      </c>
      <c r="AA91">
        <f t="shared" si="17"/>
        <v>29.98793749941558</v>
      </c>
      <c r="AB91">
        <f t="shared" si="17"/>
        <v>27.208215230376869</v>
      </c>
      <c r="AC91">
        <f t="shared" si="17"/>
        <v>29.052928911218945</v>
      </c>
      <c r="AD91">
        <f t="shared" si="18"/>
        <v>27.564386812238588</v>
      </c>
      <c r="AE91">
        <f t="shared" si="19"/>
        <v>26.194989844278943</v>
      </c>
      <c r="AF91">
        <f t="shared" si="20"/>
        <v>26.313107002293513</v>
      </c>
      <c r="AG91">
        <f t="shared" si="21"/>
        <v>25.643561845342262</v>
      </c>
    </row>
    <row r="92" spans="1:33" x14ac:dyDescent="0.2">
      <c r="B92" t="s">
        <v>133</v>
      </c>
      <c r="C92">
        <f t="shared" ref="C92:Q92" si="26">C82</f>
        <v>21</v>
      </c>
      <c r="D92">
        <f t="shared" si="26"/>
        <v>31.5</v>
      </c>
      <c r="E92">
        <f t="shared" si="26"/>
        <v>53.6</v>
      </c>
      <c r="F92">
        <f t="shared" si="26"/>
        <v>53.6</v>
      </c>
      <c r="G92">
        <f t="shared" si="26"/>
        <v>53.6</v>
      </c>
      <c r="H92">
        <f t="shared" si="26"/>
        <v>53.6</v>
      </c>
      <c r="I92">
        <f t="shared" si="26"/>
        <v>53.6</v>
      </c>
      <c r="J92">
        <f t="shared" si="26"/>
        <v>89.3</v>
      </c>
      <c r="K92">
        <f t="shared" si="26"/>
        <v>89.3</v>
      </c>
      <c r="L92">
        <f t="shared" si="26"/>
        <v>89.3</v>
      </c>
      <c r="M92">
        <f t="shared" si="26"/>
        <v>89.3</v>
      </c>
      <c r="N92">
        <f t="shared" si="26"/>
        <v>89.3</v>
      </c>
      <c r="O92">
        <f t="shared" si="26"/>
        <v>125</v>
      </c>
      <c r="P92">
        <f t="shared" si="26"/>
        <v>158</v>
      </c>
      <c r="Q92">
        <f t="shared" si="26"/>
        <v>158</v>
      </c>
      <c r="S92">
        <f t="shared" si="23"/>
        <v>2.5906416155734573</v>
      </c>
      <c r="T92">
        <f t="shared" si="17"/>
        <v>2.8296802012217031</v>
      </c>
      <c r="U92">
        <f t="shared" si="17"/>
        <v>3.1802539456508843</v>
      </c>
      <c r="V92">
        <f t="shared" si="17"/>
        <v>2.4772380644266767</v>
      </c>
      <c r="W92">
        <f t="shared" si="17"/>
        <v>1.7786036633926201</v>
      </c>
      <c r="X92">
        <f t="shared" si="17"/>
        <v>0.98907587835842925</v>
      </c>
      <c r="Y92">
        <f t="shared" si="17"/>
        <v>0.81699844526415266</v>
      </c>
      <c r="Z92">
        <f t="shared" si="17"/>
        <v>1.1411557236690775</v>
      </c>
      <c r="AA92">
        <f t="shared" si="17"/>
        <v>0.8350242652628036</v>
      </c>
      <c r="AB92">
        <f>(L92/L$94)*100</f>
        <v>0.60410085034128658</v>
      </c>
      <c r="AC92">
        <f t="shared" si="17"/>
        <v>0.42608417667463483</v>
      </c>
      <c r="AD92">
        <f t="shared" si="18"/>
        <v>0.35673909309172547</v>
      </c>
      <c r="AE92">
        <f t="shared" si="19"/>
        <v>0.42315504400812454</v>
      </c>
      <c r="AF92">
        <f t="shared" si="20"/>
        <v>0.44737661749299201</v>
      </c>
      <c r="AG92">
        <f t="shared" si="21"/>
        <v>0.40072028202592003</v>
      </c>
    </row>
    <row r="94" spans="1:33" x14ac:dyDescent="0.2">
      <c r="C94">
        <f>SUM(C88:C92)</f>
        <v>810.6099999999999</v>
      </c>
      <c r="D94">
        <f t="shared" ref="D94:Q94" si="27">SUM(D88:D92)</f>
        <v>1113.2</v>
      </c>
      <c r="E94">
        <f t="shared" si="27"/>
        <v>1685.3999999999999</v>
      </c>
      <c r="F94">
        <f t="shared" si="27"/>
        <v>2163.6999999999998</v>
      </c>
      <c r="G94">
        <f t="shared" si="27"/>
        <v>3013.6</v>
      </c>
      <c r="H94">
        <f t="shared" si="27"/>
        <v>5419.2000000000007</v>
      </c>
      <c r="I94">
        <f t="shared" si="27"/>
        <v>6560.6</v>
      </c>
      <c r="J94">
        <f t="shared" si="27"/>
        <v>7825.4000000000005</v>
      </c>
      <c r="K94">
        <f t="shared" si="27"/>
        <v>10694.3</v>
      </c>
      <c r="L94">
        <f t="shared" si="27"/>
        <v>14782.3</v>
      </c>
      <c r="M94">
        <f t="shared" si="27"/>
        <v>20958.3</v>
      </c>
      <c r="N94">
        <f t="shared" si="27"/>
        <v>25032.3</v>
      </c>
      <c r="O94">
        <f t="shared" si="27"/>
        <v>29540</v>
      </c>
      <c r="P94">
        <f t="shared" si="27"/>
        <v>35317</v>
      </c>
      <c r="Q94">
        <f t="shared" si="27"/>
        <v>39429</v>
      </c>
    </row>
    <row r="95" spans="1:33" ht="15" thickBot="1" x14ac:dyDescent="0.25"/>
    <row r="96" spans="1:33" s="34" customFormat="1" ht="18.75" thickBot="1" x14ac:dyDescent="0.3">
      <c r="A96" s="33"/>
      <c r="B96" s="43" t="s">
        <v>303</v>
      </c>
    </row>
    <row r="98" spans="2:17" x14ac:dyDescent="0.2">
      <c r="B98" t="s">
        <v>40</v>
      </c>
    </row>
    <row r="100" spans="2:17" x14ac:dyDescent="0.2">
      <c r="B100" t="s">
        <v>92</v>
      </c>
      <c r="C100">
        <v>0</v>
      </c>
      <c r="F100" t="s">
        <v>307</v>
      </c>
    </row>
    <row r="101" spans="2:17" x14ac:dyDescent="0.2">
      <c r="B101" t="s">
        <v>304</v>
      </c>
      <c r="C101">
        <v>1.1191E-3</v>
      </c>
      <c r="D101" t="s">
        <v>306</v>
      </c>
      <c r="F101" t="s">
        <v>305</v>
      </c>
    </row>
    <row r="104" spans="2:17" x14ac:dyDescent="0.2">
      <c r="B104" t="s">
        <v>308</v>
      </c>
      <c r="F104" t="s">
        <v>315</v>
      </c>
      <c r="G104">
        <v>265</v>
      </c>
    </row>
    <row r="105" spans="2:17" x14ac:dyDescent="0.2">
      <c r="B105" t="s">
        <v>309</v>
      </c>
      <c r="C105">
        <v>40</v>
      </c>
      <c r="D105" t="s">
        <v>310</v>
      </c>
    </row>
    <row r="107" spans="2:17" x14ac:dyDescent="0.2">
      <c r="B107" t="s">
        <v>312</v>
      </c>
      <c r="C107">
        <f t="shared" ref="C107:Q107" si="28">C53*0.15*2*1.25</f>
        <v>1.875</v>
      </c>
      <c r="D107">
        <f t="shared" si="28"/>
        <v>3.75</v>
      </c>
      <c r="E107">
        <f t="shared" si="28"/>
        <v>7.5</v>
      </c>
      <c r="F107">
        <f t="shared" si="28"/>
        <v>11.25</v>
      </c>
      <c r="G107">
        <f t="shared" si="28"/>
        <v>18.75</v>
      </c>
      <c r="H107">
        <f t="shared" si="28"/>
        <v>28.125</v>
      </c>
      <c r="I107">
        <f t="shared" si="28"/>
        <v>37.5</v>
      </c>
      <c r="J107">
        <f t="shared" si="28"/>
        <v>56.25</v>
      </c>
      <c r="K107">
        <f t="shared" si="28"/>
        <v>75</v>
      </c>
      <c r="L107">
        <f t="shared" si="28"/>
        <v>112.5</v>
      </c>
      <c r="M107">
        <f t="shared" si="28"/>
        <v>150</v>
      </c>
      <c r="N107">
        <f t="shared" si="28"/>
        <v>187.5</v>
      </c>
      <c r="O107">
        <f t="shared" si="28"/>
        <v>225</v>
      </c>
      <c r="P107">
        <f t="shared" si="28"/>
        <v>300</v>
      </c>
      <c r="Q107">
        <f t="shared" si="28"/>
        <v>375</v>
      </c>
    </row>
    <row r="109" spans="2:17" x14ac:dyDescent="0.2">
      <c r="B109" t="s">
        <v>311</v>
      </c>
      <c r="C109">
        <f t="shared" ref="C109:Q109" si="29">C107*$C$105</f>
        <v>75</v>
      </c>
      <c r="D109">
        <f t="shared" si="29"/>
        <v>150</v>
      </c>
      <c r="E109">
        <f t="shared" si="29"/>
        <v>300</v>
      </c>
      <c r="F109">
        <f t="shared" si="29"/>
        <v>450</v>
      </c>
      <c r="G109">
        <f t="shared" si="29"/>
        <v>750</v>
      </c>
      <c r="H109">
        <f t="shared" si="29"/>
        <v>1125</v>
      </c>
      <c r="I109">
        <f t="shared" si="29"/>
        <v>1500</v>
      </c>
      <c r="J109">
        <f t="shared" si="29"/>
        <v>2250</v>
      </c>
      <c r="K109">
        <f t="shared" si="29"/>
        <v>3000</v>
      </c>
      <c r="L109">
        <f t="shared" si="29"/>
        <v>4500</v>
      </c>
      <c r="M109">
        <f t="shared" si="29"/>
        <v>6000</v>
      </c>
      <c r="N109">
        <f t="shared" si="29"/>
        <v>7500</v>
      </c>
      <c r="O109">
        <f t="shared" si="29"/>
        <v>9000</v>
      </c>
      <c r="P109">
        <f t="shared" si="29"/>
        <v>12000</v>
      </c>
      <c r="Q109">
        <f t="shared" si="29"/>
        <v>15000</v>
      </c>
    </row>
    <row r="111" spans="2:17" x14ac:dyDescent="0.2">
      <c r="B111" t="s">
        <v>313</v>
      </c>
      <c r="C111">
        <f>C109*$C$101</f>
        <v>8.3932500000000007E-2</v>
      </c>
      <c r="D111">
        <f t="shared" ref="D111:Q111" si="30">D109*$C$101</f>
        <v>0.16786500000000001</v>
      </c>
      <c r="E111">
        <f t="shared" si="30"/>
        <v>0.33573000000000003</v>
      </c>
      <c r="F111">
        <f t="shared" si="30"/>
        <v>0.50359500000000001</v>
      </c>
      <c r="G111">
        <f t="shared" si="30"/>
        <v>0.83932499999999999</v>
      </c>
      <c r="H111">
        <f t="shared" si="30"/>
        <v>1.2589875000000001</v>
      </c>
      <c r="I111">
        <f t="shared" si="30"/>
        <v>1.67865</v>
      </c>
      <c r="J111">
        <f t="shared" si="30"/>
        <v>2.5179750000000003</v>
      </c>
      <c r="K111">
        <f t="shared" si="30"/>
        <v>3.3573</v>
      </c>
      <c r="L111">
        <f t="shared" si="30"/>
        <v>5.0359500000000006</v>
      </c>
      <c r="M111">
        <f t="shared" si="30"/>
        <v>6.7145999999999999</v>
      </c>
      <c r="N111">
        <f t="shared" si="30"/>
        <v>8.3932500000000001</v>
      </c>
      <c r="O111">
        <f t="shared" si="30"/>
        <v>10.071900000000001</v>
      </c>
      <c r="P111">
        <f t="shared" si="30"/>
        <v>13.4292</v>
      </c>
      <c r="Q111">
        <f t="shared" si="30"/>
        <v>16.7865</v>
      </c>
    </row>
    <row r="112" spans="2:17" x14ac:dyDescent="0.2">
      <c r="B112" t="s">
        <v>314</v>
      </c>
      <c r="C112">
        <f>C111*365.25</f>
        <v>30.656345625000004</v>
      </c>
      <c r="D112">
        <f t="shared" ref="D112:Q112" si="31">D111*365.25</f>
        <v>61.312691250000007</v>
      </c>
      <c r="E112">
        <f t="shared" si="31"/>
        <v>122.62538250000001</v>
      </c>
      <c r="F112">
        <f t="shared" si="31"/>
        <v>183.93807375</v>
      </c>
      <c r="G112">
        <f t="shared" si="31"/>
        <v>306.56345625</v>
      </c>
      <c r="H112">
        <f t="shared" si="31"/>
        <v>459.84518437500003</v>
      </c>
      <c r="I112">
        <f t="shared" si="31"/>
        <v>613.1269125</v>
      </c>
      <c r="J112">
        <f t="shared" si="31"/>
        <v>919.69036875000006</v>
      </c>
      <c r="K112">
        <f t="shared" si="31"/>
        <v>1226.253825</v>
      </c>
      <c r="L112">
        <f t="shared" si="31"/>
        <v>1839.3807375000001</v>
      </c>
      <c r="M112">
        <f t="shared" si="31"/>
        <v>2452.50765</v>
      </c>
      <c r="N112">
        <f t="shared" si="31"/>
        <v>3065.6345624999999</v>
      </c>
      <c r="O112">
        <f t="shared" si="31"/>
        <v>3678.7614750000002</v>
      </c>
      <c r="P112">
        <f t="shared" si="31"/>
        <v>4905.0153</v>
      </c>
      <c r="Q112">
        <f t="shared" si="31"/>
        <v>6131.2691249999998</v>
      </c>
    </row>
    <row r="114" spans="2:17" x14ac:dyDescent="0.2">
      <c r="B114" t="s">
        <v>316</v>
      </c>
      <c r="C114">
        <f>(C112*$G$104)/1000</f>
        <v>8.123931590625002</v>
      </c>
      <c r="D114">
        <f t="shared" ref="D114:Q114" si="32">(D112*$G$104)/1000</f>
        <v>16.247863181250004</v>
      </c>
      <c r="E114">
        <f t="shared" si="32"/>
        <v>32.495726362500008</v>
      </c>
      <c r="F114">
        <f t="shared" si="32"/>
        <v>48.743589543749998</v>
      </c>
      <c r="G114">
        <f t="shared" si="32"/>
        <v>81.239315906249999</v>
      </c>
      <c r="H114">
        <f t="shared" si="32"/>
        <v>121.85897385937501</v>
      </c>
      <c r="I114">
        <f t="shared" si="32"/>
        <v>162.4786318125</v>
      </c>
      <c r="J114">
        <f t="shared" si="32"/>
        <v>243.71794771875003</v>
      </c>
      <c r="K114">
        <f t="shared" si="32"/>
        <v>324.957263625</v>
      </c>
      <c r="L114">
        <f t="shared" si="32"/>
        <v>487.43589543750005</v>
      </c>
      <c r="M114">
        <f t="shared" si="32"/>
        <v>649.91452724999999</v>
      </c>
      <c r="N114">
        <f t="shared" si="32"/>
        <v>812.39315906249999</v>
      </c>
      <c r="O114">
        <f t="shared" si="32"/>
        <v>974.8717908750001</v>
      </c>
      <c r="P114">
        <f t="shared" si="32"/>
        <v>1299.8290545</v>
      </c>
      <c r="Q114">
        <f t="shared" si="32"/>
        <v>1624.786318125</v>
      </c>
    </row>
    <row r="115" spans="2:17" x14ac:dyDescent="0.2">
      <c r="C115">
        <f>C114/5</f>
        <v>1.6247863181250004</v>
      </c>
    </row>
    <row r="117" spans="2:17" x14ac:dyDescent="0.2">
      <c r="B117" t="s">
        <v>317</v>
      </c>
      <c r="C117" t="s">
        <v>320</v>
      </c>
    </row>
    <row r="118" spans="2:17" x14ac:dyDescent="0.2">
      <c r="C118" t="s">
        <v>318</v>
      </c>
      <c r="D118" t="s">
        <v>155</v>
      </c>
      <c r="E118" t="s">
        <v>156</v>
      </c>
      <c r="G118" t="str">
        <f>[3]AHF!B171</f>
        <v>PE</v>
      </c>
      <c r="H118" t="str">
        <f>[3]AHF!C171</f>
        <v>Power (kWh)</v>
      </c>
      <c r="J118" t="s">
        <v>319</v>
      </c>
    </row>
    <row r="119" spans="2:17" x14ac:dyDescent="0.2">
      <c r="B119">
        <v>2021</v>
      </c>
      <c r="C119">
        <v>134.63396453548376</v>
      </c>
      <c r="D119">
        <v>123.76981138311956</v>
      </c>
      <c r="E119">
        <v>145.86435171263011</v>
      </c>
      <c r="G119">
        <f>[3]AHF!B172</f>
        <v>5</v>
      </c>
      <c r="H119">
        <f>[3]AHF!C172</f>
        <v>262.8</v>
      </c>
    </row>
    <row r="120" spans="2:17" x14ac:dyDescent="0.2">
      <c r="B120">
        <v>2022</v>
      </c>
      <c r="C120">
        <v>129.10289501511778</v>
      </c>
      <c r="D120">
        <v>117.94713087361266</v>
      </c>
      <c r="E120">
        <v>140.74701964339349</v>
      </c>
      <c r="G120">
        <f>[3]AHF!B173</f>
        <v>10</v>
      </c>
      <c r="H120">
        <f>[3]AHF!C173</f>
        <v>525.6</v>
      </c>
    </row>
    <row r="121" spans="2:17" x14ac:dyDescent="0.2">
      <c r="B121">
        <v>2023</v>
      </c>
      <c r="C121">
        <v>123.79905441239288</v>
      </c>
      <c r="D121">
        <v>112.39837506300385</v>
      </c>
      <c r="E121">
        <v>135.80921798854101</v>
      </c>
      <c r="G121">
        <f>[3]AHF!B174</f>
        <v>20</v>
      </c>
      <c r="H121">
        <f>[3]AHF!C174</f>
        <v>3241.2</v>
      </c>
      <c r="I121" t="s">
        <v>327</v>
      </c>
    </row>
    <row r="122" spans="2:17" x14ac:dyDescent="0.2">
      <c r="B122">
        <v>2024</v>
      </c>
      <c r="C122">
        <v>118.71310764648565</v>
      </c>
      <c r="D122">
        <v>107.1106573193469</v>
      </c>
      <c r="E122">
        <v>131.04464831575422</v>
      </c>
      <c r="G122">
        <f>[3]AHF!B175</f>
        <v>30</v>
      </c>
      <c r="H122">
        <f>[3]AHF!C175</f>
        <v>3241.2</v>
      </c>
      <c r="I122" t="s">
        <v>327</v>
      </c>
    </row>
    <row r="123" spans="2:17" x14ac:dyDescent="0.2">
      <c r="B123">
        <v>2025</v>
      </c>
      <c r="C123">
        <v>113.83610314292783</v>
      </c>
      <c r="D123">
        <v>102.07169725497943</v>
      </c>
      <c r="E123">
        <v>126.44723315945063</v>
      </c>
      <c r="G123">
        <f>[3]AHF!B176</f>
        <v>50</v>
      </c>
      <c r="H123">
        <f>[3]AHF!C176</f>
        <v>3241.2</v>
      </c>
      <c r="I123" t="s">
        <v>327</v>
      </c>
    </row>
    <row r="124" spans="2:17" x14ac:dyDescent="0.2">
      <c r="B124">
        <v>2026</v>
      </c>
      <c r="C124">
        <v>109.15945707829279</v>
      </c>
      <c r="D124">
        <v>97.269792206104839</v>
      </c>
      <c r="E124">
        <v>122.01110826864866</v>
      </c>
      <c r="G124">
        <f>[3]AHF!B177</f>
        <v>75</v>
      </c>
      <c r="H124">
        <f>[3]AHF!C177</f>
        <v>3241.2</v>
      </c>
      <c r="I124" t="s">
        <v>327</v>
      </c>
    </row>
    <row r="125" spans="2:17" x14ac:dyDescent="0.2">
      <c r="B125">
        <v>2027</v>
      </c>
      <c r="C125">
        <v>104.67493827214626</v>
      </c>
      <c r="D125">
        <v>92.693790054100958</v>
      </c>
      <c r="E125">
        <v>117.73061512679904</v>
      </c>
      <c r="G125">
        <f>[3]AHF!B178</f>
        <v>100</v>
      </c>
      <c r="H125">
        <f>[3]AHF!C178</f>
        <v>3241.2</v>
      </c>
      <c r="I125" t="s">
        <v>327</v>
      </c>
    </row>
    <row r="126" spans="2:17" x14ac:dyDescent="0.2">
      <c r="B126">
        <v>2028</v>
      </c>
      <c r="C126">
        <v>100.37465369967002</v>
      </c>
      <c r="D126">
        <v>88.333063325434807</v>
      </c>
      <c r="E126">
        <v>113.60029373404194</v>
      </c>
      <c r="G126">
        <f>[3]AHF!B179</f>
        <v>150</v>
      </c>
      <c r="H126">
        <f>[3]AHF!C179</f>
        <v>3504</v>
      </c>
      <c r="I126" t="s">
        <v>327</v>
      </c>
    </row>
    <row r="127" spans="2:17" x14ac:dyDescent="0.2">
      <c r="B127">
        <v>2029</v>
      </c>
      <c r="C127">
        <v>96.251034599459899</v>
      </c>
      <c r="D127">
        <v>84.177484510032386</v>
      </c>
      <c r="E127">
        <v>109.61487564268266</v>
      </c>
      <c r="G127">
        <f>[3]AHF!B180</f>
        <v>200</v>
      </c>
      <c r="H127">
        <f>[3]AHF!C180</f>
        <v>3504</v>
      </c>
      <c r="I127" t="s">
        <v>327</v>
      </c>
    </row>
    <row r="128" spans="2:17" x14ac:dyDescent="0.2">
      <c r="B128">
        <v>2030</v>
      </c>
      <c r="C128">
        <v>92.296823152047224</v>
      </c>
      <c r="D128">
        <v>80.217402540781421</v>
      </c>
      <c r="E128">
        <v>105.76927723700234</v>
      </c>
      <c r="G128">
        <f>[3]AHF!B181</f>
        <v>300</v>
      </c>
      <c r="H128">
        <f>[3]AHF!C181</f>
        <v>5256</v>
      </c>
      <c r="I128" t="s">
        <v>327</v>
      </c>
    </row>
    <row r="129" spans="2:9" x14ac:dyDescent="0.2">
      <c r="B129">
        <v>2031</v>
      </c>
      <c r="C129">
        <v>88.505059705696738</v>
      </c>
      <c r="D129">
        <v>76.443620379542878</v>
      </c>
      <c r="E129">
        <v>102.05859324883212</v>
      </c>
      <c r="G129">
        <f>[3]AHF!B182</f>
        <v>400</v>
      </c>
      <c r="H129">
        <f>[3]AHF!C182</f>
        <v>5256</v>
      </c>
      <c r="I129" t="s">
        <v>327</v>
      </c>
    </row>
    <row r="130" spans="2:9" x14ac:dyDescent="0.2">
      <c r="B130">
        <v>2032</v>
      </c>
      <c r="C130">
        <v>84.869070526997859</v>
      </c>
      <c r="D130">
        <v>72.847373657615535</v>
      </c>
      <c r="E130">
        <v>98.478090500618833</v>
      </c>
      <c r="G130">
        <f>[3]AHF!B183</f>
        <v>500</v>
      </c>
      <c r="H130">
        <f>[3]AHF!C183</f>
        <v>5256</v>
      </c>
      <c r="I130" t="s">
        <v>327</v>
      </c>
    </row>
    <row r="131" spans="2:9" x14ac:dyDescent="0.2">
      <c r="B131">
        <v>2033</v>
      </c>
      <c r="C131">
        <v>81.382456054689527</v>
      </c>
      <c r="D131">
        <v>69.420310321048049</v>
      </c>
      <c r="E131">
        <v>95.023201868001919</v>
      </c>
      <c r="G131">
        <f>[3]AHF!B184</f>
        <v>600</v>
      </c>
      <c r="H131">
        <v>9636</v>
      </c>
    </row>
    <row r="132" spans="2:9" x14ac:dyDescent="0.2">
      <c r="B132">
        <v>2034</v>
      </c>
      <c r="C132">
        <v>78.039079636044576</v>
      </c>
      <c r="D132">
        <v>66.154471233525484</v>
      </c>
      <c r="E132">
        <v>91.689520454199936</v>
      </c>
      <c r="G132">
        <f>[3]AHF!B185</f>
        <v>800</v>
      </c>
      <c r="H132">
        <v>19272</v>
      </c>
    </row>
    <row r="133" spans="2:9" x14ac:dyDescent="0.2">
      <c r="B133">
        <v>2035</v>
      </c>
      <c r="C133">
        <v>74.833056725989252</v>
      </c>
      <c r="D133">
        <v>63.042271691782325</v>
      </c>
      <c r="E133">
        <v>88.472793968776045</v>
      </c>
      <c r="G133">
        <f>[3]AHF!B186</f>
        <v>1000</v>
      </c>
      <c r="H133">
        <v>19272</v>
      </c>
    </row>
    <row r="134" spans="2:9" x14ac:dyDescent="0.2">
      <c r="B134">
        <v>2036</v>
      </c>
      <c r="C134">
        <v>71.758744529947165</v>
      </c>
      <c r="D134">
        <v>60.07648381061211</v>
      </c>
      <c r="E134">
        <v>85.36891930361223</v>
      </c>
    </row>
    <row r="135" spans="2:9" x14ac:dyDescent="0.2">
      <c r="B135">
        <v>2037</v>
      </c>
      <c r="C135">
        <v>68.810732072179036</v>
      </c>
      <c r="D135">
        <v>57.250219736564517</v>
      </c>
      <c r="E135">
        <v>82.373937299173519</v>
      </c>
    </row>
    <row r="136" spans="2:9" x14ac:dyDescent="0.2">
      <c r="B136">
        <v>2038</v>
      </c>
      <c r="C136">
        <v>65.983830672137543</v>
      </c>
      <c r="D136">
        <v>54.556915651344397</v>
      </c>
      <c r="E136">
        <v>79.484027694386597</v>
      </c>
    </row>
    <row r="137" spans="2:9" x14ac:dyDescent="0.2">
      <c r="B137">
        <v>2039</v>
      </c>
      <c r="C137">
        <v>63.273064812075084</v>
      </c>
      <c r="D137">
        <v>51.990316527761827</v>
      </c>
      <c r="E137">
        <v>76.695504253690743</v>
      </c>
    </row>
    <row r="138" spans="2:9" x14ac:dyDescent="0.2">
      <c r="B138">
        <v>2040</v>
      </c>
      <c r="C138">
        <v>60.673663379831204</v>
      </c>
      <c r="D138">
        <v>49.544461602829948</v>
      </c>
      <c r="E138">
        <v>74.004810065045476</v>
      </c>
    </row>
    <row r="139" spans="2:9" x14ac:dyDescent="0.2">
      <c r="B139">
        <v>2041</v>
      </c>
      <c r="C139">
        <v>58.181051271386011</v>
      </c>
      <c r="D139">
        <v>47.213670534272538</v>
      </c>
      <c r="E139">
        <v>71.408513002897507</v>
      </c>
    </row>
    <row r="140" spans="2:9" x14ac:dyDescent="0.2">
      <c r="B140">
        <v>2042</v>
      </c>
      <c r="C140">
        <v>55.7908413383999</v>
      </c>
      <c r="D140">
        <v>44.992530208290908</v>
      </c>
      <c r="E140">
        <v>68.903301350319424</v>
      </c>
    </row>
    <row r="141" spans="2:9" x14ac:dyDescent="0.2">
      <c r="B141">
        <v>2043</v>
      </c>
      <c r="C141">
        <v>53.498826666566728</v>
      </c>
      <c r="D141">
        <v>42.875882167951843</v>
      </c>
      <c r="E141">
        <v>66.485979574736263</v>
      </c>
    </row>
    <row r="142" spans="2:9" x14ac:dyDescent="0.2">
      <c r="B142">
        <v>2044</v>
      </c>
      <c r="C142">
        <v>51.300973171189639</v>
      </c>
      <c r="D142">
        <v>40.858810633000012</v>
      </c>
      <c r="E142">
        <v>64.15346425185119</v>
      </c>
    </row>
    <row r="143" spans="2:9" x14ac:dyDescent="0.2">
      <c r="B143">
        <v>2045</v>
      </c>
      <c r="C143">
        <v>49.19341249694763</v>
      </c>
      <c r="D143">
        <v>38.936631083271379</v>
      </c>
      <c r="E143">
        <v>61.90278013257165</v>
      </c>
    </row>
    <row r="144" spans="2:9" x14ac:dyDescent="0.2">
      <c r="B144">
        <v>2046</v>
      </c>
      <c r="C144">
        <v>47.172435209355797</v>
      </c>
      <c r="D144">
        <v>37.10487937919352</v>
      </c>
      <c r="E144">
        <v>59.731056347918638</v>
      </c>
    </row>
    <row r="145" spans="2:17" x14ac:dyDescent="0.2">
      <c r="B145">
        <v>2047</v>
      </c>
      <c r="C145">
        <v>45.234484265935876</v>
      </c>
      <c r="D145">
        <v>35.359301394105792</v>
      </c>
      <c r="E145">
        <v>57.635522747078497</v>
      </c>
    </row>
    <row r="146" spans="2:17" x14ac:dyDescent="0.2">
      <c r="B146">
        <v>2048</v>
      </c>
      <c r="C146">
        <v>43.376148755605939</v>
      </c>
      <c r="D146">
        <v>33.695843134321137</v>
      </c>
      <c r="E146">
        <v>55.613506363926099</v>
      </c>
    </row>
    <row r="147" spans="2:17" x14ac:dyDescent="0.2">
      <c r="B147">
        <v>2049</v>
      </c>
      <c r="C147">
        <v>41.594157895270243</v>
      </c>
      <c r="D147">
        <v>32.110641323983948</v>
      </c>
      <c r="E147">
        <v>53.662428007512517</v>
      </c>
    </row>
    <row r="148" spans="2:17" x14ac:dyDescent="0.2">
      <c r="B148">
        <v>2050</v>
      </c>
      <c r="C148">
        <v>39.885375273042818</v>
      </c>
      <c r="D148">
        <v>30.600014432858</v>
      </c>
      <c r="E148">
        <v>51.779798972167704</v>
      </c>
    </row>
    <row r="149" spans="2:17" x14ac:dyDescent="0.2">
      <c r="B149">
        <v>2051</v>
      </c>
      <c r="C149">
        <v>38.246793327972476</v>
      </c>
      <c r="D149">
        <v>29.160454126206904</v>
      </c>
      <c r="E149">
        <v>49.963217863022344</v>
      </c>
    </row>
    <row r="150" spans="2:17" x14ac:dyDescent="0.2">
      <c r="B150">
        <v>2052</v>
      </c>
      <c r="C150">
        <v>36.675528056553304</v>
      </c>
      <c r="D150">
        <v>27.78861711691021</v>
      </c>
      <c r="E150">
        <v>48.210367532899092</v>
      </c>
    </row>
    <row r="151" spans="2:17" x14ac:dyDescent="0.2">
      <c r="B151">
        <v>2053</v>
      </c>
      <c r="C151">
        <v>35.16881393670382</v>
      </c>
      <c r="D151">
        <v>26.481317400891978</v>
      </c>
      <c r="E151">
        <v>46.519012126666368</v>
      </c>
    </row>
    <row r="152" spans="2:17" x14ac:dyDescent="0.2">
      <c r="B152">
        <v>2054</v>
      </c>
      <c r="C152">
        <v>33.723999060280448</v>
      </c>
      <c r="D152">
        <v>25.235518857829248</v>
      </c>
      <c r="E152">
        <v>44.886994229284639</v>
      </c>
    </row>
    <row r="153" spans="2:17" x14ac:dyDescent="0.2">
      <c r="B153">
        <v>2055</v>
      </c>
      <c r="C153">
        <v>32.338540465558559</v>
      </c>
      <c r="D153">
        <v>24.048328199955982</v>
      </c>
      <c r="E153">
        <v>43.312232113907086</v>
      </c>
    </row>
    <row r="154" spans="2:17" x14ac:dyDescent="0.2">
      <c r="B154">
        <v>2056</v>
      </c>
      <c r="C154">
        <v>31.009999661465773</v>
      </c>
      <c r="D154">
        <v>22.916988252586499</v>
      </c>
      <c r="E154">
        <v>41.79271708652481</v>
      </c>
    </row>
    <row r="155" spans="2:17" x14ac:dyDescent="0.2">
      <c r="B155">
        <v>2057</v>
      </c>
      <c r="C155">
        <v>29.736038335689866</v>
      </c>
      <c r="D155">
        <v>21.83887155075292</v>
      </c>
      <c r="E155">
        <v>40.326510923769227</v>
      </c>
    </row>
    <row r="157" spans="2:17" x14ac:dyDescent="0.2">
      <c r="C157" t="s">
        <v>370</v>
      </c>
    </row>
    <row r="158" spans="2:17" x14ac:dyDescent="0.2">
      <c r="C158">
        <f>H119</f>
        <v>262.8</v>
      </c>
      <c r="D158">
        <f>H120</f>
        <v>525.6</v>
      </c>
      <c r="E158">
        <f>H121</f>
        <v>3241.2</v>
      </c>
      <c r="F158">
        <f>H122</f>
        <v>3241.2</v>
      </c>
      <c r="G158">
        <f>H123</f>
        <v>3241.2</v>
      </c>
      <c r="H158">
        <f>H124</f>
        <v>3241.2</v>
      </c>
      <c r="I158">
        <f>H125</f>
        <v>3241.2</v>
      </c>
      <c r="J158">
        <f>H126</f>
        <v>3504</v>
      </c>
      <c r="K158">
        <f>H127</f>
        <v>3504</v>
      </c>
      <c r="L158">
        <f>H128</f>
        <v>5256</v>
      </c>
      <c r="M158">
        <f>H129</f>
        <v>5256</v>
      </c>
      <c r="N158">
        <f>H130</f>
        <v>5256</v>
      </c>
      <c r="O158">
        <f>H131</f>
        <v>9636</v>
      </c>
      <c r="P158">
        <f>H132</f>
        <v>19272</v>
      </c>
      <c r="Q158">
        <f>H133</f>
        <v>19272</v>
      </c>
    </row>
    <row r="159" spans="2:17" x14ac:dyDescent="0.2">
      <c r="C159">
        <v>753.36</v>
      </c>
      <c r="D159">
        <v>1883.4</v>
      </c>
      <c r="E159">
        <v>3942</v>
      </c>
      <c r="F159">
        <v>6132</v>
      </c>
      <c r="G159">
        <v>9636</v>
      </c>
      <c r="H159">
        <v>14892</v>
      </c>
      <c r="I159">
        <v>31448.400000000001</v>
      </c>
    </row>
    <row r="161" spans="1:50" x14ac:dyDescent="0.2">
      <c r="C161" t="s">
        <v>318</v>
      </c>
      <c r="T161" t="s">
        <v>155</v>
      </c>
      <c r="AJ161" t="s">
        <v>156</v>
      </c>
    </row>
    <row r="162" spans="1:50" x14ac:dyDescent="0.2">
      <c r="B162" t="s">
        <v>464</v>
      </c>
    </row>
    <row r="163" spans="1:50" x14ac:dyDescent="0.2">
      <c r="C163" t="s">
        <v>228</v>
      </c>
      <c r="D163" t="s">
        <v>229</v>
      </c>
      <c r="E163" t="s">
        <v>230</v>
      </c>
      <c r="F163" t="s">
        <v>231</v>
      </c>
      <c r="G163" t="s">
        <v>232</v>
      </c>
      <c r="H163" t="s">
        <v>233</v>
      </c>
      <c r="I163" t="s">
        <v>234</v>
      </c>
      <c r="J163" t="s">
        <v>235</v>
      </c>
      <c r="K163" t="s">
        <v>240</v>
      </c>
      <c r="L163" t="s">
        <v>241</v>
      </c>
      <c r="M163" t="s">
        <v>242</v>
      </c>
      <c r="N163" t="s">
        <v>243</v>
      </c>
      <c r="O163" t="s">
        <v>299</v>
      </c>
      <c r="P163" t="s">
        <v>300</v>
      </c>
      <c r="Q163" t="s">
        <v>301</v>
      </c>
      <c r="T163" t="s">
        <v>228</v>
      </c>
      <c r="U163" t="s">
        <v>229</v>
      </c>
      <c r="V163" t="s">
        <v>230</v>
      </c>
      <c r="W163" t="s">
        <v>231</v>
      </c>
      <c r="X163" t="s">
        <v>232</v>
      </c>
      <c r="Y163" t="s">
        <v>233</v>
      </c>
      <c r="Z163" t="s">
        <v>234</v>
      </c>
      <c r="AA163" t="s">
        <v>235</v>
      </c>
      <c r="AB163" t="s">
        <v>240</v>
      </c>
      <c r="AC163" t="s">
        <v>241</v>
      </c>
      <c r="AD163" t="s">
        <v>242</v>
      </c>
      <c r="AE163" t="s">
        <v>243</v>
      </c>
      <c r="AF163" t="s">
        <v>299</v>
      </c>
      <c r="AG163" t="s">
        <v>300</v>
      </c>
      <c r="AH163" t="s">
        <v>301</v>
      </c>
      <c r="AJ163" t="s">
        <v>228</v>
      </c>
      <c r="AK163" t="s">
        <v>229</v>
      </c>
      <c r="AL163" t="s">
        <v>230</v>
      </c>
      <c r="AM163" t="s">
        <v>231</v>
      </c>
      <c r="AN163" t="s">
        <v>232</v>
      </c>
      <c r="AO163" t="s">
        <v>233</v>
      </c>
      <c r="AP163" t="s">
        <v>234</v>
      </c>
      <c r="AQ163" t="s">
        <v>235</v>
      </c>
      <c r="AR163" t="s">
        <v>240</v>
      </c>
      <c r="AS163" t="s">
        <v>241</v>
      </c>
      <c r="AT163" t="s">
        <v>242</v>
      </c>
      <c r="AU163" t="s">
        <v>243</v>
      </c>
      <c r="AV163" t="s">
        <v>299</v>
      </c>
      <c r="AW163" t="s">
        <v>300</v>
      </c>
      <c r="AX163" t="s">
        <v>301</v>
      </c>
    </row>
    <row r="164" spans="1:50" x14ac:dyDescent="0.2">
      <c r="A164">
        <v>2021</v>
      </c>
      <c r="B164">
        <v>1</v>
      </c>
      <c r="C164">
        <f>C$158*$C119</f>
        <v>35381.80587992513</v>
      </c>
      <c r="D164">
        <f t="shared" ref="D164:P164" si="33">D$158*$C119</f>
        <v>70763.611759850261</v>
      </c>
      <c r="E164">
        <f t="shared" si="33"/>
        <v>436375.60585240991</v>
      </c>
      <c r="F164">
        <f t="shared" si="33"/>
        <v>436375.60585240991</v>
      </c>
      <c r="G164">
        <f t="shared" si="33"/>
        <v>436375.60585240991</v>
      </c>
      <c r="H164">
        <f t="shared" si="33"/>
        <v>436375.60585240991</v>
      </c>
      <c r="I164">
        <f t="shared" si="33"/>
        <v>436375.60585240991</v>
      </c>
      <c r="J164">
        <f t="shared" si="33"/>
        <v>471757.41173233511</v>
      </c>
      <c r="K164">
        <f t="shared" si="33"/>
        <v>471757.41173233511</v>
      </c>
      <c r="L164">
        <f t="shared" si="33"/>
        <v>707636.11759850266</v>
      </c>
      <c r="M164">
        <f t="shared" si="33"/>
        <v>707636.11759850266</v>
      </c>
      <c r="N164">
        <f t="shared" si="33"/>
        <v>707636.11759850266</v>
      </c>
      <c r="O164">
        <f t="shared" si="33"/>
        <v>1297332.8822639214</v>
      </c>
      <c r="P164">
        <f t="shared" si="33"/>
        <v>2594665.7645278429</v>
      </c>
      <c r="Q164">
        <f>Q$158*$C119</f>
        <v>2594665.7645278429</v>
      </c>
      <c r="T164">
        <f>C$158*$D119</f>
        <v>32526.706431483821</v>
      </c>
      <c r="U164">
        <f t="shared" ref="U164:AH164" si="34">D$158*$D119</f>
        <v>65053.412862967642</v>
      </c>
      <c r="V164">
        <f t="shared" si="34"/>
        <v>401162.71265496709</v>
      </c>
      <c r="W164">
        <f t="shared" si="34"/>
        <v>401162.71265496709</v>
      </c>
      <c r="X164">
        <f t="shared" si="34"/>
        <v>401162.71265496709</v>
      </c>
      <c r="Y164">
        <f t="shared" si="34"/>
        <v>401162.71265496709</v>
      </c>
      <c r="Z164">
        <f t="shared" si="34"/>
        <v>401162.71265496709</v>
      </c>
      <c r="AA164">
        <f t="shared" si="34"/>
        <v>433689.41908645094</v>
      </c>
      <c r="AB164">
        <f t="shared" si="34"/>
        <v>433689.41908645094</v>
      </c>
      <c r="AC164">
        <f t="shared" si="34"/>
        <v>650534.12862967642</v>
      </c>
      <c r="AD164">
        <f t="shared" si="34"/>
        <v>650534.12862967642</v>
      </c>
      <c r="AE164">
        <f t="shared" si="34"/>
        <v>650534.12862967642</v>
      </c>
      <c r="AF164">
        <f t="shared" si="34"/>
        <v>1192645.9024877402</v>
      </c>
      <c r="AG164">
        <f t="shared" si="34"/>
        <v>2385291.8049754803</v>
      </c>
      <c r="AH164">
        <f t="shared" si="34"/>
        <v>2385291.8049754803</v>
      </c>
      <c r="AJ164">
        <f>C$158*$E119</f>
        <v>38333.151630079192</v>
      </c>
      <c r="AK164">
        <f t="shared" ref="AK164:AX164" si="35">D$158*$E119</f>
        <v>76666.303260158384</v>
      </c>
      <c r="AL164">
        <f t="shared" si="35"/>
        <v>472775.53677097667</v>
      </c>
      <c r="AM164">
        <f t="shared" si="35"/>
        <v>472775.53677097667</v>
      </c>
      <c r="AN164">
        <f t="shared" si="35"/>
        <v>472775.53677097667</v>
      </c>
      <c r="AO164">
        <f t="shared" si="35"/>
        <v>472775.53677097667</v>
      </c>
      <c r="AP164">
        <f t="shared" si="35"/>
        <v>472775.53677097667</v>
      </c>
      <c r="AQ164">
        <f t="shared" si="35"/>
        <v>511108.68840105593</v>
      </c>
      <c r="AR164">
        <f t="shared" si="35"/>
        <v>511108.68840105593</v>
      </c>
      <c r="AS164">
        <f t="shared" si="35"/>
        <v>766663.03260158387</v>
      </c>
      <c r="AT164">
        <f t="shared" si="35"/>
        <v>766663.03260158387</v>
      </c>
      <c r="AU164">
        <f t="shared" si="35"/>
        <v>766663.03260158387</v>
      </c>
      <c r="AV164">
        <f t="shared" si="35"/>
        <v>1405548.8931029039</v>
      </c>
      <c r="AW164">
        <f t="shared" si="35"/>
        <v>2811097.7862058077</v>
      </c>
      <c r="AX164">
        <f t="shared" si="35"/>
        <v>2811097.7862058077</v>
      </c>
    </row>
    <row r="165" spans="1:50" x14ac:dyDescent="0.2">
      <c r="A165">
        <v>2022</v>
      </c>
      <c r="B165">
        <v>2</v>
      </c>
      <c r="C165">
        <f>C$158*$C120</f>
        <v>33928.240809972951</v>
      </c>
      <c r="D165">
        <f t="shared" ref="D165:Q165" si="36">D$158*$C120</f>
        <v>67856.481619945902</v>
      </c>
      <c r="E165">
        <f t="shared" si="36"/>
        <v>418448.30332299974</v>
      </c>
      <c r="F165">
        <f t="shared" si="36"/>
        <v>418448.30332299974</v>
      </c>
      <c r="G165">
        <f t="shared" si="36"/>
        <v>418448.30332299974</v>
      </c>
      <c r="H165">
        <f t="shared" si="36"/>
        <v>418448.30332299974</v>
      </c>
      <c r="I165">
        <f t="shared" si="36"/>
        <v>418448.30332299974</v>
      </c>
      <c r="J165">
        <f t="shared" si="36"/>
        <v>452376.54413297272</v>
      </c>
      <c r="K165">
        <f t="shared" si="36"/>
        <v>452376.54413297272</v>
      </c>
      <c r="L165">
        <f t="shared" si="36"/>
        <v>678564.81619945902</v>
      </c>
      <c r="M165">
        <f t="shared" si="36"/>
        <v>678564.81619945902</v>
      </c>
      <c r="N165">
        <f t="shared" si="36"/>
        <v>678564.81619945902</v>
      </c>
      <c r="O165">
        <f t="shared" si="36"/>
        <v>1244035.496365675</v>
      </c>
      <c r="P165">
        <f t="shared" si="36"/>
        <v>2488070.99273135</v>
      </c>
      <c r="Q165">
        <f t="shared" si="36"/>
        <v>2488070.99273135</v>
      </c>
      <c r="T165">
        <f t="shared" ref="T165:T188" si="37">C$158*$D120</f>
        <v>30996.505993585408</v>
      </c>
      <c r="U165">
        <f t="shared" ref="U165:U188" si="38">D$158*$D120</f>
        <v>61993.011987170816</v>
      </c>
      <c r="V165">
        <f t="shared" ref="V165:V188" si="39">E$158*$D120</f>
        <v>382290.24058755336</v>
      </c>
      <c r="W165">
        <f t="shared" ref="W165:W188" si="40">F$158*$D120</f>
        <v>382290.24058755336</v>
      </c>
      <c r="X165">
        <f t="shared" ref="X165:X188" si="41">G$158*$D120</f>
        <v>382290.24058755336</v>
      </c>
      <c r="Y165">
        <f t="shared" ref="Y165:Y188" si="42">H$158*$D120</f>
        <v>382290.24058755336</v>
      </c>
      <c r="Z165">
        <f t="shared" ref="Z165:Z188" si="43">I$158*$D120</f>
        <v>382290.24058755336</v>
      </c>
      <c r="AA165">
        <f t="shared" ref="AA165:AA188" si="44">J$158*$D120</f>
        <v>413286.74658113875</v>
      </c>
      <c r="AB165">
        <f t="shared" ref="AB165:AB188" si="45">K$158*$D120</f>
        <v>413286.74658113875</v>
      </c>
      <c r="AC165">
        <f t="shared" ref="AC165:AC188" si="46">L$158*$D120</f>
        <v>619930.11987170822</v>
      </c>
      <c r="AD165">
        <f t="shared" ref="AD165:AD188" si="47">M$158*$D120</f>
        <v>619930.11987170822</v>
      </c>
      <c r="AE165">
        <f t="shared" ref="AE165:AE188" si="48">N$158*$D120</f>
        <v>619930.11987170822</v>
      </c>
      <c r="AF165">
        <f t="shared" ref="AF165:AF188" si="49">O$158*$D120</f>
        <v>1136538.5530981317</v>
      </c>
      <c r="AG165">
        <f t="shared" ref="AG165:AG188" si="50">P$158*$D120</f>
        <v>2273077.1061962633</v>
      </c>
      <c r="AH165">
        <f t="shared" ref="AH165:AH188" si="51">Q$158*$D120</f>
        <v>2273077.1061962633</v>
      </c>
      <c r="AJ165">
        <f t="shared" ref="AJ165:AJ188" si="52">C$158*$E120</f>
        <v>36988.316762283808</v>
      </c>
      <c r="AK165">
        <f t="shared" ref="AK165:AK188" si="53">D$158*$E120</f>
        <v>73976.633524567616</v>
      </c>
      <c r="AL165">
        <f t="shared" ref="AL165:AL188" si="54">E$158*$E120</f>
        <v>456189.24006816692</v>
      </c>
      <c r="AM165">
        <f t="shared" ref="AM165:AM188" si="55">F$158*$E120</f>
        <v>456189.24006816692</v>
      </c>
      <c r="AN165">
        <f t="shared" ref="AN165:AN188" si="56">G$158*$E120</f>
        <v>456189.24006816692</v>
      </c>
      <c r="AO165">
        <f t="shared" ref="AO165:AO188" si="57">H$158*$E120</f>
        <v>456189.24006816692</v>
      </c>
      <c r="AP165">
        <f t="shared" ref="AP165:AP188" si="58">I$158*$E120</f>
        <v>456189.24006816692</v>
      </c>
      <c r="AQ165">
        <f t="shared" ref="AQ165:AQ188" si="59">J$158*$E120</f>
        <v>493177.55683045078</v>
      </c>
      <c r="AR165">
        <f t="shared" ref="AR165:AR188" si="60">K$158*$E120</f>
        <v>493177.55683045078</v>
      </c>
      <c r="AS165">
        <f t="shared" ref="AS165:AS188" si="61">L$158*$E120</f>
        <v>739766.33524567611</v>
      </c>
      <c r="AT165">
        <f t="shared" ref="AT165:AT188" si="62">M$158*$E120</f>
        <v>739766.33524567611</v>
      </c>
      <c r="AU165">
        <f t="shared" ref="AU165:AU188" si="63">N$158*$E120</f>
        <v>739766.33524567611</v>
      </c>
      <c r="AV165">
        <f t="shared" ref="AV165:AV188" si="64">O$158*$E120</f>
        <v>1356238.2812837397</v>
      </c>
      <c r="AW165">
        <f t="shared" ref="AW165:AW188" si="65">P$158*$E120</f>
        <v>2712476.5625674794</v>
      </c>
      <c r="AX165">
        <f t="shared" ref="AX165:AX188" si="66">Q$158*$E120</f>
        <v>2712476.5625674794</v>
      </c>
    </row>
    <row r="166" spans="1:50" x14ac:dyDescent="0.2">
      <c r="A166">
        <v>2023</v>
      </c>
      <c r="B166">
        <v>3</v>
      </c>
      <c r="C166">
        <f t="shared" ref="C166:Q166" si="67">C$158*$C121</f>
        <v>32534.39149957685</v>
      </c>
      <c r="D166">
        <f t="shared" si="67"/>
        <v>65068.7829991537</v>
      </c>
      <c r="E166">
        <f t="shared" si="67"/>
        <v>401257.49516144779</v>
      </c>
      <c r="F166">
        <f t="shared" si="67"/>
        <v>401257.49516144779</v>
      </c>
      <c r="G166">
        <f t="shared" si="67"/>
        <v>401257.49516144779</v>
      </c>
      <c r="H166">
        <f t="shared" si="67"/>
        <v>401257.49516144779</v>
      </c>
      <c r="I166">
        <f t="shared" si="67"/>
        <v>401257.49516144779</v>
      </c>
      <c r="J166">
        <f t="shared" si="67"/>
        <v>433791.88666102465</v>
      </c>
      <c r="K166">
        <f t="shared" si="67"/>
        <v>433791.88666102465</v>
      </c>
      <c r="L166">
        <f t="shared" si="67"/>
        <v>650687.82999153691</v>
      </c>
      <c r="M166">
        <f t="shared" si="67"/>
        <v>650687.82999153691</v>
      </c>
      <c r="N166">
        <f t="shared" si="67"/>
        <v>650687.82999153691</v>
      </c>
      <c r="O166">
        <f t="shared" si="67"/>
        <v>1192927.6883178179</v>
      </c>
      <c r="P166">
        <f t="shared" si="67"/>
        <v>2385855.3766356357</v>
      </c>
      <c r="Q166">
        <f t="shared" si="67"/>
        <v>2385855.3766356357</v>
      </c>
      <c r="T166">
        <f t="shared" si="37"/>
        <v>29538.292966557416</v>
      </c>
      <c r="U166">
        <f t="shared" si="38"/>
        <v>59076.585933114831</v>
      </c>
      <c r="V166">
        <f t="shared" si="39"/>
        <v>364305.61325420806</v>
      </c>
      <c r="W166">
        <f t="shared" si="40"/>
        <v>364305.61325420806</v>
      </c>
      <c r="X166">
        <f t="shared" si="41"/>
        <v>364305.61325420806</v>
      </c>
      <c r="Y166">
        <f t="shared" si="42"/>
        <v>364305.61325420806</v>
      </c>
      <c r="Z166">
        <f t="shared" si="43"/>
        <v>364305.61325420806</v>
      </c>
      <c r="AA166">
        <f t="shared" si="44"/>
        <v>393843.90622076549</v>
      </c>
      <c r="AB166">
        <f t="shared" si="45"/>
        <v>393843.90622076549</v>
      </c>
      <c r="AC166">
        <f t="shared" si="46"/>
        <v>590765.85933114821</v>
      </c>
      <c r="AD166">
        <f t="shared" si="47"/>
        <v>590765.85933114821</v>
      </c>
      <c r="AE166">
        <f t="shared" si="48"/>
        <v>590765.85933114821</v>
      </c>
      <c r="AF166">
        <f t="shared" si="49"/>
        <v>1083070.7421071052</v>
      </c>
      <c r="AG166">
        <f t="shared" si="50"/>
        <v>2166141.4842142104</v>
      </c>
      <c r="AH166">
        <f t="shared" si="51"/>
        <v>2166141.4842142104</v>
      </c>
      <c r="AJ166">
        <f t="shared" si="52"/>
        <v>35690.662487388581</v>
      </c>
      <c r="AK166">
        <f t="shared" si="53"/>
        <v>71381.324974777162</v>
      </c>
      <c r="AL166">
        <f t="shared" si="54"/>
        <v>440184.83734445908</v>
      </c>
      <c r="AM166">
        <f t="shared" si="55"/>
        <v>440184.83734445908</v>
      </c>
      <c r="AN166">
        <f t="shared" si="56"/>
        <v>440184.83734445908</v>
      </c>
      <c r="AO166">
        <f t="shared" si="57"/>
        <v>440184.83734445908</v>
      </c>
      <c r="AP166">
        <f t="shared" si="58"/>
        <v>440184.83734445908</v>
      </c>
      <c r="AQ166">
        <f t="shared" si="59"/>
        <v>475875.49983184767</v>
      </c>
      <c r="AR166">
        <f t="shared" si="60"/>
        <v>475875.49983184767</v>
      </c>
      <c r="AS166">
        <f t="shared" si="61"/>
        <v>713813.24974777154</v>
      </c>
      <c r="AT166">
        <f t="shared" si="62"/>
        <v>713813.24974777154</v>
      </c>
      <c r="AU166">
        <f t="shared" si="63"/>
        <v>713813.24974777154</v>
      </c>
      <c r="AV166">
        <f t="shared" si="64"/>
        <v>1308657.6245375811</v>
      </c>
      <c r="AW166">
        <f t="shared" si="65"/>
        <v>2617315.2490751622</v>
      </c>
      <c r="AX166">
        <f t="shared" si="66"/>
        <v>2617315.2490751622</v>
      </c>
    </row>
    <row r="167" spans="1:50" x14ac:dyDescent="0.2">
      <c r="A167">
        <v>2024</v>
      </c>
      <c r="B167">
        <v>4</v>
      </c>
      <c r="C167">
        <f t="shared" ref="C167:Q167" si="68">C$158*$C122</f>
        <v>31197.804689496432</v>
      </c>
      <c r="D167">
        <f t="shared" si="68"/>
        <v>62395.609378992864</v>
      </c>
      <c r="E167">
        <f t="shared" si="68"/>
        <v>384772.92450378928</v>
      </c>
      <c r="F167">
        <f t="shared" si="68"/>
        <v>384772.92450378928</v>
      </c>
      <c r="G167">
        <f t="shared" si="68"/>
        <v>384772.92450378928</v>
      </c>
      <c r="H167">
        <f t="shared" si="68"/>
        <v>384772.92450378928</v>
      </c>
      <c r="I167">
        <f t="shared" si="68"/>
        <v>384772.92450378928</v>
      </c>
      <c r="J167">
        <f t="shared" si="68"/>
        <v>415970.72919328575</v>
      </c>
      <c r="K167">
        <f t="shared" si="68"/>
        <v>415970.72919328575</v>
      </c>
      <c r="L167">
        <f t="shared" si="68"/>
        <v>623956.09378992859</v>
      </c>
      <c r="M167">
        <f t="shared" si="68"/>
        <v>623956.09378992859</v>
      </c>
      <c r="N167">
        <f t="shared" si="68"/>
        <v>623956.09378992859</v>
      </c>
      <c r="O167">
        <f t="shared" si="68"/>
        <v>1143919.5052815357</v>
      </c>
      <c r="P167">
        <f t="shared" si="68"/>
        <v>2287839.0105630714</v>
      </c>
      <c r="Q167">
        <f t="shared" si="68"/>
        <v>2287839.0105630714</v>
      </c>
      <c r="T167">
        <f t="shared" si="37"/>
        <v>28148.680743524365</v>
      </c>
      <c r="U167">
        <f t="shared" si="38"/>
        <v>56297.361487048729</v>
      </c>
      <c r="V167">
        <f t="shared" si="39"/>
        <v>347167.06250346714</v>
      </c>
      <c r="W167">
        <f t="shared" si="40"/>
        <v>347167.06250346714</v>
      </c>
      <c r="X167">
        <f t="shared" si="41"/>
        <v>347167.06250346714</v>
      </c>
      <c r="Y167">
        <f t="shared" si="42"/>
        <v>347167.06250346714</v>
      </c>
      <c r="Z167">
        <f t="shared" si="43"/>
        <v>347167.06250346714</v>
      </c>
      <c r="AA167">
        <f t="shared" si="44"/>
        <v>375315.74324699154</v>
      </c>
      <c r="AB167">
        <f t="shared" si="45"/>
        <v>375315.74324699154</v>
      </c>
      <c r="AC167">
        <f t="shared" si="46"/>
        <v>562973.61487048725</v>
      </c>
      <c r="AD167">
        <f t="shared" si="47"/>
        <v>562973.61487048725</v>
      </c>
      <c r="AE167">
        <f t="shared" si="48"/>
        <v>562973.61487048725</v>
      </c>
      <c r="AF167">
        <f t="shared" si="49"/>
        <v>1032118.2939292267</v>
      </c>
      <c r="AG167">
        <f t="shared" si="50"/>
        <v>2064236.5878584534</v>
      </c>
      <c r="AH167">
        <f t="shared" si="51"/>
        <v>2064236.5878584534</v>
      </c>
      <c r="AJ167">
        <f t="shared" si="52"/>
        <v>34438.533577380207</v>
      </c>
      <c r="AK167">
        <f t="shared" si="53"/>
        <v>68877.067154760414</v>
      </c>
      <c r="AL167">
        <f t="shared" si="54"/>
        <v>424741.91412102256</v>
      </c>
      <c r="AM167">
        <f t="shared" si="55"/>
        <v>424741.91412102256</v>
      </c>
      <c r="AN167">
        <f t="shared" si="56"/>
        <v>424741.91412102256</v>
      </c>
      <c r="AO167">
        <f t="shared" si="57"/>
        <v>424741.91412102256</v>
      </c>
      <c r="AP167">
        <f t="shared" si="58"/>
        <v>424741.91412102256</v>
      </c>
      <c r="AQ167">
        <f t="shared" si="59"/>
        <v>459180.4476984028</v>
      </c>
      <c r="AR167">
        <f t="shared" si="60"/>
        <v>459180.4476984028</v>
      </c>
      <c r="AS167">
        <f t="shared" si="61"/>
        <v>688770.67154760414</v>
      </c>
      <c r="AT167">
        <f t="shared" si="62"/>
        <v>688770.67154760414</v>
      </c>
      <c r="AU167">
        <f t="shared" si="63"/>
        <v>688770.67154760414</v>
      </c>
      <c r="AV167">
        <f t="shared" si="64"/>
        <v>1262746.2311706077</v>
      </c>
      <c r="AW167">
        <f t="shared" si="65"/>
        <v>2525492.4623412155</v>
      </c>
      <c r="AX167">
        <f t="shared" si="66"/>
        <v>2525492.4623412155</v>
      </c>
    </row>
    <row r="168" spans="1:50" x14ac:dyDescent="0.2">
      <c r="A168">
        <v>2025</v>
      </c>
      <c r="B168">
        <v>5</v>
      </c>
      <c r="C168">
        <f t="shared" ref="C168:Q168" si="69">C$158*$C123</f>
        <v>29916.127905961435</v>
      </c>
      <c r="D168">
        <f t="shared" si="69"/>
        <v>59832.255811922871</v>
      </c>
      <c r="E168">
        <f t="shared" si="69"/>
        <v>368965.57750685763</v>
      </c>
      <c r="F168">
        <f t="shared" si="69"/>
        <v>368965.57750685763</v>
      </c>
      <c r="G168">
        <f t="shared" si="69"/>
        <v>368965.57750685763</v>
      </c>
      <c r="H168">
        <f t="shared" si="69"/>
        <v>368965.57750685763</v>
      </c>
      <c r="I168">
        <f t="shared" si="69"/>
        <v>368965.57750685763</v>
      </c>
      <c r="J168">
        <f t="shared" si="69"/>
        <v>398881.70541281911</v>
      </c>
      <c r="K168">
        <f t="shared" si="69"/>
        <v>398881.70541281911</v>
      </c>
      <c r="L168">
        <f t="shared" si="69"/>
        <v>598322.55811922869</v>
      </c>
      <c r="M168">
        <f t="shared" si="69"/>
        <v>598322.55811922869</v>
      </c>
      <c r="N168">
        <f t="shared" si="69"/>
        <v>598322.55811922869</v>
      </c>
      <c r="O168">
        <f t="shared" si="69"/>
        <v>1096924.6898852526</v>
      </c>
      <c r="P168">
        <f t="shared" si="69"/>
        <v>2193849.3797705052</v>
      </c>
      <c r="Q168">
        <f t="shared" si="69"/>
        <v>2193849.3797705052</v>
      </c>
      <c r="T168">
        <f t="shared" si="37"/>
        <v>26824.442038608595</v>
      </c>
      <c r="U168">
        <f t="shared" si="38"/>
        <v>53648.88407721719</v>
      </c>
      <c r="V168">
        <f t="shared" si="39"/>
        <v>330834.7851428393</v>
      </c>
      <c r="W168">
        <f t="shared" si="40"/>
        <v>330834.7851428393</v>
      </c>
      <c r="X168">
        <f t="shared" si="41"/>
        <v>330834.7851428393</v>
      </c>
      <c r="Y168">
        <f t="shared" si="42"/>
        <v>330834.7851428393</v>
      </c>
      <c r="Z168">
        <f t="shared" si="43"/>
        <v>330834.7851428393</v>
      </c>
      <c r="AA168">
        <f t="shared" si="44"/>
        <v>357659.2271814479</v>
      </c>
      <c r="AB168">
        <f t="shared" si="45"/>
        <v>357659.2271814479</v>
      </c>
      <c r="AC168">
        <f t="shared" si="46"/>
        <v>536488.84077217185</v>
      </c>
      <c r="AD168">
        <f t="shared" si="47"/>
        <v>536488.84077217185</v>
      </c>
      <c r="AE168">
        <f t="shared" si="48"/>
        <v>536488.84077217185</v>
      </c>
      <c r="AF168">
        <f t="shared" si="49"/>
        <v>983562.87474898179</v>
      </c>
      <c r="AG168">
        <f t="shared" si="50"/>
        <v>1967125.7494979636</v>
      </c>
      <c r="AH168">
        <f t="shared" si="51"/>
        <v>1967125.7494979636</v>
      </c>
      <c r="AJ168">
        <f t="shared" si="52"/>
        <v>33230.332874303625</v>
      </c>
      <c r="AK168">
        <f t="shared" si="53"/>
        <v>66460.665748607251</v>
      </c>
      <c r="AL168">
        <f t="shared" si="54"/>
        <v>409840.77211641136</v>
      </c>
      <c r="AM168">
        <f t="shared" si="55"/>
        <v>409840.77211641136</v>
      </c>
      <c r="AN168">
        <f t="shared" si="56"/>
        <v>409840.77211641136</v>
      </c>
      <c r="AO168">
        <f t="shared" si="57"/>
        <v>409840.77211641136</v>
      </c>
      <c r="AP168">
        <f t="shared" si="58"/>
        <v>409840.77211641136</v>
      </c>
      <c r="AQ168">
        <f t="shared" si="59"/>
        <v>443071.10499071504</v>
      </c>
      <c r="AR168">
        <f t="shared" si="60"/>
        <v>443071.10499071504</v>
      </c>
      <c r="AS168">
        <f t="shared" si="61"/>
        <v>664606.65748607251</v>
      </c>
      <c r="AT168">
        <f t="shared" si="62"/>
        <v>664606.65748607251</v>
      </c>
      <c r="AU168">
        <f t="shared" si="63"/>
        <v>664606.65748607251</v>
      </c>
      <c r="AV168">
        <f t="shared" si="64"/>
        <v>1218445.5387244662</v>
      </c>
      <c r="AW168">
        <f t="shared" si="65"/>
        <v>2436891.0774489325</v>
      </c>
      <c r="AX168">
        <f t="shared" si="66"/>
        <v>2436891.0774489325</v>
      </c>
    </row>
    <row r="169" spans="1:50" x14ac:dyDescent="0.2">
      <c r="A169">
        <v>2026</v>
      </c>
      <c r="B169">
        <v>6</v>
      </c>
      <c r="C169">
        <f t="shared" ref="C169:Q169" si="70">C$158*$C124</f>
        <v>28687.105320175346</v>
      </c>
      <c r="D169">
        <f t="shared" si="70"/>
        <v>57374.210640350691</v>
      </c>
      <c r="E169">
        <f t="shared" si="70"/>
        <v>353807.63228216255</v>
      </c>
      <c r="F169">
        <f t="shared" si="70"/>
        <v>353807.63228216255</v>
      </c>
      <c r="G169">
        <f t="shared" si="70"/>
        <v>353807.63228216255</v>
      </c>
      <c r="H169">
        <f t="shared" si="70"/>
        <v>353807.63228216255</v>
      </c>
      <c r="I169">
        <f t="shared" si="70"/>
        <v>353807.63228216255</v>
      </c>
      <c r="J169">
        <f t="shared" si="70"/>
        <v>382494.7376023379</v>
      </c>
      <c r="K169">
        <f t="shared" si="70"/>
        <v>382494.7376023379</v>
      </c>
      <c r="L169">
        <f t="shared" si="70"/>
        <v>573742.10640350694</v>
      </c>
      <c r="M169">
        <f t="shared" si="70"/>
        <v>573742.10640350694</v>
      </c>
      <c r="N169">
        <f t="shared" si="70"/>
        <v>573742.10640350694</v>
      </c>
      <c r="O169">
        <f t="shared" si="70"/>
        <v>1051860.5284064293</v>
      </c>
      <c r="P169">
        <f t="shared" si="70"/>
        <v>2103721.0568128587</v>
      </c>
      <c r="Q169">
        <f t="shared" si="70"/>
        <v>2103721.0568128587</v>
      </c>
      <c r="T169">
        <f t="shared" si="37"/>
        <v>25562.501391764352</v>
      </c>
      <c r="U169">
        <f t="shared" si="38"/>
        <v>51125.002783528704</v>
      </c>
      <c r="V169">
        <f t="shared" si="39"/>
        <v>315270.850498427</v>
      </c>
      <c r="W169">
        <f t="shared" si="40"/>
        <v>315270.850498427</v>
      </c>
      <c r="X169">
        <f t="shared" si="41"/>
        <v>315270.850498427</v>
      </c>
      <c r="Y169">
        <f t="shared" si="42"/>
        <v>315270.850498427</v>
      </c>
      <c r="Z169">
        <f t="shared" si="43"/>
        <v>315270.850498427</v>
      </c>
      <c r="AA169">
        <f t="shared" si="44"/>
        <v>340833.35189019138</v>
      </c>
      <c r="AB169">
        <f t="shared" si="45"/>
        <v>340833.35189019138</v>
      </c>
      <c r="AC169">
        <f t="shared" si="46"/>
        <v>511250.02783528704</v>
      </c>
      <c r="AD169">
        <f t="shared" si="47"/>
        <v>511250.02783528704</v>
      </c>
      <c r="AE169">
        <f t="shared" si="48"/>
        <v>511250.02783528704</v>
      </c>
      <c r="AF169">
        <f t="shared" si="49"/>
        <v>937291.71769802622</v>
      </c>
      <c r="AG169">
        <f t="shared" si="50"/>
        <v>1874583.4353960524</v>
      </c>
      <c r="AH169">
        <f t="shared" si="51"/>
        <v>1874583.4353960524</v>
      </c>
      <c r="AJ169">
        <f t="shared" si="52"/>
        <v>32064.519253000868</v>
      </c>
      <c r="AK169">
        <f t="shared" si="53"/>
        <v>64129.038506001736</v>
      </c>
      <c r="AL169">
        <f t="shared" si="54"/>
        <v>395462.40412034403</v>
      </c>
      <c r="AM169">
        <f t="shared" si="55"/>
        <v>395462.40412034403</v>
      </c>
      <c r="AN169">
        <f t="shared" si="56"/>
        <v>395462.40412034403</v>
      </c>
      <c r="AO169">
        <f t="shared" si="57"/>
        <v>395462.40412034403</v>
      </c>
      <c r="AP169">
        <f t="shared" si="58"/>
        <v>395462.40412034403</v>
      </c>
      <c r="AQ169">
        <f t="shared" si="59"/>
        <v>427526.92337334488</v>
      </c>
      <c r="AR169">
        <f t="shared" si="60"/>
        <v>427526.92337334488</v>
      </c>
      <c r="AS169">
        <f t="shared" si="61"/>
        <v>641290.38506001735</v>
      </c>
      <c r="AT169">
        <f t="shared" si="62"/>
        <v>641290.38506001735</v>
      </c>
      <c r="AU169">
        <f t="shared" si="63"/>
        <v>641290.38506001735</v>
      </c>
      <c r="AV169">
        <f t="shared" si="64"/>
        <v>1175699.0392766984</v>
      </c>
      <c r="AW169">
        <f t="shared" si="65"/>
        <v>2351398.0785533967</v>
      </c>
      <c r="AX169">
        <f t="shared" si="66"/>
        <v>2351398.0785533967</v>
      </c>
    </row>
    <row r="170" spans="1:50" x14ac:dyDescent="0.2">
      <c r="A170">
        <v>2027</v>
      </c>
      <c r="B170">
        <v>7</v>
      </c>
      <c r="C170">
        <f t="shared" ref="C170:Q170" si="71">C$158*$C125</f>
        <v>27508.573777920039</v>
      </c>
      <c r="D170">
        <f t="shared" si="71"/>
        <v>55017.147555840078</v>
      </c>
      <c r="E170">
        <f t="shared" si="71"/>
        <v>339272.40992768045</v>
      </c>
      <c r="F170">
        <f t="shared" si="71"/>
        <v>339272.40992768045</v>
      </c>
      <c r="G170">
        <f t="shared" si="71"/>
        <v>339272.40992768045</v>
      </c>
      <c r="H170">
        <f t="shared" si="71"/>
        <v>339272.40992768045</v>
      </c>
      <c r="I170">
        <f t="shared" si="71"/>
        <v>339272.40992768045</v>
      </c>
      <c r="J170">
        <f t="shared" si="71"/>
        <v>366780.98370560049</v>
      </c>
      <c r="K170">
        <f t="shared" si="71"/>
        <v>366780.98370560049</v>
      </c>
      <c r="L170">
        <f t="shared" si="71"/>
        <v>550171.47555840074</v>
      </c>
      <c r="M170">
        <f t="shared" si="71"/>
        <v>550171.47555840074</v>
      </c>
      <c r="N170">
        <f t="shared" si="71"/>
        <v>550171.47555840074</v>
      </c>
      <c r="O170">
        <f t="shared" si="71"/>
        <v>1008647.7051904014</v>
      </c>
      <c r="P170">
        <f t="shared" si="71"/>
        <v>2017295.4103808028</v>
      </c>
      <c r="Q170">
        <f t="shared" si="71"/>
        <v>2017295.4103808028</v>
      </c>
      <c r="T170">
        <f t="shared" si="37"/>
        <v>24359.928026217734</v>
      </c>
      <c r="U170">
        <f t="shared" si="38"/>
        <v>48719.856052435469</v>
      </c>
      <c r="V170">
        <f t="shared" si="39"/>
        <v>300439.11232335202</v>
      </c>
      <c r="W170">
        <f t="shared" si="40"/>
        <v>300439.11232335202</v>
      </c>
      <c r="X170">
        <f t="shared" si="41"/>
        <v>300439.11232335202</v>
      </c>
      <c r="Y170">
        <f t="shared" si="42"/>
        <v>300439.11232335202</v>
      </c>
      <c r="Z170">
        <f t="shared" si="43"/>
        <v>300439.11232335202</v>
      </c>
      <c r="AA170">
        <f t="shared" si="44"/>
        <v>324799.04034956975</v>
      </c>
      <c r="AB170">
        <f t="shared" si="45"/>
        <v>324799.04034956975</v>
      </c>
      <c r="AC170">
        <f t="shared" si="46"/>
        <v>487198.56052435463</v>
      </c>
      <c r="AD170">
        <f t="shared" si="47"/>
        <v>487198.56052435463</v>
      </c>
      <c r="AE170">
        <f t="shared" si="48"/>
        <v>487198.56052435463</v>
      </c>
      <c r="AF170">
        <f t="shared" si="49"/>
        <v>893197.36096131685</v>
      </c>
      <c r="AG170">
        <f t="shared" si="50"/>
        <v>1786394.7219226337</v>
      </c>
      <c r="AH170">
        <f t="shared" si="51"/>
        <v>1786394.7219226337</v>
      </c>
      <c r="AJ170">
        <f t="shared" si="52"/>
        <v>30939.60565532279</v>
      </c>
      <c r="AK170">
        <f t="shared" si="53"/>
        <v>61879.21131064558</v>
      </c>
      <c r="AL170">
        <f t="shared" si="54"/>
        <v>381588.46974898101</v>
      </c>
      <c r="AM170">
        <f t="shared" si="55"/>
        <v>381588.46974898101</v>
      </c>
      <c r="AN170">
        <f t="shared" si="56"/>
        <v>381588.46974898101</v>
      </c>
      <c r="AO170">
        <f t="shared" si="57"/>
        <v>381588.46974898101</v>
      </c>
      <c r="AP170">
        <f t="shared" si="58"/>
        <v>381588.46974898101</v>
      </c>
      <c r="AQ170">
        <f t="shared" si="59"/>
        <v>412528.07540430385</v>
      </c>
      <c r="AR170">
        <f t="shared" si="60"/>
        <v>412528.07540430385</v>
      </c>
      <c r="AS170">
        <f t="shared" si="61"/>
        <v>618792.11310645577</v>
      </c>
      <c r="AT170">
        <f t="shared" si="62"/>
        <v>618792.11310645577</v>
      </c>
      <c r="AU170">
        <f t="shared" si="63"/>
        <v>618792.11310645577</v>
      </c>
      <c r="AV170">
        <f t="shared" si="64"/>
        <v>1134452.2073618355</v>
      </c>
      <c r="AW170">
        <f t="shared" si="65"/>
        <v>2268904.414723671</v>
      </c>
      <c r="AX170">
        <f t="shared" si="66"/>
        <v>2268904.414723671</v>
      </c>
    </row>
    <row r="171" spans="1:50" x14ac:dyDescent="0.2">
      <c r="A171">
        <v>2028</v>
      </c>
      <c r="B171">
        <v>8</v>
      </c>
      <c r="C171">
        <f t="shared" ref="C171:Q171" si="72">C$158*$C126</f>
        <v>26378.458992273281</v>
      </c>
      <c r="D171">
        <f t="shared" si="72"/>
        <v>52756.917984546562</v>
      </c>
      <c r="E171">
        <f t="shared" si="72"/>
        <v>325334.32757137046</v>
      </c>
      <c r="F171">
        <f t="shared" si="72"/>
        <v>325334.32757137046</v>
      </c>
      <c r="G171">
        <f t="shared" si="72"/>
        <v>325334.32757137046</v>
      </c>
      <c r="H171">
        <f t="shared" si="72"/>
        <v>325334.32757137046</v>
      </c>
      <c r="I171">
        <f t="shared" si="72"/>
        <v>325334.32757137046</v>
      </c>
      <c r="J171">
        <f t="shared" si="72"/>
        <v>351712.78656364378</v>
      </c>
      <c r="K171">
        <f t="shared" si="72"/>
        <v>351712.78656364378</v>
      </c>
      <c r="L171">
        <f t="shared" si="72"/>
        <v>527569.17984546558</v>
      </c>
      <c r="M171">
        <f t="shared" si="72"/>
        <v>527569.17984546558</v>
      </c>
      <c r="N171">
        <f t="shared" si="72"/>
        <v>527569.17984546558</v>
      </c>
      <c r="O171">
        <f t="shared" si="72"/>
        <v>967210.16305002035</v>
      </c>
      <c r="P171">
        <f t="shared" si="72"/>
        <v>1934420.3261000407</v>
      </c>
      <c r="Q171">
        <f t="shared" si="72"/>
        <v>1934420.3261000407</v>
      </c>
      <c r="T171">
        <f t="shared" si="37"/>
        <v>23213.929041924268</v>
      </c>
      <c r="U171">
        <f t="shared" si="38"/>
        <v>46427.858083848536</v>
      </c>
      <c r="V171">
        <f t="shared" si="39"/>
        <v>286305.12485039927</v>
      </c>
      <c r="W171">
        <f t="shared" si="40"/>
        <v>286305.12485039927</v>
      </c>
      <c r="X171">
        <f t="shared" si="41"/>
        <v>286305.12485039927</v>
      </c>
      <c r="Y171">
        <f t="shared" si="42"/>
        <v>286305.12485039927</v>
      </c>
      <c r="Z171">
        <f t="shared" si="43"/>
        <v>286305.12485039927</v>
      </c>
      <c r="AA171">
        <f t="shared" si="44"/>
        <v>309519.05389232357</v>
      </c>
      <c r="AB171">
        <f t="shared" si="45"/>
        <v>309519.05389232357</v>
      </c>
      <c r="AC171">
        <f t="shared" si="46"/>
        <v>464278.58083848533</v>
      </c>
      <c r="AD171">
        <f t="shared" si="47"/>
        <v>464278.58083848533</v>
      </c>
      <c r="AE171">
        <f t="shared" si="48"/>
        <v>464278.58083848533</v>
      </c>
      <c r="AF171">
        <f t="shared" si="49"/>
        <v>851177.39820388984</v>
      </c>
      <c r="AG171">
        <f t="shared" si="50"/>
        <v>1702354.7964077797</v>
      </c>
      <c r="AH171">
        <f t="shared" si="51"/>
        <v>1702354.7964077797</v>
      </c>
      <c r="AJ171">
        <f t="shared" si="52"/>
        <v>29854.157193306222</v>
      </c>
      <c r="AK171">
        <f t="shared" si="53"/>
        <v>59708.314386612445</v>
      </c>
      <c r="AL171">
        <f t="shared" si="54"/>
        <v>368201.27205077669</v>
      </c>
      <c r="AM171">
        <f t="shared" si="55"/>
        <v>368201.27205077669</v>
      </c>
      <c r="AN171">
        <f t="shared" si="56"/>
        <v>368201.27205077669</v>
      </c>
      <c r="AO171">
        <f t="shared" si="57"/>
        <v>368201.27205077669</v>
      </c>
      <c r="AP171">
        <f t="shared" si="58"/>
        <v>368201.27205077669</v>
      </c>
      <c r="AQ171">
        <f t="shared" si="59"/>
        <v>398055.42924408294</v>
      </c>
      <c r="AR171">
        <f t="shared" si="60"/>
        <v>398055.42924408294</v>
      </c>
      <c r="AS171">
        <f t="shared" si="61"/>
        <v>597083.14386612445</v>
      </c>
      <c r="AT171">
        <f t="shared" si="62"/>
        <v>597083.14386612445</v>
      </c>
      <c r="AU171">
        <f t="shared" si="63"/>
        <v>597083.14386612445</v>
      </c>
      <c r="AV171">
        <f t="shared" si="64"/>
        <v>1094652.4304212281</v>
      </c>
      <c r="AW171">
        <f t="shared" si="65"/>
        <v>2189304.8608424561</v>
      </c>
      <c r="AX171">
        <f t="shared" si="66"/>
        <v>2189304.8608424561</v>
      </c>
    </row>
    <row r="172" spans="1:50" x14ac:dyDescent="0.2">
      <c r="A172">
        <v>2029</v>
      </c>
      <c r="B172">
        <v>9</v>
      </c>
      <c r="C172">
        <f t="shared" ref="C172:Q172" si="73">C$158*$C127</f>
        <v>25294.771892738063</v>
      </c>
      <c r="D172">
        <f t="shared" si="73"/>
        <v>50589.543785476126</v>
      </c>
      <c r="E172">
        <f t="shared" si="73"/>
        <v>311968.85334376938</v>
      </c>
      <c r="F172">
        <f t="shared" si="73"/>
        <v>311968.85334376938</v>
      </c>
      <c r="G172">
        <f t="shared" si="73"/>
        <v>311968.85334376938</v>
      </c>
      <c r="H172">
        <f t="shared" si="73"/>
        <v>311968.85334376938</v>
      </c>
      <c r="I172">
        <f t="shared" si="73"/>
        <v>311968.85334376938</v>
      </c>
      <c r="J172">
        <f t="shared" si="73"/>
        <v>337263.62523650751</v>
      </c>
      <c r="K172">
        <f t="shared" si="73"/>
        <v>337263.62523650751</v>
      </c>
      <c r="L172">
        <f t="shared" si="73"/>
        <v>505895.43785476126</v>
      </c>
      <c r="M172">
        <f t="shared" si="73"/>
        <v>505895.43785476126</v>
      </c>
      <c r="N172">
        <f t="shared" si="73"/>
        <v>505895.43785476126</v>
      </c>
      <c r="O172">
        <f t="shared" si="73"/>
        <v>927474.96940039564</v>
      </c>
      <c r="P172">
        <f t="shared" si="73"/>
        <v>1854949.9388007913</v>
      </c>
      <c r="Q172">
        <f t="shared" si="73"/>
        <v>1854949.9388007913</v>
      </c>
      <c r="T172">
        <f t="shared" si="37"/>
        <v>22121.842929236511</v>
      </c>
      <c r="U172">
        <f t="shared" si="38"/>
        <v>44243.685858473022</v>
      </c>
      <c r="V172">
        <f t="shared" si="39"/>
        <v>272836.06279391696</v>
      </c>
      <c r="W172">
        <f t="shared" si="40"/>
        <v>272836.06279391696</v>
      </c>
      <c r="X172">
        <f t="shared" si="41"/>
        <v>272836.06279391696</v>
      </c>
      <c r="Y172">
        <f t="shared" si="42"/>
        <v>272836.06279391696</v>
      </c>
      <c r="Z172">
        <f t="shared" si="43"/>
        <v>272836.06279391696</v>
      </c>
      <c r="AA172">
        <f t="shared" si="44"/>
        <v>294957.9057231535</v>
      </c>
      <c r="AB172">
        <f t="shared" si="45"/>
        <v>294957.9057231535</v>
      </c>
      <c r="AC172">
        <f t="shared" si="46"/>
        <v>442436.85858473025</v>
      </c>
      <c r="AD172">
        <f t="shared" si="47"/>
        <v>442436.85858473025</v>
      </c>
      <c r="AE172">
        <f t="shared" si="48"/>
        <v>442436.85858473025</v>
      </c>
      <c r="AF172">
        <f t="shared" si="49"/>
        <v>811134.24073867209</v>
      </c>
      <c r="AG172">
        <f t="shared" si="50"/>
        <v>1622268.4814773442</v>
      </c>
      <c r="AH172">
        <f t="shared" si="51"/>
        <v>1622268.4814773442</v>
      </c>
      <c r="AJ172">
        <f t="shared" si="52"/>
        <v>28806.789318897005</v>
      </c>
      <c r="AK172">
        <f t="shared" si="53"/>
        <v>57613.578637794009</v>
      </c>
      <c r="AL172">
        <f t="shared" si="54"/>
        <v>355283.73493306304</v>
      </c>
      <c r="AM172">
        <f t="shared" si="55"/>
        <v>355283.73493306304</v>
      </c>
      <c r="AN172">
        <f t="shared" si="56"/>
        <v>355283.73493306304</v>
      </c>
      <c r="AO172">
        <f t="shared" si="57"/>
        <v>355283.73493306304</v>
      </c>
      <c r="AP172">
        <f t="shared" si="58"/>
        <v>355283.73493306304</v>
      </c>
      <c r="AQ172">
        <f t="shared" si="59"/>
        <v>384090.52425196004</v>
      </c>
      <c r="AR172">
        <f t="shared" si="60"/>
        <v>384090.52425196004</v>
      </c>
      <c r="AS172">
        <f t="shared" si="61"/>
        <v>576135.78637794009</v>
      </c>
      <c r="AT172">
        <f t="shared" si="62"/>
        <v>576135.78637794009</v>
      </c>
      <c r="AU172">
        <f t="shared" si="63"/>
        <v>576135.78637794009</v>
      </c>
      <c r="AV172">
        <f t="shared" si="64"/>
        <v>1056248.9416928901</v>
      </c>
      <c r="AW172">
        <f t="shared" si="65"/>
        <v>2112497.8833857803</v>
      </c>
      <c r="AX172">
        <f t="shared" si="66"/>
        <v>2112497.8833857803</v>
      </c>
    </row>
    <row r="173" spans="1:50" x14ac:dyDescent="0.2">
      <c r="A173">
        <v>2030</v>
      </c>
      <c r="B173">
        <v>10</v>
      </c>
      <c r="C173">
        <f t="shared" ref="C173:Q173" si="74">C$158*$C128</f>
        <v>24255.605124358011</v>
      </c>
      <c r="D173">
        <f t="shared" si="74"/>
        <v>48511.210248716023</v>
      </c>
      <c r="E173">
        <f t="shared" si="74"/>
        <v>299152.46320041543</v>
      </c>
      <c r="F173">
        <f t="shared" si="74"/>
        <v>299152.46320041543</v>
      </c>
      <c r="G173">
        <f t="shared" si="74"/>
        <v>299152.46320041543</v>
      </c>
      <c r="H173">
        <f t="shared" si="74"/>
        <v>299152.46320041543</v>
      </c>
      <c r="I173">
        <f t="shared" si="74"/>
        <v>299152.46320041543</v>
      </c>
      <c r="J173">
        <f t="shared" si="74"/>
        <v>323408.06832477346</v>
      </c>
      <c r="K173">
        <f t="shared" si="74"/>
        <v>323408.06832477346</v>
      </c>
      <c r="L173">
        <f t="shared" si="74"/>
        <v>485112.10248716018</v>
      </c>
      <c r="M173">
        <f t="shared" si="74"/>
        <v>485112.10248716018</v>
      </c>
      <c r="N173">
        <f t="shared" si="74"/>
        <v>485112.10248716018</v>
      </c>
      <c r="O173">
        <f t="shared" si="74"/>
        <v>889372.18789312709</v>
      </c>
      <c r="P173">
        <f t="shared" si="74"/>
        <v>1778744.3757862542</v>
      </c>
      <c r="Q173">
        <f t="shared" si="74"/>
        <v>1778744.3757862542</v>
      </c>
      <c r="T173">
        <f t="shared" si="37"/>
        <v>21081.13338771736</v>
      </c>
      <c r="U173">
        <f t="shared" si="38"/>
        <v>42162.26677543472</v>
      </c>
      <c r="V173">
        <f t="shared" si="39"/>
        <v>260000.64511518073</v>
      </c>
      <c r="W173">
        <f t="shared" si="40"/>
        <v>260000.64511518073</v>
      </c>
      <c r="X173">
        <f t="shared" si="41"/>
        <v>260000.64511518073</v>
      </c>
      <c r="Y173">
        <f t="shared" si="42"/>
        <v>260000.64511518073</v>
      </c>
      <c r="Z173">
        <f t="shared" si="43"/>
        <v>260000.64511518073</v>
      </c>
      <c r="AA173">
        <f t="shared" si="44"/>
        <v>281081.77850289812</v>
      </c>
      <c r="AB173">
        <f t="shared" si="45"/>
        <v>281081.77850289812</v>
      </c>
      <c r="AC173">
        <f t="shared" si="46"/>
        <v>421622.66775434715</v>
      </c>
      <c r="AD173">
        <f t="shared" si="47"/>
        <v>421622.66775434715</v>
      </c>
      <c r="AE173">
        <f t="shared" si="48"/>
        <v>421622.66775434715</v>
      </c>
      <c r="AF173">
        <f t="shared" si="49"/>
        <v>772974.89088296972</v>
      </c>
      <c r="AG173">
        <f t="shared" si="50"/>
        <v>1545949.7817659394</v>
      </c>
      <c r="AH173">
        <f t="shared" si="51"/>
        <v>1545949.7817659394</v>
      </c>
      <c r="AJ173">
        <f t="shared" si="52"/>
        <v>27796.166057884217</v>
      </c>
      <c r="AK173">
        <f t="shared" si="53"/>
        <v>55592.332115768433</v>
      </c>
      <c r="AL173">
        <f t="shared" si="54"/>
        <v>342819.38138057198</v>
      </c>
      <c r="AM173">
        <f t="shared" si="55"/>
        <v>342819.38138057198</v>
      </c>
      <c r="AN173">
        <f t="shared" si="56"/>
        <v>342819.38138057198</v>
      </c>
      <c r="AO173">
        <f t="shared" si="57"/>
        <v>342819.38138057198</v>
      </c>
      <c r="AP173">
        <f t="shared" si="58"/>
        <v>342819.38138057198</v>
      </c>
      <c r="AQ173">
        <f t="shared" si="59"/>
        <v>370615.54743845621</v>
      </c>
      <c r="AR173">
        <f t="shared" si="60"/>
        <v>370615.54743845621</v>
      </c>
      <c r="AS173">
        <f t="shared" si="61"/>
        <v>555923.32115768432</v>
      </c>
      <c r="AT173">
        <f t="shared" si="62"/>
        <v>555923.32115768432</v>
      </c>
      <c r="AU173">
        <f t="shared" si="63"/>
        <v>555923.32115768432</v>
      </c>
      <c r="AV173">
        <f t="shared" si="64"/>
        <v>1019192.7554557546</v>
      </c>
      <c r="AW173">
        <f t="shared" si="65"/>
        <v>2038385.5109115092</v>
      </c>
      <c r="AX173">
        <f t="shared" si="66"/>
        <v>2038385.5109115092</v>
      </c>
    </row>
    <row r="174" spans="1:50" x14ac:dyDescent="0.2">
      <c r="A174">
        <v>2031</v>
      </c>
      <c r="B174">
        <v>11</v>
      </c>
      <c r="C174">
        <f t="shared" ref="C174:Q174" si="75">C$158*$C129</f>
        <v>23259.129690657104</v>
      </c>
      <c r="D174">
        <f t="shared" si="75"/>
        <v>46518.259381314208</v>
      </c>
      <c r="E174">
        <f t="shared" si="75"/>
        <v>286862.59951810422</v>
      </c>
      <c r="F174">
        <f t="shared" si="75"/>
        <v>286862.59951810422</v>
      </c>
      <c r="G174">
        <f t="shared" si="75"/>
        <v>286862.59951810422</v>
      </c>
      <c r="H174">
        <f t="shared" si="75"/>
        <v>286862.59951810422</v>
      </c>
      <c r="I174">
        <f t="shared" si="75"/>
        <v>286862.59951810422</v>
      </c>
      <c r="J174">
        <f t="shared" si="75"/>
        <v>310121.72920876136</v>
      </c>
      <c r="K174">
        <f t="shared" si="75"/>
        <v>310121.72920876136</v>
      </c>
      <c r="L174">
        <f t="shared" si="75"/>
        <v>465182.59381314204</v>
      </c>
      <c r="M174">
        <f t="shared" si="75"/>
        <v>465182.59381314204</v>
      </c>
      <c r="N174">
        <f t="shared" si="75"/>
        <v>465182.59381314204</v>
      </c>
      <c r="O174">
        <f t="shared" si="75"/>
        <v>852834.75532409374</v>
      </c>
      <c r="P174">
        <f t="shared" si="75"/>
        <v>1705669.5106481875</v>
      </c>
      <c r="Q174">
        <f t="shared" si="75"/>
        <v>1705669.5106481875</v>
      </c>
      <c r="T174">
        <f t="shared" si="37"/>
        <v>20089.383435743868</v>
      </c>
      <c r="U174">
        <f t="shared" si="38"/>
        <v>40178.766871487736</v>
      </c>
      <c r="V174">
        <f t="shared" si="39"/>
        <v>247769.06237417436</v>
      </c>
      <c r="W174">
        <f t="shared" si="40"/>
        <v>247769.06237417436</v>
      </c>
      <c r="X174">
        <f t="shared" si="41"/>
        <v>247769.06237417436</v>
      </c>
      <c r="Y174">
        <f t="shared" si="42"/>
        <v>247769.06237417436</v>
      </c>
      <c r="Z174">
        <f t="shared" si="43"/>
        <v>247769.06237417436</v>
      </c>
      <c r="AA174">
        <f t="shared" si="44"/>
        <v>267858.44580991822</v>
      </c>
      <c r="AB174">
        <f t="shared" si="45"/>
        <v>267858.44580991822</v>
      </c>
      <c r="AC174">
        <f t="shared" si="46"/>
        <v>401787.66871487739</v>
      </c>
      <c r="AD174">
        <f t="shared" si="47"/>
        <v>401787.66871487739</v>
      </c>
      <c r="AE174">
        <f t="shared" si="48"/>
        <v>401787.66871487739</v>
      </c>
      <c r="AF174">
        <f t="shared" si="49"/>
        <v>736610.72597727517</v>
      </c>
      <c r="AG174">
        <f t="shared" si="50"/>
        <v>1473221.4519545503</v>
      </c>
      <c r="AH174">
        <f t="shared" si="51"/>
        <v>1473221.4519545503</v>
      </c>
      <c r="AJ174">
        <f t="shared" si="52"/>
        <v>26820.998305793084</v>
      </c>
      <c r="AK174">
        <f t="shared" si="53"/>
        <v>53641.996611586168</v>
      </c>
      <c r="AL174">
        <f t="shared" si="54"/>
        <v>330792.31243811466</v>
      </c>
      <c r="AM174">
        <f t="shared" si="55"/>
        <v>330792.31243811466</v>
      </c>
      <c r="AN174">
        <f t="shared" si="56"/>
        <v>330792.31243811466</v>
      </c>
      <c r="AO174">
        <f t="shared" si="57"/>
        <v>330792.31243811466</v>
      </c>
      <c r="AP174">
        <f t="shared" si="58"/>
        <v>330792.31243811466</v>
      </c>
      <c r="AQ174">
        <f t="shared" si="59"/>
        <v>357613.31074390776</v>
      </c>
      <c r="AR174">
        <f t="shared" si="60"/>
        <v>357613.31074390776</v>
      </c>
      <c r="AS174">
        <f t="shared" si="61"/>
        <v>536419.96611586167</v>
      </c>
      <c r="AT174">
        <f t="shared" si="62"/>
        <v>536419.96611586167</v>
      </c>
      <c r="AU174">
        <f t="shared" si="63"/>
        <v>536419.96611586167</v>
      </c>
      <c r="AV174">
        <f t="shared" si="64"/>
        <v>983436.60454574635</v>
      </c>
      <c r="AW174">
        <f t="shared" si="65"/>
        <v>1966873.2090914927</v>
      </c>
      <c r="AX174">
        <f t="shared" si="66"/>
        <v>1966873.2090914927</v>
      </c>
    </row>
    <row r="175" spans="1:50" x14ac:dyDescent="0.2">
      <c r="A175">
        <v>2032</v>
      </c>
      <c r="B175">
        <v>12</v>
      </c>
      <c r="C175">
        <f t="shared" ref="C175:Q175" si="76">C$158*$C130</f>
        <v>22303.591734495039</v>
      </c>
      <c r="D175">
        <f t="shared" si="76"/>
        <v>44607.183468990079</v>
      </c>
      <c r="E175">
        <f t="shared" si="76"/>
        <v>275077.63139210542</v>
      </c>
      <c r="F175">
        <f t="shared" si="76"/>
        <v>275077.63139210542</v>
      </c>
      <c r="G175">
        <f t="shared" si="76"/>
        <v>275077.63139210542</v>
      </c>
      <c r="H175">
        <f t="shared" si="76"/>
        <v>275077.63139210542</v>
      </c>
      <c r="I175">
        <f t="shared" si="76"/>
        <v>275077.63139210542</v>
      </c>
      <c r="J175">
        <f t="shared" si="76"/>
        <v>297381.2231266005</v>
      </c>
      <c r="K175">
        <f t="shared" si="76"/>
        <v>297381.2231266005</v>
      </c>
      <c r="L175">
        <f t="shared" si="76"/>
        <v>446071.83468990074</v>
      </c>
      <c r="M175">
        <f t="shared" si="76"/>
        <v>446071.83468990074</v>
      </c>
      <c r="N175">
        <f t="shared" si="76"/>
        <v>446071.83468990074</v>
      </c>
      <c r="O175">
        <f t="shared" si="76"/>
        <v>817798.36359815137</v>
      </c>
      <c r="P175">
        <f t="shared" si="76"/>
        <v>1635596.7271963027</v>
      </c>
      <c r="Q175">
        <f t="shared" si="76"/>
        <v>1635596.7271963027</v>
      </c>
      <c r="T175">
        <f t="shared" si="37"/>
        <v>19144.289797221365</v>
      </c>
      <c r="U175">
        <f t="shared" si="38"/>
        <v>38288.57959444273</v>
      </c>
      <c r="V175">
        <f t="shared" si="39"/>
        <v>236112.90749906347</v>
      </c>
      <c r="W175">
        <f t="shared" si="40"/>
        <v>236112.90749906347</v>
      </c>
      <c r="X175">
        <f t="shared" si="41"/>
        <v>236112.90749906347</v>
      </c>
      <c r="Y175">
        <f t="shared" si="42"/>
        <v>236112.90749906347</v>
      </c>
      <c r="Z175">
        <f t="shared" si="43"/>
        <v>236112.90749906347</v>
      </c>
      <c r="AA175">
        <f t="shared" si="44"/>
        <v>255257.19729628484</v>
      </c>
      <c r="AB175">
        <f t="shared" si="45"/>
        <v>255257.19729628484</v>
      </c>
      <c r="AC175">
        <f t="shared" si="46"/>
        <v>382885.79594442726</v>
      </c>
      <c r="AD175">
        <f t="shared" si="47"/>
        <v>382885.79594442726</v>
      </c>
      <c r="AE175">
        <f t="shared" si="48"/>
        <v>382885.79594442726</v>
      </c>
      <c r="AF175">
        <f t="shared" si="49"/>
        <v>701957.29256478325</v>
      </c>
      <c r="AG175">
        <f t="shared" si="50"/>
        <v>1403914.5851295665</v>
      </c>
      <c r="AH175">
        <f t="shared" si="51"/>
        <v>1403914.5851295665</v>
      </c>
      <c r="AJ175">
        <f t="shared" si="52"/>
        <v>25880.042183562629</v>
      </c>
      <c r="AK175">
        <f t="shared" si="53"/>
        <v>51760.084367125259</v>
      </c>
      <c r="AL175">
        <f t="shared" si="54"/>
        <v>319187.18693060573</v>
      </c>
      <c r="AM175">
        <f t="shared" si="55"/>
        <v>319187.18693060573</v>
      </c>
      <c r="AN175">
        <f t="shared" si="56"/>
        <v>319187.18693060573</v>
      </c>
      <c r="AO175">
        <f t="shared" si="57"/>
        <v>319187.18693060573</v>
      </c>
      <c r="AP175">
        <f t="shared" si="58"/>
        <v>319187.18693060573</v>
      </c>
      <c r="AQ175">
        <f t="shared" si="59"/>
        <v>345067.22911416838</v>
      </c>
      <c r="AR175">
        <f t="shared" si="60"/>
        <v>345067.22911416838</v>
      </c>
      <c r="AS175">
        <f t="shared" si="61"/>
        <v>517600.8436712526</v>
      </c>
      <c r="AT175">
        <f t="shared" si="62"/>
        <v>517600.8436712526</v>
      </c>
      <c r="AU175">
        <f t="shared" si="63"/>
        <v>517600.8436712526</v>
      </c>
      <c r="AV175">
        <f t="shared" si="64"/>
        <v>948934.88006396312</v>
      </c>
      <c r="AW175">
        <f t="shared" si="65"/>
        <v>1897869.7601279262</v>
      </c>
      <c r="AX175">
        <f t="shared" si="66"/>
        <v>1897869.7601279262</v>
      </c>
    </row>
    <row r="176" spans="1:50" x14ac:dyDescent="0.2">
      <c r="A176">
        <v>2033</v>
      </c>
      <c r="B176">
        <v>13</v>
      </c>
      <c r="C176">
        <f t="shared" ref="C176:Q176" si="77">C$158*$C131</f>
        <v>21387.309451172408</v>
      </c>
      <c r="D176">
        <f t="shared" si="77"/>
        <v>42774.618902344817</v>
      </c>
      <c r="E176">
        <f t="shared" si="77"/>
        <v>263776.8165644597</v>
      </c>
      <c r="F176">
        <f t="shared" si="77"/>
        <v>263776.8165644597</v>
      </c>
      <c r="G176">
        <f t="shared" si="77"/>
        <v>263776.8165644597</v>
      </c>
      <c r="H176">
        <f t="shared" si="77"/>
        <v>263776.8165644597</v>
      </c>
      <c r="I176">
        <f t="shared" si="77"/>
        <v>263776.8165644597</v>
      </c>
      <c r="J176">
        <f t="shared" si="77"/>
        <v>285164.12601563212</v>
      </c>
      <c r="K176">
        <f t="shared" si="77"/>
        <v>285164.12601563212</v>
      </c>
      <c r="L176">
        <f t="shared" si="77"/>
        <v>427746.18902344815</v>
      </c>
      <c r="M176">
        <f t="shared" si="77"/>
        <v>427746.18902344815</v>
      </c>
      <c r="N176">
        <f t="shared" si="77"/>
        <v>427746.18902344815</v>
      </c>
      <c r="O176">
        <f t="shared" si="77"/>
        <v>784201.34654298832</v>
      </c>
      <c r="P176">
        <f t="shared" si="77"/>
        <v>1568402.6930859766</v>
      </c>
      <c r="Q176">
        <f t="shared" si="77"/>
        <v>1568402.6930859766</v>
      </c>
      <c r="T176">
        <f t="shared" si="37"/>
        <v>18243.657552371427</v>
      </c>
      <c r="U176">
        <f t="shared" si="38"/>
        <v>36487.315104742855</v>
      </c>
      <c r="V176">
        <f t="shared" si="39"/>
        <v>225005.10981258092</v>
      </c>
      <c r="W176">
        <f t="shared" si="40"/>
        <v>225005.10981258092</v>
      </c>
      <c r="X176">
        <f t="shared" si="41"/>
        <v>225005.10981258092</v>
      </c>
      <c r="Y176">
        <f t="shared" si="42"/>
        <v>225005.10981258092</v>
      </c>
      <c r="Z176">
        <f t="shared" si="43"/>
        <v>225005.10981258092</v>
      </c>
      <c r="AA176">
        <f t="shared" si="44"/>
        <v>243248.76736495236</v>
      </c>
      <c r="AB176">
        <f t="shared" si="45"/>
        <v>243248.76736495236</v>
      </c>
      <c r="AC176">
        <f t="shared" si="46"/>
        <v>364873.15104742855</v>
      </c>
      <c r="AD176">
        <f t="shared" si="47"/>
        <v>364873.15104742855</v>
      </c>
      <c r="AE176">
        <f t="shared" si="48"/>
        <v>364873.15104742855</v>
      </c>
      <c r="AF176">
        <f t="shared" si="49"/>
        <v>668934.11025361903</v>
      </c>
      <c r="AG176">
        <f t="shared" si="50"/>
        <v>1337868.2205072381</v>
      </c>
      <c r="AH176">
        <f t="shared" si="51"/>
        <v>1337868.2205072381</v>
      </c>
      <c r="AJ176">
        <f t="shared" si="52"/>
        <v>24972.097450910904</v>
      </c>
      <c r="AK176">
        <f t="shared" si="53"/>
        <v>49944.194901821807</v>
      </c>
      <c r="AL176">
        <f t="shared" si="54"/>
        <v>307989.20189456781</v>
      </c>
      <c r="AM176">
        <f t="shared" si="55"/>
        <v>307989.20189456781</v>
      </c>
      <c r="AN176">
        <f t="shared" si="56"/>
        <v>307989.20189456781</v>
      </c>
      <c r="AO176">
        <f t="shared" si="57"/>
        <v>307989.20189456781</v>
      </c>
      <c r="AP176">
        <f t="shared" si="58"/>
        <v>307989.20189456781</v>
      </c>
      <c r="AQ176">
        <f t="shared" si="59"/>
        <v>332961.29934547871</v>
      </c>
      <c r="AR176">
        <f t="shared" si="60"/>
        <v>332961.29934547871</v>
      </c>
      <c r="AS176">
        <f t="shared" si="61"/>
        <v>499441.94901821809</v>
      </c>
      <c r="AT176">
        <f t="shared" si="62"/>
        <v>499441.94901821809</v>
      </c>
      <c r="AU176">
        <f t="shared" si="63"/>
        <v>499441.94901821809</v>
      </c>
      <c r="AV176">
        <f t="shared" si="64"/>
        <v>915643.57320006646</v>
      </c>
      <c r="AW176">
        <f t="shared" si="65"/>
        <v>1831287.1464001329</v>
      </c>
      <c r="AX176">
        <f t="shared" si="66"/>
        <v>1831287.1464001329</v>
      </c>
    </row>
    <row r="177" spans="1:50" x14ac:dyDescent="0.2">
      <c r="A177">
        <v>2034</v>
      </c>
      <c r="B177">
        <v>14</v>
      </c>
      <c r="C177">
        <f t="shared" ref="C177:Q177" si="78">C$158*$C132</f>
        <v>20508.670128352514</v>
      </c>
      <c r="D177">
        <f t="shared" si="78"/>
        <v>41017.340256705029</v>
      </c>
      <c r="E177">
        <f t="shared" si="78"/>
        <v>252940.26491634766</v>
      </c>
      <c r="F177">
        <f t="shared" si="78"/>
        <v>252940.26491634766</v>
      </c>
      <c r="G177">
        <f t="shared" si="78"/>
        <v>252940.26491634766</v>
      </c>
      <c r="H177">
        <f t="shared" si="78"/>
        <v>252940.26491634766</v>
      </c>
      <c r="I177">
        <f t="shared" si="78"/>
        <v>252940.26491634766</v>
      </c>
      <c r="J177">
        <f t="shared" si="78"/>
        <v>273448.93504470022</v>
      </c>
      <c r="K177">
        <f t="shared" si="78"/>
        <v>273448.93504470022</v>
      </c>
      <c r="L177">
        <f t="shared" si="78"/>
        <v>410173.4025670503</v>
      </c>
      <c r="M177">
        <f t="shared" si="78"/>
        <v>410173.4025670503</v>
      </c>
      <c r="N177">
        <f t="shared" si="78"/>
        <v>410173.4025670503</v>
      </c>
      <c r="O177">
        <f t="shared" si="78"/>
        <v>751984.57137292554</v>
      </c>
      <c r="P177">
        <f t="shared" si="78"/>
        <v>1503969.1427458511</v>
      </c>
      <c r="Q177">
        <f t="shared" si="78"/>
        <v>1503969.1427458511</v>
      </c>
      <c r="T177">
        <f t="shared" si="37"/>
        <v>17385.395040170497</v>
      </c>
      <c r="U177">
        <f t="shared" si="38"/>
        <v>34770.790080340994</v>
      </c>
      <c r="V177">
        <f t="shared" si="39"/>
        <v>214419.87216210278</v>
      </c>
      <c r="W177">
        <f t="shared" si="40"/>
        <v>214419.87216210278</v>
      </c>
      <c r="X177">
        <f t="shared" si="41"/>
        <v>214419.87216210278</v>
      </c>
      <c r="Y177">
        <f t="shared" si="42"/>
        <v>214419.87216210278</v>
      </c>
      <c r="Z177">
        <f t="shared" si="43"/>
        <v>214419.87216210278</v>
      </c>
      <c r="AA177">
        <f t="shared" si="44"/>
        <v>231805.2672022733</v>
      </c>
      <c r="AB177">
        <f t="shared" si="45"/>
        <v>231805.2672022733</v>
      </c>
      <c r="AC177">
        <f t="shared" si="46"/>
        <v>347707.90080340992</v>
      </c>
      <c r="AD177">
        <f t="shared" si="47"/>
        <v>347707.90080340992</v>
      </c>
      <c r="AE177">
        <f t="shared" si="48"/>
        <v>347707.90080340992</v>
      </c>
      <c r="AF177">
        <f t="shared" si="49"/>
        <v>637464.4848062516</v>
      </c>
      <c r="AG177">
        <f t="shared" si="50"/>
        <v>1274928.9696125032</v>
      </c>
      <c r="AH177">
        <f t="shared" si="51"/>
        <v>1274928.9696125032</v>
      </c>
      <c r="AJ177">
        <f t="shared" si="52"/>
        <v>24096.005975363743</v>
      </c>
      <c r="AK177">
        <f t="shared" si="53"/>
        <v>48192.011950727487</v>
      </c>
      <c r="AL177">
        <f t="shared" si="54"/>
        <v>297184.07369615283</v>
      </c>
      <c r="AM177">
        <f t="shared" si="55"/>
        <v>297184.07369615283</v>
      </c>
      <c r="AN177">
        <f t="shared" si="56"/>
        <v>297184.07369615283</v>
      </c>
      <c r="AO177">
        <f t="shared" si="57"/>
        <v>297184.07369615283</v>
      </c>
      <c r="AP177">
        <f t="shared" si="58"/>
        <v>297184.07369615283</v>
      </c>
      <c r="AQ177">
        <f t="shared" si="59"/>
        <v>321280.07967151655</v>
      </c>
      <c r="AR177">
        <f t="shared" si="60"/>
        <v>321280.07967151655</v>
      </c>
      <c r="AS177">
        <f t="shared" si="61"/>
        <v>481920.11950727488</v>
      </c>
      <c r="AT177">
        <f t="shared" si="62"/>
        <v>481920.11950727488</v>
      </c>
      <c r="AU177">
        <f t="shared" si="63"/>
        <v>481920.11950727488</v>
      </c>
      <c r="AV177">
        <f t="shared" si="64"/>
        <v>883520.21909667063</v>
      </c>
      <c r="AW177">
        <f t="shared" si="65"/>
        <v>1767040.4381933413</v>
      </c>
      <c r="AX177">
        <f t="shared" si="66"/>
        <v>1767040.4381933413</v>
      </c>
    </row>
    <row r="178" spans="1:50" x14ac:dyDescent="0.2">
      <c r="A178">
        <v>2035</v>
      </c>
      <c r="B178">
        <v>15</v>
      </c>
      <c r="C178">
        <f t="shared" ref="C178:Q178" si="79">C$158*$C133</f>
        <v>19666.127307589977</v>
      </c>
      <c r="D178">
        <f t="shared" si="79"/>
        <v>39332.254615179954</v>
      </c>
      <c r="E178">
        <f t="shared" si="79"/>
        <v>242548.90346027634</v>
      </c>
      <c r="F178">
        <f t="shared" si="79"/>
        <v>242548.90346027634</v>
      </c>
      <c r="G178">
        <f t="shared" si="79"/>
        <v>242548.90346027634</v>
      </c>
      <c r="H178">
        <f t="shared" si="79"/>
        <v>242548.90346027634</v>
      </c>
      <c r="I178">
        <f t="shared" si="79"/>
        <v>242548.90346027634</v>
      </c>
      <c r="J178">
        <f t="shared" si="79"/>
        <v>262215.03076786635</v>
      </c>
      <c r="K178">
        <f t="shared" si="79"/>
        <v>262215.03076786635</v>
      </c>
      <c r="L178">
        <f t="shared" si="79"/>
        <v>393322.5461517995</v>
      </c>
      <c r="M178">
        <f t="shared" si="79"/>
        <v>393322.5461517995</v>
      </c>
      <c r="N178">
        <f t="shared" si="79"/>
        <v>393322.5461517995</v>
      </c>
      <c r="O178">
        <f t="shared" si="79"/>
        <v>721091.3346116324</v>
      </c>
      <c r="P178">
        <f t="shared" si="79"/>
        <v>1442182.6692232648</v>
      </c>
      <c r="Q178">
        <f t="shared" si="79"/>
        <v>1442182.6692232648</v>
      </c>
      <c r="T178">
        <f t="shared" si="37"/>
        <v>16567.509000600396</v>
      </c>
      <c r="U178">
        <f t="shared" si="38"/>
        <v>33135.018001200791</v>
      </c>
      <c r="V178">
        <f t="shared" si="39"/>
        <v>204332.61100740486</v>
      </c>
      <c r="W178">
        <f t="shared" si="40"/>
        <v>204332.61100740486</v>
      </c>
      <c r="X178">
        <f t="shared" si="41"/>
        <v>204332.61100740486</v>
      </c>
      <c r="Y178">
        <f t="shared" si="42"/>
        <v>204332.61100740486</v>
      </c>
      <c r="Z178">
        <f t="shared" si="43"/>
        <v>204332.61100740486</v>
      </c>
      <c r="AA178">
        <f t="shared" si="44"/>
        <v>220900.12000800527</v>
      </c>
      <c r="AB178">
        <f t="shared" si="45"/>
        <v>220900.12000800527</v>
      </c>
      <c r="AC178">
        <f t="shared" si="46"/>
        <v>331350.18001200788</v>
      </c>
      <c r="AD178">
        <f t="shared" si="47"/>
        <v>331350.18001200788</v>
      </c>
      <c r="AE178">
        <f t="shared" si="48"/>
        <v>331350.18001200788</v>
      </c>
      <c r="AF178">
        <f t="shared" si="49"/>
        <v>607475.33002201444</v>
      </c>
      <c r="AG178">
        <f t="shared" si="50"/>
        <v>1214950.6600440289</v>
      </c>
      <c r="AH178">
        <f t="shared" si="51"/>
        <v>1214950.6600440289</v>
      </c>
      <c r="AJ178">
        <f t="shared" si="52"/>
        <v>23250.650254994347</v>
      </c>
      <c r="AK178">
        <f t="shared" si="53"/>
        <v>46501.300509988694</v>
      </c>
      <c r="AL178">
        <f t="shared" si="54"/>
        <v>286758.0198115969</v>
      </c>
      <c r="AM178">
        <f t="shared" si="55"/>
        <v>286758.0198115969</v>
      </c>
      <c r="AN178">
        <f t="shared" si="56"/>
        <v>286758.0198115969</v>
      </c>
      <c r="AO178">
        <f t="shared" si="57"/>
        <v>286758.0198115969</v>
      </c>
      <c r="AP178">
        <f t="shared" si="58"/>
        <v>286758.0198115969</v>
      </c>
      <c r="AQ178">
        <f t="shared" si="59"/>
        <v>310008.67006659124</v>
      </c>
      <c r="AR178">
        <f t="shared" si="60"/>
        <v>310008.67006659124</v>
      </c>
      <c r="AS178">
        <f t="shared" si="61"/>
        <v>465013.00509988691</v>
      </c>
      <c r="AT178">
        <f t="shared" si="62"/>
        <v>465013.00509988691</v>
      </c>
      <c r="AU178">
        <f t="shared" si="63"/>
        <v>465013.00509988691</v>
      </c>
      <c r="AV178">
        <f t="shared" si="64"/>
        <v>852523.84268312599</v>
      </c>
      <c r="AW178">
        <f t="shared" si="65"/>
        <v>1705047.685366252</v>
      </c>
      <c r="AX178">
        <f t="shared" si="66"/>
        <v>1705047.685366252</v>
      </c>
    </row>
    <row r="179" spans="1:50" x14ac:dyDescent="0.2">
      <c r="A179">
        <v>2036</v>
      </c>
      <c r="B179">
        <v>16</v>
      </c>
      <c r="C179">
        <f t="shared" ref="C179:Q179" si="80">C$158*$C134</f>
        <v>18858.198062470117</v>
      </c>
      <c r="D179">
        <f t="shared" si="80"/>
        <v>37716.396124940235</v>
      </c>
      <c r="E179">
        <f t="shared" si="80"/>
        <v>232584.44277046475</v>
      </c>
      <c r="F179">
        <f t="shared" si="80"/>
        <v>232584.44277046475</v>
      </c>
      <c r="G179">
        <f t="shared" si="80"/>
        <v>232584.44277046475</v>
      </c>
      <c r="H179">
        <f t="shared" si="80"/>
        <v>232584.44277046475</v>
      </c>
      <c r="I179">
        <f t="shared" si="80"/>
        <v>232584.44277046475</v>
      </c>
      <c r="J179">
        <f t="shared" si="80"/>
        <v>251442.64083293488</v>
      </c>
      <c r="K179">
        <f t="shared" si="80"/>
        <v>251442.64083293488</v>
      </c>
      <c r="L179">
        <f t="shared" si="80"/>
        <v>377163.96124940232</v>
      </c>
      <c r="M179">
        <f t="shared" si="80"/>
        <v>377163.96124940232</v>
      </c>
      <c r="N179">
        <f t="shared" si="80"/>
        <v>377163.96124940232</v>
      </c>
      <c r="O179">
        <f t="shared" si="80"/>
        <v>691467.26229057088</v>
      </c>
      <c r="P179">
        <f t="shared" si="80"/>
        <v>1382934.5245811418</v>
      </c>
      <c r="Q179">
        <f t="shared" si="80"/>
        <v>1382934.5245811418</v>
      </c>
      <c r="T179">
        <f t="shared" si="37"/>
        <v>15788.099945428863</v>
      </c>
      <c r="U179">
        <f t="shared" si="38"/>
        <v>31576.199890857726</v>
      </c>
      <c r="V179">
        <f t="shared" si="39"/>
        <v>194719.89932695596</v>
      </c>
      <c r="W179">
        <f t="shared" si="40"/>
        <v>194719.89932695596</v>
      </c>
      <c r="X179">
        <f t="shared" si="41"/>
        <v>194719.89932695596</v>
      </c>
      <c r="Y179">
        <f t="shared" si="42"/>
        <v>194719.89932695596</v>
      </c>
      <c r="Z179">
        <f t="shared" si="43"/>
        <v>194719.89932695596</v>
      </c>
      <c r="AA179">
        <f t="shared" si="44"/>
        <v>210507.99927238483</v>
      </c>
      <c r="AB179">
        <f t="shared" si="45"/>
        <v>210507.99927238483</v>
      </c>
      <c r="AC179">
        <f t="shared" si="46"/>
        <v>315761.99890857725</v>
      </c>
      <c r="AD179">
        <f t="shared" si="47"/>
        <v>315761.99890857725</v>
      </c>
      <c r="AE179">
        <f t="shared" si="48"/>
        <v>315761.99890857725</v>
      </c>
      <c r="AF179">
        <f t="shared" si="49"/>
        <v>578896.99799905834</v>
      </c>
      <c r="AG179">
        <f t="shared" si="50"/>
        <v>1157793.9959981167</v>
      </c>
      <c r="AH179">
        <f t="shared" si="51"/>
        <v>1157793.9959981167</v>
      </c>
      <c r="AJ179">
        <f t="shared" si="52"/>
        <v>22434.951992989296</v>
      </c>
      <c r="AK179">
        <f t="shared" si="53"/>
        <v>44869.903985978592</v>
      </c>
      <c r="AL179">
        <f t="shared" si="54"/>
        <v>276697.74124686792</v>
      </c>
      <c r="AM179">
        <f t="shared" si="55"/>
        <v>276697.74124686792</v>
      </c>
      <c r="AN179">
        <f t="shared" si="56"/>
        <v>276697.74124686792</v>
      </c>
      <c r="AO179">
        <f t="shared" si="57"/>
        <v>276697.74124686792</v>
      </c>
      <c r="AP179">
        <f t="shared" si="58"/>
        <v>276697.74124686792</v>
      </c>
      <c r="AQ179">
        <f t="shared" si="59"/>
        <v>299132.69323985727</v>
      </c>
      <c r="AR179">
        <f t="shared" si="60"/>
        <v>299132.69323985727</v>
      </c>
      <c r="AS179">
        <f t="shared" si="61"/>
        <v>448699.03985978587</v>
      </c>
      <c r="AT179">
        <f t="shared" si="62"/>
        <v>448699.03985978587</v>
      </c>
      <c r="AU179">
        <f t="shared" si="63"/>
        <v>448699.03985978587</v>
      </c>
      <c r="AV179">
        <f t="shared" si="64"/>
        <v>822614.9064096075</v>
      </c>
      <c r="AW179">
        <f t="shared" si="65"/>
        <v>1645229.812819215</v>
      </c>
      <c r="AX179">
        <f t="shared" si="66"/>
        <v>1645229.812819215</v>
      </c>
    </row>
    <row r="180" spans="1:50" x14ac:dyDescent="0.2">
      <c r="A180">
        <v>2037</v>
      </c>
      <c r="B180">
        <v>17</v>
      </c>
      <c r="C180">
        <f t="shared" ref="C180:Q180" si="81">C$158*$C135</f>
        <v>18083.460388568652</v>
      </c>
      <c r="D180">
        <f t="shared" si="81"/>
        <v>36166.920777137304</v>
      </c>
      <c r="E180">
        <f t="shared" si="81"/>
        <v>223029.34479234667</v>
      </c>
      <c r="F180">
        <f t="shared" si="81"/>
        <v>223029.34479234667</v>
      </c>
      <c r="G180">
        <f t="shared" si="81"/>
        <v>223029.34479234667</v>
      </c>
      <c r="H180">
        <f t="shared" si="81"/>
        <v>223029.34479234667</v>
      </c>
      <c r="I180">
        <f t="shared" si="81"/>
        <v>223029.34479234667</v>
      </c>
      <c r="J180">
        <f t="shared" si="81"/>
        <v>241112.80518091534</v>
      </c>
      <c r="K180">
        <f t="shared" si="81"/>
        <v>241112.80518091534</v>
      </c>
      <c r="L180">
        <f t="shared" si="81"/>
        <v>361669.20777137304</v>
      </c>
      <c r="M180">
        <f t="shared" si="81"/>
        <v>361669.20777137304</v>
      </c>
      <c r="N180">
        <f t="shared" si="81"/>
        <v>361669.20777137304</v>
      </c>
      <c r="O180">
        <f t="shared" si="81"/>
        <v>663060.21424751717</v>
      </c>
      <c r="P180">
        <f t="shared" si="81"/>
        <v>1326120.4284950343</v>
      </c>
      <c r="Q180">
        <f t="shared" si="81"/>
        <v>1326120.4284950343</v>
      </c>
      <c r="T180">
        <f t="shared" si="37"/>
        <v>15045.357746769156</v>
      </c>
      <c r="U180">
        <f t="shared" si="38"/>
        <v>30090.715493538311</v>
      </c>
      <c r="V180">
        <f t="shared" si="39"/>
        <v>185559.41221015289</v>
      </c>
      <c r="W180">
        <f t="shared" si="40"/>
        <v>185559.41221015289</v>
      </c>
      <c r="X180">
        <f t="shared" si="41"/>
        <v>185559.41221015289</v>
      </c>
      <c r="Y180">
        <f t="shared" si="42"/>
        <v>185559.41221015289</v>
      </c>
      <c r="Z180">
        <f t="shared" si="43"/>
        <v>185559.41221015289</v>
      </c>
      <c r="AA180">
        <f t="shared" si="44"/>
        <v>200604.76995692207</v>
      </c>
      <c r="AB180">
        <f t="shared" si="45"/>
        <v>200604.76995692207</v>
      </c>
      <c r="AC180">
        <f t="shared" si="46"/>
        <v>300907.15493538312</v>
      </c>
      <c r="AD180">
        <f t="shared" si="47"/>
        <v>300907.15493538312</v>
      </c>
      <c r="AE180">
        <f t="shared" si="48"/>
        <v>300907.15493538312</v>
      </c>
      <c r="AF180">
        <f t="shared" si="49"/>
        <v>551663.1173815357</v>
      </c>
      <c r="AG180">
        <f t="shared" si="50"/>
        <v>1103326.2347630714</v>
      </c>
      <c r="AH180">
        <f t="shared" si="51"/>
        <v>1103326.2347630714</v>
      </c>
      <c r="AJ180">
        <f t="shared" si="52"/>
        <v>21647.8707222228</v>
      </c>
      <c r="AK180">
        <f t="shared" si="53"/>
        <v>43295.741444445601</v>
      </c>
      <c r="AL180">
        <f t="shared" si="54"/>
        <v>266990.40557408117</v>
      </c>
      <c r="AM180">
        <f t="shared" si="55"/>
        <v>266990.40557408117</v>
      </c>
      <c r="AN180">
        <f t="shared" si="56"/>
        <v>266990.40557408117</v>
      </c>
      <c r="AO180">
        <f t="shared" si="57"/>
        <v>266990.40557408117</v>
      </c>
      <c r="AP180">
        <f t="shared" si="58"/>
        <v>266990.40557408117</v>
      </c>
      <c r="AQ180">
        <f t="shared" si="59"/>
        <v>288638.27629630401</v>
      </c>
      <c r="AR180">
        <f t="shared" si="60"/>
        <v>288638.27629630401</v>
      </c>
      <c r="AS180">
        <f t="shared" si="61"/>
        <v>432957.41444445599</v>
      </c>
      <c r="AT180">
        <f t="shared" si="62"/>
        <v>432957.41444445599</v>
      </c>
      <c r="AU180">
        <f t="shared" si="63"/>
        <v>432957.41444445599</v>
      </c>
      <c r="AV180">
        <f t="shared" si="64"/>
        <v>793755.25981483608</v>
      </c>
      <c r="AW180">
        <f t="shared" si="65"/>
        <v>1587510.5196296722</v>
      </c>
      <c r="AX180">
        <f t="shared" si="66"/>
        <v>1587510.5196296722</v>
      </c>
    </row>
    <row r="181" spans="1:50" x14ac:dyDescent="0.2">
      <c r="A181">
        <v>2038</v>
      </c>
      <c r="B181">
        <v>18</v>
      </c>
      <c r="C181">
        <f t="shared" ref="C181:Q181" si="82">C$158*$C136</f>
        <v>17340.550700637748</v>
      </c>
      <c r="D181">
        <f t="shared" si="82"/>
        <v>34681.101401275497</v>
      </c>
      <c r="E181">
        <f t="shared" si="82"/>
        <v>213866.79197453219</v>
      </c>
      <c r="F181">
        <f t="shared" si="82"/>
        <v>213866.79197453219</v>
      </c>
      <c r="G181">
        <f t="shared" si="82"/>
        <v>213866.79197453219</v>
      </c>
      <c r="H181">
        <f t="shared" si="82"/>
        <v>213866.79197453219</v>
      </c>
      <c r="I181">
        <f t="shared" si="82"/>
        <v>213866.79197453219</v>
      </c>
      <c r="J181">
        <f t="shared" si="82"/>
        <v>231207.34267516996</v>
      </c>
      <c r="K181">
        <f t="shared" si="82"/>
        <v>231207.34267516996</v>
      </c>
      <c r="L181">
        <f t="shared" si="82"/>
        <v>346811.01401275495</v>
      </c>
      <c r="M181">
        <f t="shared" si="82"/>
        <v>346811.01401275495</v>
      </c>
      <c r="N181">
        <f t="shared" si="82"/>
        <v>346811.01401275495</v>
      </c>
      <c r="O181">
        <f t="shared" si="82"/>
        <v>635820.19235671742</v>
      </c>
      <c r="P181">
        <f t="shared" si="82"/>
        <v>1271640.3847134348</v>
      </c>
      <c r="Q181">
        <f t="shared" si="82"/>
        <v>1271640.3847134348</v>
      </c>
      <c r="T181">
        <f t="shared" si="37"/>
        <v>14337.557433173308</v>
      </c>
      <c r="U181">
        <f t="shared" si="38"/>
        <v>28675.114866346616</v>
      </c>
      <c r="V181">
        <f t="shared" si="39"/>
        <v>176829.87500913744</v>
      </c>
      <c r="W181">
        <f t="shared" si="40"/>
        <v>176829.87500913744</v>
      </c>
      <c r="X181">
        <f t="shared" si="41"/>
        <v>176829.87500913744</v>
      </c>
      <c r="Y181">
        <f t="shared" si="42"/>
        <v>176829.87500913744</v>
      </c>
      <c r="Z181">
        <f t="shared" si="43"/>
        <v>176829.87500913744</v>
      </c>
      <c r="AA181">
        <f t="shared" si="44"/>
        <v>191167.43244231076</v>
      </c>
      <c r="AB181">
        <f t="shared" si="45"/>
        <v>191167.43244231076</v>
      </c>
      <c r="AC181">
        <f t="shared" si="46"/>
        <v>286751.14866346616</v>
      </c>
      <c r="AD181">
        <f t="shared" si="47"/>
        <v>286751.14866346616</v>
      </c>
      <c r="AE181">
        <f t="shared" si="48"/>
        <v>286751.14866346616</v>
      </c>
      <c r="AF181">
        <f t="shared" si="49"/>
        <v>525710.43921635463</v>
      </c>
      <c r="AG181">
        <f t="shared" si="50"/>
        <v>1051420.8784327093</v>
      </c>
      <c r="AH181">
        <f t="shared" si="51"/>
        <v>1051420.8784327093</v>
      </c>
      <c r="AJ181">
        <f t="shared" si="52"/>
        <v>20888.402478084798</v>
      </c>
      <c r="AK181">
        <f t="shared" si="53"/>
        <v>41776.804956169595</v>
      </c>
      <c r="AL181">
        <f t="shared" si="54"/>
        <v>257623.63056304582</v>
      </c>
      <c r="AM181">
        <f t="shared" si="55"/>
        <v>257623.63056304582</v>
      </c>
      <c r="AN181">
        <f t="shared" si="56"/>
        <v>257623.63056304582</v>
      </c>
      <c r="AO181">
        <f t="shared" si="57"/>
        <v>257623.63056304582</v>
      </c>
      <c r="AP181">
        <f t="shared" si="58"/>
        <v>257623.63056304582</v>
      </c>
      <c r="AQ181">
        <f t="shared" si="59"/>
        <v>278512.03304113063</v>
      </c>
      <c r="AR181">
        <f t="shared" si="60"/>
        <v>278512.03304113063</v>
      </c>
      <c r="AS181">
        <f t="shared" si="61"/>
        <v>417768.04956169595</v>
      </c>
      <c r="AT181">
        <f t="shared" si="62"/>
        <v>417768.04956169595</v>
      </c>
      <c r="AU181">
        <f t="shared" si="63"/>
        <v>417768.04956169595</v>
      </c>
      <c r="AV181">
        <f t="shared" si="64"/>
        <v>765908.09086310922</v>
      </c>
      <c r="AW181">
        <f t="shared" si="65"/>
        <v>1531816.1817262184</v>
      </c>
      <c r="AX181">
        <f t="shared" si="66"/>
        <v>1531816.1817262184</v>
      </c>
    </row>
    <row r="182" spans="1:50" x14ac:dyDescent="0.2">
      <c r="A182">
        <v>2039</v>
      </c>
      <c r="B182">
        <v>19</v>
      </c>
      <c r="C182">
        <f t="shared" ref="C182:Q182" si="83">C$158*$C137</f>
        <v>16628.161432613331</v>
      </c>
      <c r="D182">
        <f t="shared" si="83"/>
        <v>33256.322865226663</v>
      </c>
      <c r="E182">
        <f t="shared" si="83"/>
        <v>205080.65766889777</v>
      </c>
      <c r="F182">
        <f t="shared" si="83"/>
        <v>205080.65766889777</v>
      </c>
      <c r="G182">
        <f t="shared" si="83"/>
        <v>205080.65766889777</v>
      </c>
      <c r="H182">
        <f t="shared" si="83"/>
        <v>205080.65766889777</v>
      </c>
      <c r="I182">
        <f t="shared" si="83"/>
        <v>205080.65766889777</v>
      </c>
      <c r="J182">
        <f t="shared" si="83"/>
        <v>221708.81910151109</v>
      </c>
      <c r="K182">
        <f t="shared" si="83"/>
        <v>221708.81910151109</v>
      </c>
      <c r="L182">
        <f t="shared" si="83"/>
        <v>332563.22865226667</v>
      </c>
      <c r="M182">
        <f t="shared" si="83"/>
        <v>332563.22865226667</v>
      </c>
      <c r="N182">
        <f t="shared" si="83"/>
        <v>332563.22865226667</v>
      </c>
      <c r="O182">
        <f t="shared" si="83"/>
        <v>609699.25252915546</v>
      </c>
      <c r="P182">
        <f t="shared" si="83"/>
        <v>1219398.5050583109</v>
      </c>
      <c r="Q182">
        <f t="shared" si="83"/>
        <v>1219398.5050583109</v>
      </c>
      <c r="T182">
        <f t="shared" si="37"/>
        <v>13663.05518349581</v>
      </c>
      <c r="U182">
        <f t="shared" si="38"/>
        <v>27326.110366991619</v>
      </c>
      <c r="V182">
        <f t="shared" si="39"/>
        <v>168511.01392978162</v>
      </c>
      <c r="W182">
        <f t="shared" si="40"/>
        <v>168511.01392978162</v>
      </c>
      <c r="X182">
        <f t="shared" si="41"/>
        <v>168511.01392978162</v>
      </c>
      <c r="Y182">
        <f t="shared" si="42"/>
        <v>168511.01392978162</v>
      </c>
      <c r="Z182">
        <f t="shared" si="43"/>
        <v>168511.01392978162</v>
      </c>
      <c r="AA182">
        <f t="shared" si="44"/>
        <v>182174.06911327745</v>
      </c>
      <c r="AB182">
        <f t="shared" si="45"/>
        <v>182174.06911327745</v>
      </c>
      <c r="AC182">
        <f t="shared" si="46"/>
        <v>273261.10366991616</v>
      </c>
      <c r="AD182">
        <f t="shared" si="47"/>
        <v>273261.10366991616</v>
      </c>
      <c r="AE182">
        <f t="shared" si="48"/>
        <v>273261.10366991616</v>
      </c>
      <c r="AF182">
        <f t="shared" si="49"/>
        <v>500978.69006151299</v>
      </c>
      <c r="AG182">
        <f t="shared" si="50"/>
        <v>1001957.380123026</v>
      </c>
      <c r="AH182">
        <f t="shared" si="51"/>
        <v>1001957.380123026</v>
      </c>
      <c r="AJ182">
        <f t="shared" si="52"/>
        <v>20155.57851786993</v>
      </c>
      <c r="AK182">
        <f t="shared" si="53"/>
        <v>40311.15703573986</v>
      </c>
      <c r="AL182">
        <f t="shared" si="54"/>
        <v>248585.46838706243</v>
      </c>
      <c r="AM182">
        <f t="shared" si="55"/>
        <v>248585.46838706243</v>
      </c>
      <c r="AN182">
        <f t="shared" si="56"/>
        <v>248585.46838706243</v>
      </c>
      <c r="AO182">
        <f t="shared" si="57"/>
        <v>248585.46838706243</v>
      </c>
      <c r="AP182">
        <f t="shared" si="58"/>
        <v>248585.46838706243</v>
      </c>
      <c r="AQ182">
        <f t="shared" si="59"/>
        <v>268741.04690493236</v>
      </c>
      <c r="AR182">
        <f t="shared" si="60"/>
        <v>268741.04690493236</v>
      </c>
      <c r="AS182">
        <f t="shared" si="61"/>
        <v>403111.57035739854</v>
      </c>
      <c r="AT182">
        <f t="shared" si="62"/>
        <v>403111.57035739854</v>
      </c>
      <c r="AU182">
        <f t="shared" si="63"/>
        <v>403111.57035739854</v>
      </c>
      <c r="AV182">
        <f t="shared" si="64"/>
        <v>739037.87898856401</v>
      </c>
      <c r="AW182">
        <f t="shared" si="65"/>
        <v>1478075.757977128</v>
      </c>
      <c r="AX182">
        <f t="shared" si="66"/>
        <v>1478075.757977128</v>
      </c>
    </row>
    <row r="183" spans="1:50" x14ac:dyDescent="0.2">
      <c r="A183">
        <v>2040</v>
      </c>
      <c r="B183">
        <v>20</v>
      </c>
      <c r="C183">
        <f t="shared" ref="C183:Q183" si="84">C$158*$C138</f>
        <v>15945.038736219642</v>
      </c>
      <c r="D183">
        <f t="shared" si="84"/>
        <v>31890.077472439283</v>
      </c>
      <c r="E183">
        <f t="shared" si="84"/>
        <v>196655.4777467089</v>
      </c>
      <c r="F183">
        <f t="shared" si="84"/>
        <v>196655.4777467089</v>
      </c>
      <c r="G183">
        <f t="shared" si="84"/>
        <v>196655.4777467089</v>
      </c>
      <c r="H183">
        <f t="shared" si="84"/>
        <v>196655.4777467089</v>
      </c>
      <c r="I183">
        <f t="shared" si="84"/>
        <v>196655.4777467089</v>
      </c>
      <c r="J183">
        <f t="shared" si="84"/>
        <v>212600.51648292853</v>
      </c>
      <c r="K183">
        <f t="shared" si="84"/>
        <v>212600.51648292853</v>
      </c>
      <c r="L183">
        <f t="shared" si="84"/>
        <v>318900.7747243928</v>
      </c>
      <c r="M183">
        <f t="shared" si="84"/>
        <v>318900.7747243928</v>
      </c>
      <c r="N183">
        <f t="shared" si="84"/>
        <v>318900.7747243928</v>
      </c>
      <c r="O183">
        <f t="shared" si="84"/>
        <v>584651.42032805353</v>
      </c>
      <c r="P183">
        <f t="shared" si="84"/>
        <v>1169302.8406561071</v>
      </c>
      <c r="Q183">
        <f t="shared" si="84"/>
        <v>1169302.8406561071</v>
      </c>
      <c r="T183">
        <f t="shared" si="37"/>
        <v>13020.284509223711</v>
      </c>
      <c r="U183">
        <f t="shared" si="38"/>
        <v>26040.569018447422</v>
      </c>
      <c r="V183">
        <f t="shared" si="39"/>
        <v>160583.50894709243</v>
      </c>
      <c r="W183">
        <f t="shared" si="40"/>
        <v>160583.50894709243</v>
      </c>
      <c r="X183">
        <f t="shared" si="41"/>
        <v>160583.50894709243</v>
      </c>
      <c r="Y183">
        <f t="shared" si="42"/>
        <v>160583.50894709243</v>
      </c>
      <c r="Z183">
        <f t="shared" si="43"/>
        <v>160583.50894709243</v>
      </c>
      <c r="AA183">
        <f t="shared" si="44"/>
        <v>173603.79345631614</v>
      </c>
      <c r="AB183">
        <f t="shared" si="45"/>
        <v>173603.79345631614</v>
      </c>
      <c r="AC183">
        <f t="shared" si="46"/>
        <v>260405.6901844742</v>
      </c>
      <c r="AD183">
        <f t="shared" si="47"/>
        <v>260405.6901844742</v>
      </c>
      <c r="AE183">
        <f t="shared" si="48"/>
        <v>260405.6901844742</v>
      </c>
      <c r="AF183">
        <f t="shared" si="49"/>
        <v>477410.43200486939</v>
      </c>
      <c r="AG183">
        <f t="shared" si="50"/>
        <v>954820.86400973878</v>
      </c>
      <c r="AH183">
        <f t="shared" si="51"/>
        <v>954820.86400973878</v>
      </c>
      <c r="AJ183">
        <f t="shared" si="52"/>
        <v>19448.46408509395</v>
      </c>
      <c r="AK183">
        <f t="shared" si="53"/>
        <v>38896.928170187901</v>
      </c>
      <c r="AL183">
        <f t="shared" si="54"/>
        <v>239864.39038282537</v>
      </c>
      <c r="AM183">
        <f t="shared" si="55"/>
        <v>239864.39038282537</v>
      </c>
      <c r="AN183">
        <f t="shared" si="56"/>
        <v>239864.39038282537</v>
      </c>
      <c r="AO183">
        <f t="shared" si="57"/>
        <v>239864.39038282537</v>
      </c>
      <c r="AP183">
        <f t="shared" si="58"/>
        <v>239864.39038282537</v>
      </c>
      <c r="AQ183">
        <f t="shared" si="59"/>
        <v>259312.85446791936</v>
      </c>
      <c r="AR183">
        <f t="shared" si="60"/>
        <v>259312.85446791936</v>
      </c>
      <c r="AS183">
        <f t="shared" si="61"/>
        <v>388969.28170187899</v>
      </c>
      <c r="AT183">
        <f t="shared" si="62"/>
        <v>388969.28170187899</v>
      </c>
      <c r="AU183">
        <f t="shared" si="63"/>
        <v>388969.28170187899</v>
      </c>
      <c r="AV183">
        <f t="shared" si="64"/>
        <v>713110.34978677821</v>
      </c>
      <c r="AW183">
        <f t="shared" si="65"/>
        <v>1426220.6995735564</v>
      </c>
      <c r="AX183">
        <f t="shared" si="66"/>
        <v>1426220.6995735564</v>
      </c>
    </row>
    <row r="184" spans="1:50" x14ac:dyDescent="0.2">
      <c r="A184">
        <v>2041</v>
      </c>
      <c r="B184">
        <v>21</v>
      </c>
      <c r="C184">
        <f t="shared" ref="C184:Q184" si="85">C$158*$C139</f>
        <v>15289.980274120244</v>
      </c>
      <c r="D184">
        <f t="shared" si="85"/>
        <v>30579.960548240488</v>
      </c>
      <c r="E184">
        <f t="shared" si="85"/>
        <v>188576.42338081633</v>
      </c>
      <c r="F184">
        <f t="shared" si="85"/>
        <v>188576.42338081633</v>
      </c>
      <c r="G184">
        <f t="shared" si="85"/>
        <v>188576.42338081633</v>
      </c>
      <c r="H184">
        <f t="shared" si="85"/>
        <v>188576.42338081633</v>
      </c>
      <c r="I184">
        <f t="shared" si="85"/>
        <v>188576.42338081633</v>
      </c>
      <c r="J184">
        <f t="shared" si="85"/>
        <v>203866.40365493658</v>
      </c>
      <c r="K184">
        <f t="shared" si="85"/>
        <v>203866.40365493658</v>
      </c>
      <c r="L184">
        <f t="shared" si="85"/>
        <v>305799.60548240488</v>
      </c>
      <c r="M184">
        <f t="shared" si="85"/>
        <v>305799.60548240488</v>
      </c>
      <c r="N184">
        <f t="shared" si="85"/>
        <v>305799.60548240488</v>
      </c>
      <c r="O184">
        <f t="shared" si="85"/>
        <v>560632.61005107558</v>
      </c>
      <c r="P184">
        <f t="shared" si="85"/>
        <v>1121265.2201021512</v>
      </c>
      <c r="Q184">
        <f t="shared" si="85"/>
        <v>1121265.2201021512</v>
      </c>
      <c r="T184">
        <f t="shared" si="37"/>
        <v>12407.752616406824</v>
      </c>
      <c r="U184">
        <f t="shared" si="38"/>
        <v>24815.505232813648</v>
      </c>
      <c r="V184">
        <f t="shared" si="39"/>
        <v>153028.94893568414</v>
      </c>
      <c r="W184">
        <f t="shared" si="40"/>
        <v>153028.94893568414</v>
      </c>
      <c r="X184">
        <f t="shared" si="41"/>
        <v>153028.94893568414</v>
      </c>
      <c r="Y184">
        <f t="shared" si="42"/>
        <v>153028.94893568414</v>
      </c>
      <c r="Z184">
        <f t="shared" si="43"/>
        <v>153028.94893568414</v>
      </c>
      <c r="AA184">
        <f t="shared" si="44"/>
        <v>165436.70155209096</v>
      </c>
      <c r="AB184">
        <f t="shared" si="45"/>
        <v>165436.70155209096</v>
      </c>
      <c r="AC184">
        <f t="shared" si="46"/>
        <v>248155.05232813646</v>
      </c>
      <c r="AD184">
        <f t="shared" si="47"/>
        <v>248155.05232813646</v>
      </c>
      <c r="AE184">
        <f t="shared" si="48"/>
        <v>248155.05232813646</v>
      </c>
      <c r="AF184">
        <f t="shared" si="49"/>
        <v>454950.92926825018</v>
      </c>
      <c r="AG184">
        <f t="shared" si="50"/>
        <v>909901.85853650037</v>
      </c>
      <c r="AH184">
        <f t="shared" si="51"/>
        <v>909901.85853650037</v>
      </c>
      <c r="AJ184">
        <f t="shared" si="52"/>
        <v>18766.157217161464</v>
      </c>
      <c r="AK184">
        <f t="shared" si="53"/>
        <v>37532.314434322929</v>
      </c>
      <c r="AL184">
        <f t="shared" si="54"/>
        <v>231449.27234499139</v>
      </c>
      <c r="AM184">
        <f t="shared" si="55"/>
        <v>231449.27234499139</v>
      </c>
      <c r="AN184">
        <f t="shared" si="56"/>
        <v>231449.27234499139</v>
      </c>
      <c r="AO184">
        <f t="shared" si="57"/>
        <v>231449.27234499139</v>
      </c>
      <c r="AP184">
        <f t="shared" si="58"/>
        <v>231449.27234499139</v>
      </c>
      <c r="AQ184">
        <f t="shared" si="59"/>
        <v>250215.42956215286</v>
      </c>
      <c r="AR184">
        <f t="shared" si="60"/>
        <v>250215.42956215286</v>
      </c>
      <c r="AS184">
        <f t="shared" si="61"/>
        <v>375323.1443432293</v>
      </c>
      <c r="AT184">
        <f t="shared" si="62"/>
        <v>375323.1443432293</v>
      </c>
      <c r="AU184">
        <f t="shared" si="63"/>
        <v>375323.1443432293</v>
      </c>
      <c r="AV184">
        <f t="shared" si="64"/>
        <v>688092.4312959204</v>
      </c>
      <c r="AW184">
        <f t="shared" si="65"/>
        <v>1376184.8625918408</v>
      </c>
      <c r="AX184">
        <f t="shared" si="66"/>
        <v>1376184.8625918408</v>
      </c>
    </row>
    <row r="185" spans="1:50" x14ac:dyDescent="0.2">
      <c r="A185">
        <v>2042</v>
      </c>
      <c r="B185">
        <v>22</v>
      </c>
      <c r="C185">
        <f t="shared" ref="C185:Q185" si="86">C$158*$C140</f>
        <v>14661.833103731495</v>
      </c>
      <c r="D185">
        <f t="shared" si="86"/>
        <v>29323.666207462989</v>
      </c>
      <c r="E185">
        <f t="shared" si="86"/>
        <v>180829.27494602176</v>
      </c>
      <c r="F185">
        <f t="shared" si="86"/>
        <v>180829.27494602176</v>
      </c>
      <c r="G185">
        <f t="shared" si="86"/>
        <v>180829.27494602176</v>
      </c>
      <c r="H185">
        <f t="shared" si="86"/>
        <v>180829.27494602176</v>
      </c>
      <c r="I185">
        <f t="shared" si="86"/>
        <v>180829.27494602176</v>
      </c>
      <c r="J185">
        <f t="shared" si="86"/>
        <v>195491.10804975324</v>
      </c>
      <c r="K185">
        <f t="shared" si="86"/>
        <v>195491.10804975324</v>
      </c>
      <c r="L185">
        <f t="shared" si="86"/>
        <v>293236.66207462986</v>
      </c>
      <c r="M185">
        <f t="shared" si="86"/>
        <v>293236.66207462986</v>
      </c>
      <c r="N185">
        <f t="shared" si="86"/>
        <v>293236.66207462986</v>
      </c>
      <c r="O185">
        <f t="shared" si="86"/>
        <v>537600.54713682143</v>
      </c>
      <c r="P185">
        <f t="shared" si="86"/>
        <v>1075201.0942736429</v>
      </c>
      <c r="Q185">
        <f t="shared" si="86"/>
        <v>1075201.0942736429</v>
      </c>
      <c r="T185">
        <f t="shared" si="37"/>
        <v>11824.036938738851</v>
      </c>
      <c r="U185">
        <f t="shared" si="38"/>
        <v>23648.073877477702</v>
      </c>
      <c r="V185">
        <f t="shared" si="39"/>
        <v>145829.7889111125</v>
      </c>
      <c r="W185">
        <f t="shared" si="40"/>
        <v>145829.7889111125</v>
      </c>
      <c r="X185">
        <f t="shared" si="41"/>
        <v>145829.7889111125</v>
      </c>
      <c r="Y185">
        <f t="shared" si="42"/>
        <v>145829.7889111125</v>
      </c>
      <c r="Z185">
        <f t="shared" si="43"/>
        <v>145829.7889111125</v>
      </c>
      <c r="AA185">
        <f t="shared" si="44"/>
        <v>157653.82584985133</v>
      </c>
      <c r="AB185">
        <f t="shared" si="45"/>
        <v>157653.82584985133</v>
      </c>
      <c r="AC185">
        <f t="shared" si="46"/>
        <v>236480.73877477701</v>
      </c>
      <c r="AD185">
        <f t="shared" si="47"/>
        <v>236480.73877477701</v>
      </c>
      <c r="AE185">
        <f t="shared" si="48"/>
        <v>236480.73877477701</v>
      </c>
      <c r="AF185">
        <f t="shared" si="49"/>
        <v>433548.02108709118</v>
      </c>
      <c r="AG185">
        <f t="shared" si="50"/>
        <v>867096.04217418237</v>
      </c>
      <c r="AH185">
        <f t="shared" si="51"/>
        <v>867096.04217418237</v>
      </c>
      <c r="AJ185">
        <f t="shared" si="52"/>
        <v>18107.787594863945</v>
      </c>
      <c r="AK185">
        <f t="shared" si="53"/>
        <v>36215.57518972789</v>
      </c>
      <c r="AL185">
        <f t="shared" si="54"/>
        <v>223329.3803366553</v>
      </c>
      <c r="AM185">
        <f t="shared" si="55"/>
        <v>223329.3803366553</v>
      </c>
      <c r="AN185">
        <f t="shared" si="56"/>
        <v>223329.3803366553</v>
      </c>
      <c r="AO185">
        <f t="shared" si="57"/>
        <v>223329.3803366553</v>
      </c>
      <c r="AP185">
        <f t="shared" si="58"/>
        <v>223329.3803366553</v>
      </c>
      <c r="AQ185">
        <f t="shared" si="59"/>
        <v>241437.16793151927</v>
      </c>
      <c r="AR185">
        <f t="shared" si="60"/>
        <v>241437.16793151927</v>
      </c>
      <c r="AS185">
        <f t="shared" si="61"/>
        <v>362155.75189727888</v>
      </c>
      <c r="AT185">
        <f t="shared" si="62"/>
        <v>362155.75189727888</v>
      </c>
      <c r="AU185">
        <f t="shared" si="63"/>
        <v>362155.75189727888</v>
      </c>
      <c r="AV185">
        <f t="shared" si="64"/>
        <v>663952.21181167802</v>
      </c>
      <c r="AW185">
        <f t="shared" si="65"/>
        <v>1327904.423623356</v>
      </c>
      <c r="AX185">
        <f t="shared" si="66"/>
        <v>1327904.423623356</v>
      </c>
    </row>
    <row r="186" spans="1:50" x14ac:dyDescent="0.2">
      <c r="A186">
        <v>2043</v>
      </c>
      <c r="B186">
        <v>23</v>
      </c>
      <c r="C186">
        <f t="shared" ref="C186:Q186" si="87">C$158*$C141</f>
        <v>14059.491647973737</v>
      </c>
      <c r="D186">
        <f t="shared" si="87"/>
        <v>28118.983295947473</v>
      </c>
      <c r="E186">
        <f t="shared" si="87"/>
        <v>173400.39699167607</v>
      </c>
      <c r="F186">
        <f t="shared" si="87"/>
        <v>173400.39699167607</v>
      </c>
      <c r="G186">
        <f t="shared" si="87"/>
        <v>173400.39699167607</v>
      </c>
      <c r="H186">
        <f t="shared" si="87"/>
        <v>173400.39699167607</v>
      </c>
      <c r="I186">
        <f t="shared" si="87"/>
        <v>173400.39699167607</v>
      </c>
      <c r="J186">
        <f t="shared" si="87"/>
        <v>187459.88863964981</v>
      </c>
      <c r="K186">
        <f t="shared" si="87"/>
        <v>187459.88863964981</v>
      </c>
      <c r="L186">
        <f t="shared" si="87"/>
        <v>281189.8329594747</v>
      </c>
      <c r="M186">
        <f t="shared" si="87"/>
        <v>281189.8329594747</v>
      </c>
      <c r="N186">
        <f t="shared" si="87"/>
        <v>281189.8329594747</v>
      </c>
      <c r="O186">
        <f t="shared" si="87"/>
        <v>515514.69375903701</v>
      </c>
      <c r="P186">
        <f t="shared" si="87"/>
        <v>1031029.387518074</v>
      </c>
      <c r="Q186">
        <f t="shared" si="87"/>
        <v>1031029.387518074</v>
      </c>
      <c r="T186">
        <f t="shared" si="37"/>
        <v>11267.781833737745</v>
      </c>
      <c r="U186">
        <f t="shared" si="38"/>
        <v>22535.56366747549</v>
      </c>
      <c r="V186">
        <f t="shared" si="39"/>
        <v>138969.30928276552</v>
      </c>
      <c r="W186">
        <f t="shared" si="40"/>
        <v>138969.30928276552</v>
      </c>
      <c r="X186">
        <f t="shared" si="41"/>
        <v>138969.30928276552</v>
      </c>
      <c r="Y186">
        <f t="shared" si="42"/>
        <v>138969.30928276552</v>
      </c>
      <c r="Z186">
        <f t="shared" si="43"/>
        <v>138969.30928276552</v>
      </c>
      <c r="AA186">
        <f t="shared" si="44"/>
        <v>150237.09111650326</v>
      </c>
      <c r="AB186">
        <f t="shared" si="45"/>
        <v>150237.09111650326</v>
      </c>
      <c r="AC186">
        <f t="shared" si="46"/>
        <v>225355.63667475487</v>
      </c>
      <c r="AD186">
        <f t="shared" si="47"/>
        <v>225355.63667475487</v>
      </c>
      <c r="AE186">
        <f t="shared" si="48"/>
        <v>225355.63667475487</v>
      </c>
      <c r="AF186">
        <f t="shared" si="49"/>
        <v>413152.00057038397</v>
      </c>
      <c r="AG186">
        <f t="shared" si="50"/>
        <v>826304.00114076794</v>
      </c>
      <c r="AH186">
        <f t="shared" si="51"/>
        <v>826304.00114076794</v>
      </c>
      <c r="AJ186">
        <f t="shared" si="52"/>
        <v>17472.515432240689</v>
      </c>
      <c r="AK186">
        <f t="shared" si="53"/>
        <v>34945.030864481378</v>
      </c>
      <c r="AL186">
        <f t="shared" si="54"/>
        <v>215494.35699763516</v>
      </c>
      <c r="AM186">
        <f t="shared" si="55"/>
        <v>215494.35699763516</v>
      </c>
      <c r="AN186">
        <f t="shared" si="56"/>
        <v>215494.35699763516</v>
      </c>
      <c r="AO186">
        <f t="shared" si="57"/>
        <v>215494.35699763516</v>
      </c>
      <c r="AP186">
        <f t="shared" si="58"/>
        <v>215494.35699763516</v>
      </c>
      <c r="AQ186">
        <f t="shared" si="59"/>
        <v>232966.87242987586</v>
      </c>
      <c r="AR186">
        <f t="shared" si="60"/>
        <v>232966.87242987586</v>
      </c>
      <c r="AS186">
        <f t="shared" si="61"/>
        <v>349450.30864481378</v>
      </c>
      <c r="AT186">
        <f t="shared" si="62"/>
        <v>349450.30864481378</v>
      </c>
      <c r="AU186">
        <f t="shared" si="63"/>
        <v>349450.30864481378</v>
      </c>
      <c r="AV186">
        <f t="shared" si="64"/>
        <v>640658.89918215864</v>
      </c>
      <c r="AW186">
        <f t="shared" si="65"/>
        <v>1281317.7983643173</v>
      </c>
      <c r="AX186">
        <f t="shared" si="66"/>
        <v>1281317.7983643173</v>
      </c>
    </row>
    <row r="187" spans="1:50" x14ac:dyDescent="0.2">
      <c r="A187">
        <v>2044</v>
      </c>
      <c r="B187">
        <v>24</v>
      </c>
      <c r="C187">
        <f t="shared" ref="C187:Q187" si="88">C$158*$C142</f>
        <v>13481.895749388637</v>
      </c>
      <c r="D187">
        <f t="shared" si="88"/>
        <v>26963.791498777275</v>
      </c>
      <c r="E187">
        <f t="shared" si="88"/>
        <v>166276.71424245986</v>
      </c>
      <c r="F187">
        <f t="shared" si="88"/>
        <v>166276.71424245986</v>
      </c>
      <c r="G187">
        <f t="shared" si="88"/>
        <v>166276.71424245986</v>
      </c>
      <c r="H187">
        <f t="shared" si="88"/>
        <v>166276.71424245986</v>
      </c>
      <c r="I187">
        <f t="shared" si="88"/>
        <v>166276.71424245986</v>
      </c>
      <c r="J187">
        <f t="shared" si="88"/>
        <v>179758.6099918485</v>
      </c>
      <c r="K187">
        <f t="shared" si="88"/>
        <v>179758.6099918485</v>
      </c>
      <c r="L187">
        <f t="shared" si="88"/>
        <v>269637.91498777276</v>
      </c>
      <c r="M187">
        <f t="shared" si="88"/>
        <v>269637.91498777276</v>
      </c>
      <c r="N187">
        <f t="shared" si="88"/>
        <v>269637.91498777276</v>
      </c>
      <c r="O187">
        <f t="shared" si="88"/>
        <v>494336.17747758335</v>
      </c>
      <c r="P187">
        <f t="shared" si="88"/>
        <v>988672.35495516669</v>
      </c>
      <c r="Q187">
        <f t="shared" si="88"/>
        <v>988672.35495516669</v>
      </c>
      <c r="T187">
        <f t="shared" si="37"/>
        <v>10737.695434352403</v>
      </c>
      <c r="U187">
        <f t="shared" si="38"/>
        <v>21475.390868704806</v>
      </c>
      <c r="V187">
        <f t="shared" si="39"/>
        <v>132431.57702367962</v>
      </c>
      <c r="W187">
        <f t="shared" si="40"/>
        <v>132431.57702367962</v>
      </c>
      <c r="X187">
        <f t="shared" si="41"/>
        <v>132431.57702367962</v>
      </c>
      <c r="Y187">
        <f t="shared" si="42"/>
        <v>132431.57702367962</v>
      </c>
      <c r="Z187">
        <f t="shared" si="43"/>
        <v>132431.57702367962</v>
      </c>
      <c r="AA187">
        <f t="shared" si="44"/>
        <v>143169.27245803204</v>
      </c>
      <c r="AB187">
        <f t="shared" si="45"/>
        <v>143169.27245803204</v>
      </c>
      <c r="AC187">
        <f t="shared" si="46"/>
        <v>214753.90868704807</v>
      </c>
      <c r="AD187">
        <f t="shared" si="47"/>
        <v>214753.90868704807</v>
      </c>
      <c r="AE187">
        <f t="shared" si="48"/>
        <v>214753.90868704807</v>
      </c>
      <c r="AF187">
        <f t="shared" si="49"/>
        <v>393715.49925958813</v>
      </c>
      <c r="AG187">
        <f t="shared" si="50"/>
        <v>787430.99851917627</v>
      </c>
      <c r="AH187">
        <f t="shared" si="51"/>
        <v>787430.99851917627</v>
      </c>
      <c r="AJ187">
        <f t="shared" si="52"/>
        <v>16859.530405386493</v>
      </c>
      <c r="AK187">
        <f t="shared" si="53"/>
        <v>33719.060810772986</v>
      </c>
      <c r="AL187">
        <f t="shared" si="54"/>
        <v>207934.20833310008</v>
      </c>
      <c r="AM187">
        <f t="shared" si="55"/>
        <v>207934.20833310008</v>
      </c>
      <c r="AN187">
        <f t="shared" si="56"/>
        <v>207934.20833310008</v>
      </c>
      <c r="AO187">
        <f t="shared" si="57"/>
        <v>207934.20833310008</v>
      </c>
      <c r="AP187">
        <f t="shared" si="58"/>
        <v>207934.20833310008</v>
      </c>
      <c r="AQ187">
        <f t="shared" si="59"/>
        <v>224793.73873848657</v>
      </c>
      <c r="AR187">
        <f t="shared" si="60"/>
        <v>224793.73873848657</v>
      </c>
      <c r="AS187">
        <f t="shared" si="61"/>
        <v>337190.60810772987</v>
      </c>
      <c r="AT187">
        <f t="shared" si="62"/>
        <v>337190.60810772987</v>
      </c>
      <c r="AU187">
        <f t="shared" si="63"/>
        <v>337190.60810772987</v>
      </c>
      <c r="AV187">
        <f t="shared" si="64"/>
        <v>618182.78153083811</v>
      </c>
      <c r="AW187">
        <f t="shared" si="65"/>
        <v>1236365.5630616762</v>
      </c>
      <c r="AX187">
        <f t="shared" si="66"/>
        <v>1236365.5630616762</v>
      </c>
    </row>
    <row r="188" spans="1:50" x14ac:dyDescent="0.2">
      <c r="A188">
        <v>2045</v>
      </c>
      <c r="B188">
        <v>25</v>
      </c>
      <c r="C188">
        <f t="shared" ref="C188:Q188" si="89">C$158*$C143</f>
        <v>12928.028804197838</v>
      </c>
      <c r="D188">
        <f t="shared" si="89"/>
        <v>25856.057608395677</v>
      </c>
      <c r="E188">
        <f t="shared" si="89"/>
        <v>159445.68858510666</v>
      </c>
      <c r="F188">
        <f t="shared" si="89"/>
        <v>159445.68858510666</v>
      </c>
      <c r="G188">
        <f t="shared" si="89"/>
        <v>159445.68858510666</v>
      </c>
      <c r="H188">
        <f t="shared" si="89"/>
        <v>159445.68858510666</v>
      </c>
      <c r="I188">
        <f t="shared" si="89"/>
        <v>159445.68858510666</v>
      </c>
      <c r="J188">
        <f t="shared" si="89"/>
        <v>172373.71738930448</v>
      </c>
      <c r="K188">
        <f t="shared" si="89"/>
        <v>172373.71738930448</v>
      </c>
      <c r="L188">
        <f t="shared" si="89"/>
        <v>258560.57608395675</v>
      </c>
      <c r="M188">
        <f t="shared" si="89"/>
        <v>258560.57608395675</v>
      </c>
      <c r="N188">
        <f t="shared" si="89"/>
        <v>258560.57608395675</v>
      </c>
      <c r="O188">
        <f t="shared" si="89"/>
        <v>474027.72282058734</v>
      </c>
      <c r="P188">
        <f t="shared" si="89"/>
        <v>948055.44564117468</v>
      </c>
      <c r="Q188">
        <f t="shared" si="89"/>
        <v>948055.44564117468</v>
      </c>
      <c r="T188">
        <f t="shared" si="37"/>
        <v>10232.546648683719</v>
      </c>
      <c r="U188">
        <f t="shared" si="38"/>
        <v>20465.093297367439</v>
      </c>
      <c r="V188">
        <f t="shared" si="39"/>
        <v>126201.40866709918</v>
      </c>
      <c r="W188">
        <f t="shared" si="40"/>
        <v>126201.40866709918</v>
      </c>
      <c r="X188">
        <f t="shared" si="41"/>
        <v>126201.40866709918</v>
      </c>
      <c r="Y188">
        <f t="shared" si="42"/>
        <v>126201.40866709918</v>
      </c>
      <c r="Z188">
        <f t="shared" si="43"/>
        <v>126201.40866709918</v>
      </c>
      <c r="AA188">
        <f t="shared" si="44"/>
        <v>136433.95531578292</v>
      </c>
      <c r="AB188">
        <f t="shared" si="45"/>
        <v>136433.95531578292</v>
      </c>
      <c r="AC188">
        <f t="shared" si="46"/>
        <v>204650.93297367438</v>
      </c>
      <c r="AD188">
        <f t="shared" si="47"/>
        <v>204650.93297367438</v>
      </c>
      <c r="AE188">
        <f t="shared" si="48"/>
        <v>204650.93297367438</v>
      </c>
      <c r="AF188">
        <f t="shared" si="49"/>
        <v>375193.37711840303</v>
      </c>
      <c r="AG188">
        <f t="shared" si="50"/>
        <v>750386.75423680607</v>
      </c>
      <c r="AH188">
        <f t="shared" si="51"/>
        <v>750386.75423680607</v>
      </c>
      <c r="AJ188">
        <f t="shared" si="52"/>
        <v>16268.05061883983</v>
      </c>
      <c r="AK188">
        <f t="shared" si="53"/>
        <v>32536.101237679661</v>
      </c>
      <c r="AL188">
        <f t="shared" si="54"/>
        <v>200639.29096569121</v>
      </c>
      <c r="AM188">
        <f t="shared" si="55"/>
        <v>200639.29096569121</v>
      </c>
      <c r="AN188">
        <f t="shared" si="56"/>
        <v>200639.29096569121</v>
      </c>
      <c r="AO188">
        <f t="shared" si="57"/>
        <v>200639.29096569121</v>
      </c>
      <c r="AP188">
        <f t="shared" si="58"/>
        <v>200639.29096569121</v>
      </c>
      <c r="AQ188">
        <f t="shared" si="59"/>
        <v>216907.34158453107</v>
      </c>
      <c r="AR188">
        <f t="shared" si="60"/>
        <v>216907.34158453107</v>
      </c>
      <c r="AS188">
        <f t="shared" si="61"/>
        <v>325361.01237679657</v>
      </c>
      <c r="AT188">
        <f t="shared" si="62"/>
        <v>325361.01237679657</v>
      </c>
      <c r="AU188">
        <f t="shared" si="63"/>
        <v>325361.01237679657</v>
      </c>
      <c r="AV188">
        <f t="shared" si="64"/>
        <v>596495.18935746036</v>
      </c>
      <c r="AW188">
        <f t="shared" si="65"/>
        <v>1192990.3787149207</v>
      </c>
      <c r="AX188">
        <f t="shared" si="66"/>
        <v>1192990.3787149207</v>
      </c>
    </row>
    <row r="190" spans="1:50" x14ac:dyDescent="0.2">
      <c r="C190">
        <f>AVERAGE(C164:C188)/1000</f>
        <v>22.379374124183435</v>
      </c>
      <c r="D190">
        <f t="shared" ref="D190:Q190" si="90">AVERAGE(D164:D188)/1000</f>
        <v>44.758748248366871</v>
      </c>
      <c r="E190">
        <f t="shared" si="90"/>
        <v>276.0122808649291</v>
      </c>
      <c r="F190">
        <f t="shared" si="90"/>
        <v>276.0122808649291</v>
      </c>
      <c r="G190">
        <f t="shared" si="90"/>
        <v>276.0122808649291</v>
      </c>
      <c r="H190">
        <f t="shared" si="90"/>
        <v>276.0122808649291</v>
      </c>
      <c r="I190">
        <f t="shared" si="90"/>
        <v>276.0122808649291</v>
      </c>
      <c r="J190">
        <f t="shared" si="90"/>
        <v>298.39165498911251</v>
      </c>
      <c r="K190">
        <f t="shared" si="90"/>
        <v>298.39165498911251</v>
      </c>
      <c r="L190">
        <f t="shared" si="90"/>
        <v>447.58748248366879</v>
      </c>
      <c r="M190">
        <f t="shared" si="90"/>
        <v>447.58748248366879</v>
      </c>
      <c r="N190">
        <f t="shared" si="90"/>
        <v>447.58748248366879</v>
      </c>
      <c r="O190">
        <f t="shared" si="90"/>
        <v>820.57705122005939</v>
      </c>
      <c r="P190">
        <f t="shared" si="90"/>
        <v>1641.1541024401188</v>
      </c>
      <c r="Q190">
        <f t="shared" si="90"/>
        <v>1641.1541024401188</v>
      </c>
      <c r="T190">
        <f>AVERAGE(T164:T188)/1000</f>
        <v>19.36513464266951</v>
      </c>
      <c r="U190">
        <f t="shared" ref="U190:AH190" si="91">AVERAGE(U164:U188)/1000</f>
        <v>38.73026928533902</v>
      </c>
      <c r="V190">
        <f t="shared" si="91"/>
        <v>238.83666059292386</v>
      </c>
      <c r="W190">
        <f t="shared" si="91"/>
        <v>238.83666059292386</v>
      </c>
      <c r="X190">
        <f t="shared" si="91"/>
        <v>238.83666059292386</v>
      </c>
      <c r="Y190">
        <f t="shared" si="91"/>
        <v>238.83666059292386</v>
      </c>
      <c r="Z190">
        <f t="shared" si="91"/>
        <v>238.83666059292386</v>
      </c>
      <c r="AA190">
        <f t="shared" si="91"/>
        <v>258.20179523559347</v>
      </c>
      <c r="AB190">
        <f t="shared" si="91"/>
        <v>258.20179523559347</v>
      </c>
      <c r="AC190">
        <f t="shared" si="91"/>
        <v>387.30269285339006</v>
      </c>
      <c r="AD190">
        <f t="shared" si="91"/>
        <v>387.30269285339006</v>
      </c>
      <c r="AE190">
        <f t="shared" si="91"/>
        <v>387.30269285339006</v>
      </c>
      <c r="AF190">
        <f t="shared" si="91"/>
        <v>710.05493689788193</v>
      </c>
      <c r="AG190">
        <f t="shared" si="91"/>
        <v>1420.1098737957639</v>
      </c>
      <c r="AH190">
        <f t="shared" si="91"/>
        <v>1420.1098737957639</v>
      </c>
      <c r="AJ190">
        <f>AVERAGE(AJ164:AJ188)/1000</f>
        <v>25.808453521808975</v>
      </c>
      <c r="AK190">
        <f t="shared" ref="AK190:AX190" si="92">AVERAGE(AK164:AK188)/1000</f>
        <v>51.61690704361795</v>
      </c>
      <c r="AL190">
        <f t="shared" si="92"/>
        <v>318.30426010231082</v>
      </c>
      <c r="AM190">
        <f t="shared" si="92"/>
        <v>318.30426010231082</v>
      </c>
      <c r="AN190">
        <f t="shared" si="92"/>
        <v>318.30426010231082</v>
      </c>
      <c r="AO190">
        <f t="shared" si="92"/>
        <v>318.30426010231082</v>
      </c>
      <c r="AP190">
        <f t="shared" si="92"/>
        <v>318.30426010231082</v>
      </c>
      <c r="AQ190">
        <f t="shared" si="92"/>
        <v>344.11271362411969</v>
      </c>
      <c r="AR190">
        <f t="shared" si="92"/>
        <v>344.11271362411969</v>
      </c>
      <c r="AS190">
        <f t="shared" si="92"/>
        <v>516.16907043617971</v>
      </c>
      <c r="AT190">
        <f t="shared" si="92"/>
        <v>516.16907043617971</v>
      </c>
      <c r="AU190">
        <f t="shared" si="92"/>
        <v>516.16907043617971</v>
      </c>
      <c r="AV190">
        <f t="shared" si="92"/>
        <v>946.3099624663289</v>
      </c>
      <c r="AW190">
        <f t="shared" si="92"/>
        <v>1892.6199249326578</v>
      </c>
      <c r="AX190">
        <f t="shared" si="92"/>
        <v>1892.6199249326578</v>
      </c>
    </row>
    <row r="194" spans="2:10" x14ac:dyDescent="0.2">
      <c r="B194" t="s">
        <v>321</v>
      </c>
    </row>
    <row r="195" spans="2:10" x14ac:dyDescent="0.2">
      <c r="C195" t="s">
        <v>328</v>
      </c>
      <c r="H195" t="s">
        <v>329</v>
      </c>
    </row>
    <row r="196" spans="2:10" x14ac:dyDescent="0.2">
      <c r="B196" t="s">
        <v>322</v>
      </c>
      <c r="C196">
        <v>12</v>
      </c>
      <c r="D196" t="s">
        <v>323</v>
      </c>
      <c r="H196" t="s">
        <v>322</v>
      </c>
      <c r="I196">
        <v>12</v>
      </c>
      <c r="J196" t="s">
        <v>323</v>
      </c>
    </row>
    <row r="197" spans="2:10" x14ac:dyDescent="0.2">
      <c r="B197" t="s">
        <v>324</v>
      </c>
      <c r="C197">
        <v>1</v>
      </c>
      <c r="D197" t="s">
        <v>323</v>
      </c>
      <c r="H197" t="s">
        <v>324</v>
      </c>
      <c r="I197">
        <v>1</v>
      </c>
      <c r="J197" t="s">
        <v>323</v>
      </c>
    </row>
    <row r="199" spans="2:10" x14ac:dyDescent="0.2">
      <c r="B199" t="s">
        <v>80</v>
      </c>
      <c r="H199" t="s">
        <v>80</v>
      </c>
    </row>
    <row r="200" spans="2:10" x14ac:dyDescent="0.2">
      <c r="B200" t="s">
        <v>325</v>
      </c>
      <c r="C200">
        <v>0.125</v>
      </c>
      <c r="E200" t="s">
        <v>331</v>
      </c>
      <c r="H200" t="s">
        <v>330</v>
      </c>
      <c r="I200" s="37">
        <v>0.5</v>
      </c>
      <c r="J200" t="s">
        <v>323</v>
      </c>
    </row>
    <row r="201" spans="2:10" x14ac:dyDescent="0.2">
      <c r="B201" t="s">
        <v>326</v>
      </c>
      <c r="C201">
        <v>1</v>
      </c>
      <c r="D201" t="s">
        <v>323</v>
      </c>
      <c r="H201" t="s">
        <v>326</v>
      </c>
      <c r="I201">
        <v>1</v>
      </c>
      <c r="J201" t="s">
        <v>323</v>
      </c>
    </row>
    <row r="203" spans="2:10" x14ac:dyDescent="0.2">
      <c r="B203" t="s">
        <v>332</v>
      </c>
    </row>
    <row r="204" spans="2:10" x14ac:dyDescent="0.2">
      <c r="B204" t="s">
        <v>333</v>
      </c>
      <c r="D204" t="s">
        <v>334</v>
      </c>
    </row>
    <row r="206" spans="2:10" x14ac:dyDescent="0.2">
      <c r="B206" t="s">
        <v>335</v>
      </c>
    </row>
    <row r="207" spans="2:10" x14ac:dyDescent="0.2">
      <c r="B207" t="s">
        <v>336</v>
      </c>
      <c r="C207" t="s">
        <v>338</v>
      </c>
    </row>
    <row r="208" spans="2:10" x14ac:dyDescent="0.2">
      <c r="B208" t="s">
        <v>173</v>
      </c>
      <c r="C208">
        <v>0.66700000000000004</v>
      </c>
      <c r="D208" t="s">
        <v>337</v>
      </c>
    </row>
    <row r="209" spans="2:50" x14ac:dyDescent="0.2">
      <c r="B209" t="s">
        <v>174</v>
      </c>
      <c r="C209">
        <v>0.63800000000000001</v>
      </c>
      <c r="D209" t="s">
        <v>337</v>
      </c>
    </row>
    <row r="210" spans="2:50" x14ac:dyDescent="0.2">
      <c r="B210" t="s">
        <v>175</v>
      </c>
      <c r="C210">
        <v>0.626</v>
      </c>
      <c r="D210" t="s">
        <v>337</v>
      </c>
    </row>
    <row r="213" spans="2:50" x14ac:dyDescent="0.2">
      <c r="B213" t="s">
        <v>339</v>
      </c>
      <c r="I213" s="4"/>
    </row>
    <row r="214" spans="2:50" x14ac:dyDescent="0.2">
      <c r="C214">
        <f>(C196+C197+C201)*40</f>
        <v>560</v>
      </c>
      <c r="D214" t="s">
        <v>340</v>
      </c>
    </row>
    <row r="215" spans="2:50" x14ac:dyDescent="0.2">
      <c r="C215" t="s">
        <v>318</v>
      </c>
      <c r="T215" t="s">
        <v>155</v>
      </c>
      <c r="AJ215" t="s">
        <v>156</v>
      </c>
    </row>
    <row r="217" spans="2:50" x14ac:dyDescent="0.2">
      <c r="C217" t="s">
        <v>228</v>
      </c>
      <c r="D217" t="s">
        <v>229</v>
      </c>
      <c r="E217" t="s">
        <v>230</v>
      </c>
      <c r="F217" t="s">
        <v>231</v>
      </c>
      <c r="G217" t="s">
        <v>232</v>
      </c>
      <c r="H217" t="s">
        <v>233</v>
      </c>
      <c r="I217" t="s">
        <v>234</v>
      </c>
      <c r="J217" t="s">
        <v>235</v>
      </c>
      <c r="K217" t="s">
        <v>240</v>
      </c>
      <c r="L217" t="s">
        <v>241</v>
      </c>
      <c r="M217" t="s">
        <v>242</v>
      </c>
      <c r="N217" t="s">
        <v>243</v>
      </c>
      <c r="O217" t="s">
        <v>299</v>
      </c>
      <c r="P217" t="s">
        <v>300</v>
      </c>
      <c r="Q217" t="s">
        <v>301</v>
      </c>
      <c r="T217" t="s">
        <v>228</v>
      </c>
      <c r="U217" t="s">
        <v>229</v>
      </c>
      <c r="V217" t="s">
        <v>230</v>
      </c>
      <c r="W217" t="s">
        <v>231</v>
      </c>
      <c r="X217" t="s">
        <v>232</v>
      </c>
      <c r="Y217" t="s">
        <v>233</v>
      </c>
      <c r="Z217" t="s">
        <v>234</v>
      </c>
      <c r="AA217" t="s">
        <v>235</v>
      </c>
      <c r="AB217" t="s">
        <v>240</v>
      </c>
      <c r="AC217" t="s">
        <v>241</v>
      </c>
      <c r="AD217" t="s">
        <v>242</v>
      </c>
      <c r="AE217" t="s">
        <v>243</v>
      </c>
      <c r="AF217" t="s">
        <v>299</v>
      </c>
      <c r="AG217" t="s">
        <v>300</v>
      </c>
      <c r="AH217" t="s">
        <v>301</v>
      </c>
      <c r="AJ217" t="s">
        <v>228</v>
      </c>
      <c r="AK217" t="s">
        <v>229</v>
      </c>
      <c r="AL217" t="s">
        <v>230</v>
      </c>
      <c r="AM217" t="s">
        <v>231</v>
      </c>
      <c r="AN217" t="s">
        <v>232</v>
      </c>
      <c r="AO217" t="s">
        <v>233</v>
      </c>
      <c r="AP217" t="s">
        <v>234</v>
      </c>
      <c r="AQ217" t="s">
        <v>235</v>
      </c>
      <c r="AR217" t="s">
        <v>240</v>
      </c>
      <c r="AS217" t="s">
        <v>241</v>
      </c>
      <c r="AT217" t="s">
        <v>242</v>
      </c>
      <c r="AU217" t="s">
        <v>243</v>
      </c>
      <c r="AV217" t="s">
        <v>299</v>
      </c>
      <c r="AW217" t="s">
        <v>300</v>
      </c>
      <c r="AX217" t="s">
        <v>301</v>
      </c>
    </row>
    <row r="218" spans="2:50" x14ac:dyDescent="0.2">
      <c r="B218" t="s">
        <v>95</v>
      </c>
      <c r="C218">
        <f>C214*C209</f>
        <v>357.28000000000003</v>
      </c>
      <c r="D218">
        <f>C218</f>
        <v>357.28000000000003</v>
      </c>
      <c r="E218">
        <f>D218</f>
        <v>357.28000000000003</v>
      </c>
      <c r="F218">
        <f t="shared" ref="F218:Q218" si="93">E218</f>
        <v>357.28000000000003</v>
      </c>
      <c r="G218">
        <f t="shared" si="93"/>
        <v>357.28000000000003</v>
      </c>
      <c r="H218">
        <f t="shared" si="93"/>
        <v>357.28000000000003</v>
      </c>
      <c r="I218">
        <f t="shared" si="93"/>
        <v>357.28000000000003</v>
      </c>
      <c r="J218">
        <f t="shared" si="93"/>
        <v>357.28000000000003</v>
      </c>
      <c r="K218">
        <f t="shared" si="93"/>
        <v>357.28000000000003</v>
      </c>
      <c r="L218">
        <f t="shared" si="93"/>
        <v>357.28000000000003</v>
      </c>
      <c r="M218">
        <f t="shared" si="93"/>
        <v>357.28000000000003</v>
      </c>
      <c r="N218">
        <f t="shared" si="93"/>
        <v>357.28000000000003</v>
      </c>
      <c r="O218">
        <f t="shared" si="93"/>
        <v>357.28000000000003</v>
      </c>
      <c r="P218">
        <f t="shared" si="93"/>
        <v>357.28000000000003</v>
      </c>
      <c r="Q218">
        <f t="shared" si="93"/>
        <v>357.28000000000003</v>
      </c>
      <c r="T218">
        <f>C214*C210</f>
        <v>350.56</v>
      </c>
      <c r="U218">
        <f>T218</f>
        <v>350.56</v>
      </c>
      <c r="V218">
        <f t="shared" ref="V218:AH218" si="94">U218</f>
        <v>350.56</v>
      </c>
      <c r="W218">
        <f t="shared" si="94"/>
        <v>350.56</v>
      </c>
      <c r="X218">
        <f t="shared" si="94"/>
        <v>350.56</v>
      </c>
      <c r="Y218">
        <f t="shared" si="94"/>
        <v>350.56</v>
      </c>
      <c r="Z218">
        <f t="shared" si="94"/>
        <v>350.56</v>
      </c>
      <c r="AA218">
        <f t="shared" si="94"/>
        <v>350.56</v>
      </c>
      <c r="AB218">
        <f t="shared" si="94"/>
        <v>350.56</v>
      </c>
      <c r="AC218">
        <f t="shared" si="94"/>
        <v>350.56</v>
      </c>
      <c r="AD218">
        <f t="shared" si="94"/>
        <v>350.56</v>
      </c>
      <c r="AE218">
        <f t="shared" si="94"/>
        <v>350.56</v>
      </c>
      <c r="AF218">
        <f t="shared" si="94"/>
        <v>350.56</v>
      </c>
      <c r="AG218">
        <f t="shared" si="94"/>
        <v>350.56</v>
      </c>
      <c r="AH218">
        <f t="shared" si="94"/>
        <v>350.56</v>
      </c>
      <c r="AJ218">
        <f>C214*C208</f>
        <v>373.52000000000004</v>
      </c>
      <c r="AK218">
        <f>AJ218</f>
        <v>373.52000000000004</v>
      </c>
      <c r="AL218">
        <f t="shared" ref="AL218:AX218" si="95">AK218</f>
        <v>373.52000000000004</v>
      </c>
      <c r="AM218">
        <f t="shared" si="95"/>
        <v>373.52000000000004</v>
      </c>
      <c r="AN218">
        <f t="shared" si="95"/>
        <v>373.52000000000004</v>
      </c>
      <c r="AO218">
        <f t="shared" si="95"/>
        <v>373.52000000000004</v>
      </c>
      <c r="AP218">
        <f t="shared" si="95"/>
        <v>373.52000000000004</v>
      </c>
      <c r="AQ218">
        <f t="shared" si="95"/>
        <v>373.52000000000004</v>
      </c>
      <c r="AR218">
        <f t="shared" si="95"/>
        <v>373.52000000000004</v>
      </c>
      <c r="AS218">
        <f t="shared" si="95"/>
        <v>373.52000000000004</v>
      </c>
      <c r="AT218">
        <f t="shared" si="95"/>
        <v>373.52000000000004</v>
      </c>
      <c r="AU218">
        <f t="shared" si="95"/>
        <v>373.52000000000004</v>
      </c>
      <c r="AV218">
        <f t="shared" si="95"/>
        <v>373.52000000000004</v>
      </c>
      <c r="AW218">
        <f t="shared" si="95"/>
        <v>373.52000000000004</v>
      </c>
      <c r="AX218">
        <f t="shared" si="95"/>
        <v>373.52000000000004</v>
      </c>
    </row>
    <row r="220" spans="2:50" x14ac:dyDescent="0.2">
      <c r="B220" t="s">
        <v>341</v>
      </c>
      <c r="C220">
        <f>$C$200*C61</f>
        <v>2.625</v>
      </c>
      <c r="D220">
        <f>$C$200*D61</f>
        <v>3.9375</v>
      </c>
      <c r="E220">
        <f t="shared" ref="E220:N220" si="96">$I$200*E61</f>
        <v>26.8</v>
      </c>
      <c r="F220">
        <f t="shared" si="96"/>
        <v>26.8</v>
      </c>
      <c r="G220">
        <f t="shared" si="96"/>
        <v>26.8</v>
      </c>
      <c r="H220">
        <f t="shared" si="96"/>
        <v>26.8</v>
      </c>
      <c r="I220">
        <f t="shared" si="96"/>
        <v>26.8</v>
      </c>
      <c r="J220">
        <f t="shared" si="96"/>
        <v>44.65</v>
      </c>
      <c r="K220">
        <f t="shared" si="96"/>
        <v>44.65</v>
      </c>
      <c r="L220">
        <f t="shared" si="96"/>
        <v>44.65</v>
      </c>
      <c r="M220">
        <f t="shared" si="96"/>
        <v>44.65</v>
      </c>
      <c r="N220">
        <f t="shared" si="96"/>
        <v>44.65</v>
      </c>
      <c r="O220">
        <f>$C$200*O61</f>
        <v>15.625</v>
      </c>
      <c r="P220">
        <f>$C$200*P61</f>
        <v>19.75</v>
      </c>
      <c r="Q220">
        <f>$C$200*Q61</f>
        <v>19.75</v>
      </c>
      <c r="T220">
        <f>C220</f>
        <v>2.625</v>
      </c>
      <c r="U220">
        <f t="shared" ref="U220:AH220" si="97">D220</f>
        <v>3.9375</v>
      </c>
      <c r="V220">
        <f t="shared" si="97"/>
        <v>26.8</v>
      </c>
      <c r="W220">
        <f t="shared" si="97"/>
        <v>26.8</v>
      </c>
      <c r="X220">
        <f t="shared" si="97"/>
        <v>26.8</v>
      </c>
      <c r="Y220">
        <f t="shared" si="97"/>
        <v>26.8</v>
      </c>
      <c r="Z220">
        <f t="shared" si="97"/>
        <v>26.8</v>
      </c>
      <c r="AA220">
        <f t="shared" si="97"/>
        <v>44.65</v>
      </c>
      <c r="AB220">
        <f t="shared" si="97"/>
        <v>44.65</v>
      </c>
      <c r="AC220">
        <f t="shared" si="97"/>
        <v>44.65</v>
      </c>
      <c r="AD220">
        <f t="shared" si="97"/>
        <v>44.65</v>
      </c>
      <c r="AE220">
        <f t="shared" si="97"/>
        <v>44.65</v>
      </c>
      <c r="AF220">
        <f t="shared" si="97"/>
        <v>15.625</v>
      </c>
      <c r="AG220">
        <f t="shared" si="97"/>
        <v>19.75</v>
      </c>
      <c r="AH220">
        <f t="shared" si="97"/>
        <v>19.75</v>
      </c>
      <c r="AJ220">
        <f>T220</f>
        <v>2.625</v>
      </c>
      <c r="AK220">
        <f t="shared" ref="AK220:AX220" si="98">U220</f>
        <v>3.9375</v>
      </c>
      <c r="AL220">
        <f t="shared" si="98"/>
        <v>26.8</v>
      </c>
      <c r="AM220">
        <f t="shared" si="98"/>
        <v>26.8</v>
      </c>
      <c r="AN220">
        <f t="shared" si="98"/>
        <v>26.8</v>
      </c>
      <c r="AO220">
        <f t="shared" si="98"/>
        <v>26.8</v>
      </c>
      <c r="AP220">
        <f t="shared" si="98"/>
        <v>26.8</v>
      </c>
      <c r="AQ220">
        <f t="shared" si="98"/>
        <v>44.65</v>
      </c>
      <c r="AR220">
        <f t="shared" si="98"/>
        <v>44.65</v>
      </c>
      <c r="AS220">
        <f t="shared" si="98"/>
        <v>44.65</v>
      </c>
      <c r="AT220">
        <f t="shared" si="98"/>
        <v>44.65</v>
      </c>
      <c r="AU220">
        <f t="shared" si="98"/>
        <v>44.65</v>
      </c>
      <c r="AV220">
        <f t="shared" si="98"/>
        <v>15.625</v>
      </c>
      <c r="AW220">
        <f t="shared" si="98"/>
        <v>19.75</v>
      </c>
      <c r="AX220">
        <f t="shared" si="98"/>
        <v>19.75</v>
      </c>
    </row>
    <row r="223" spans="2:50" x14ac:dyDescent="0.2">
      <c r="B223" t="s">
        <v>347</v>
      </c>
    </row>
    <row r="224" spans="2:50" x14ac:dyDescent="0.2">
      <c r="B224" t="s">
        <v>348</v>
      </c>
      <c r="C224" t="s">
        <v>30</v>
      </c>
      <c r="E224" t="s">
        <v>349</v>
      </c>
    </row>
    <row r="225" spans="1:34" x14ac:dyDescent="0.2">
      <c r="B225" t="s">
        <v>30</v>
      </c>
      <c r="C225">
        <f t="shared" ref="C225:Q225" si="99">C55</f>
        <v>8.9499999999999993</v>
      </c>
      <c r="D225">
        <f t="shared" si="99"/>
        <v>15.8</v>
      </c>
      <c r="E225">
        <f t="shared" si="99"/>
        <v>28</v>
      </c>
      <c r="F225">
        <f t="shared" si="99"/>
        <v>40.799999999999997</v>
      </c>
      <c r="G225">
        <f t="shared" si="99"/>
        <v>64.400000000000006</v>
      </c>
      <c r="H225">
        <f t="shared" si="99"/>
        <v>106</v>
      </c>
      <c r="I225">
        <f t="shared" si="99"/>
        <v>138</v>
      </c>
      <c r="J225">
        <f t="shared" si="99"/>
        <v>192</v>
      </c>
      <c r="K225">
        <f t="shared" si="99"/>
        <v>260</v>
      </c>
      <c r="L225">
        <f t="shared" si="99"/>
        <v>383</v>
      </c>
      <c r="M225">
        <f t="shared" si="99"/>
        <v>520</v>
      </c>
      <c r="N225">
        <f t="shared" si="99"/>
        <v>643</v>
      </c>
      <c r="O225">
        <f t="shared" si="99"/>
        <v>767</v>
      </c>
      <c r="P225">
        <f t="shared" si="99"/>
        <v>906</v>
      </c>
      <c r="Q225">
        <f t="shared" si="99"/>
        <v>1030</v>
      </c>
    </row>
    <row r="226" spans="1:34" x14ac:dyDescent="0.2">
      <c r="B226" t="s">
        <v>350</v>
      </c>
      <c r="C226">
        <f t="shared" ref="C226:Q226" si="100">C56</f>
        <v>47.5</v>
      </c>
      <c r="D226">
        <f t="shared" si="100"/>
        <v>95.3</v>
      </c>
      <c r="E226">
        <f t="shared" si="100"/>
        <v>183</v>
      </c>
      <c r="F226">
        <f t="shared" si="100"/>
        <v>279</v>
      </c>
      <c r="G226">
        <f t="shared" si="100"/>
        <v>461</v>
      </c>
      <c r="H226">
        <f t="shared" si="100"/>
        <v>691</v>
      </c>
      <c r="I226">
        <f t="shared" si="100"/>
        <v>930</v>
      </c>
      <c r="J226">
        <f t="shared" si="100"/>
        <v>1380</v>
      </c>
      <c r="K226">
        <f t="shared" si="100"/>
        <v>1840</v>
      </c>
      <c r="L226">
        <f t="shared" si="100"/>
        <v>2770</v>
      </c>
      <c r="M226">
        <f t="shared" si="100"/>
        <v>3680</v>
      </c>
      <c r="N226">
        <f t="shared" si="100"/>
        <v>4610</v>
      </c>
      <c r="O226">
        <f t="shared" si="100"/>
        <v>5540</v>
      </c>
      <c r="P226">
        <f t="shared" si="100"/>
        <v>6470</v>
      </c>
      <c r="Q226">
        <f t="shared" si="100"/>
        <v>7370</v>
      </c>
    </row>
    <row r="227" spans="1:34" x14ac:dyDescent="0.2">
      <c r="B227" t="s">
        <v>351</v>
      </c>
      <c r="C227">
        <f t="shared" ref="C227:Q227" si="101">C57</f>
        <v>51.3</v>
      </c>
      <c r="D227">
        <f t="shared" si="101"/>
        <v>72.400000000000006</v>
      </c>
      <c r="E227">
        <f t="shared" si="101"/>
        <v>102</v>
      </c>
      <c r="F227">
        <f t="shared" si="101"/>
        <v>125</v>
      </c>
      <c r="G227">
        <f t="shared" si="101"/>
        <v>160</v>
      </c>
      <c r="H227">
        <f t="shared" si="101"/>
        <v>394</v>
      </c>
      <c r="I227">
        <f t="shared" si="101"/>
        <v>454</v>
      </c>
      <c r="J227">
        <f t="shared" si="101"/>
        <v>458</v>
      </c>
      <c r="K227">
        <f t="shared" si="101"/>
        <v>687</v>
      </c>
      <c r="L227">
        <f t="shared" si="101"/>
        <v>916</v>
      </c>
      <c r="M227">
        <f t="shared" si="101"/>
        <v>1370</v>
      </c>
      <c r="N227">
        <f t="shared" si="101"/>
        <v>1600</v>
      </c>
      <c r="O227">
        <f t="shared" si="101"/>
        <v>1830</v>
      </c>
      <c r="P227">
        <f t="shared" si="101"/>
        <v>2290</v>
      </c>
      <c r="Q227">
        <f t="shared" si="101"/>
        <v>2520</v>
      </c>
    </row>
    <row r="229" spans="1:34" x14ac:dyDescent="0.2">
      <c r="B229" t="s">
        <v>258</v>
      </c>
      <c r="C229">
        <f>SUM(C225:C227)</f>
        <v>107.75</v>
      </c>
      <c r="D229">
        <f t="shared" ref="D229:Q229" si="102">SUM(D225:D227)</f>
        <v>183.5</v>
      </c>
      <c r="E229">
        <f t="shared" si="102"/>
        <v>313</v>
      </c>
      <c r="F229">
        <f t="shared" si="102"/>
        <v>444.8</v>
      </c>
      <c r="G229">
        <f t="shared" si="102"/>
        <v>685.4</v>
      </c>
      <c r="H229">
        <f t="shared" si="102"/>
        <v>1191</v>
      </c>
      <c r="I229">
        <f t="shared" si="102"/>
        <v>1522</v>
      </c>
      <c r="J229">
        <f t="shared" si="102"/>
        <v>2030</v>
      </c>
      <c r="K229">
        <f t="shared" si="102"/>
        <v>2787</v>
      </c>
      <c r="L229">
        <f t="shared" si="102"/>
        <v>4069</v>
      </c>
      <c r="M229">
        <f t="shared" si="102"/>
        <v>5570</v>
      </c>
      <c r="N229">
        <f t="shared" si="102"/>
        <v>6853</v>
      </c>
      <c r="O229">
        <f t="shared" si="102"/>
        <v>8137</v>
      </c>
      <c r="P229">
        <f t="shared" si="102"/>
        <v>9666</v>
      </c>
      <c r="Q229">
        <f t="shared" si="102"/>
        <v>10920</v>
      </c>
    </row>
    <row r="231" spans="1:34" x14ac:dyDescent="0.2">
      <c r="B231" t="s">
        <v>353</v>
      </c>
    </row>
    <row r="232" spans="1:34" x14ac:dyDescent="0.2">
      <c r="B232">
        <v>5</v>
      </c>
      <c r="C232">
        <f>C$229/$B232</f>
        <v>21.55</v>
      </c>
      <c r="D232">
        <f t="shared" ref="D232:Q237" si="103">D$229/$B232</f>
        <v>36.700000000000003</v>
      </c>
      <c r="E232">
        <f t="shared" si="103"/>
        <v>62.6</v>
      </c>
      <c r="F232">
        <f t="shared" si="103"/>
        <v>88.960000000000008</v>
      </c>
      <c r="G232">
        <f t="shared" si="103"/>
        <v>137.07999999999998</v>
      </c>
      <c r="H232">
        <f t="shared" si="103"/>
        <v>238.2</v>
      </c>
      <c r="I232">
        <f t="shared" si="103"/>
        <v>304.39999999999998</v>
      </c>
      <c r="J232">
        <f t="shared" si="103"/>
        <v>406</v>
      </c>
      <c r="K232">
        <f t="shared" si="103"/>
        <v>557.4</v>
      </c>
      <c r="L232">
        <f t="shared" si="103"/>
        <v>813.8</v>
      </c>
      <c r="M232">
        <f t="shared" si="103"/>
        <v>1114</v>
      </c>
      <c r="N232">
        <f t="shared" si="103"/>
        <v>1370.6</v>
      </c>
      <c r="O232">
        <f t="shared" si="103"/>
        <v>1627.4</v>
      </c>
      <c r="P232">
        <f t="shared" si="103"/>
        <v>1933.2</v>
      </c>
      <c r="Q232">
        <f t="shared" si="103"/>
        <v>2184</v>
      </c>
    </row>
    <row r="233" spans="1:34" x14ac:dyDescent="0.2">
      <c r="B233">
        <v>6</v>
      </c>
      <c r="C233">
        <f t="shared" ref="C233:C237" si="104">C$229/$B233</f>
        <v>17.958333333333332</v>
      </c>
      <c r="D233">
        <f t="shared" si="103"/>
        <v>30.583333333333332</v>
      </c>
      <c r="E233">
        <f t="shared" si="103"/>
        <v>52.166666666666664</v>
      </c>
      <c r="F233">
        <f t="shared" si="103"/>
        <v>74.13333333333334</v>
      </c>
      <c r="G233">
        <f t="shared" si="103"/>
        <v>114.23333333333333</v>
      </c>
      <c r="H233">
        <f t="shared" si="103"/>
        <v>198.5</v>
      </c>
      <c r="I233">
        <f t="shared" si="103"/>
        <v>253.66666666666666</v>
      </c>
      <c r="J233">
        <f t="shared" si="103"/>
        <v>338.33333333333331</v>
      </c>
      <c r="K233">
        <f t="shared" si="103"/>
        <v>464.5</v>
      </c>
      <c r="L233">
        <f t="shared" si="103"/>
        <v>678.16666666666663</v>
      </c>
      <c r="M233">
        <f t="shared" si="103"/>
        <v>928.33333333333337</v>
      </c>
      <c r="N233">
        <f t="shared" si="103"/>
        <v>1142.1666666666667</v>
      </c>
      <c r="O233">
        <f t="shared" si="103"/>
        <v>1356.1666666666667</v>
      </c>
      <c r="P233">
        <f t="shared" si="103"/>
        <v>1611</v>
      </c>
      <c r="Q233">
        <f t="shared" si="103"/>
        <v>1820</v>
      </c>
    </row>
    <row r="234" spans="1:34" x14ac:dyDescent="0.2">
      <c r="B234">
        <v>7</v>
      </c>
      <c r="C234">
        <f t="shared" si="104"/>
        <v>15.392857142857142</v>
      </c>
      <c r="D234">
        <f t="shared" si="103"/>
        <v>26.214285714285715</v>
      </c>
      <c r="E234">
        <f t="shared" si="103"/>
        <v>44.714285714285715</v>
      </c>
      <c r="F234">
        <f t="shared" si="103"/>
        <v>63.542857142857144</v>
      </c>
      <c r="G234">
        <f t="shared" si="103"/>
        <v>97.914285714285711</v>
      </c>
      <c r="H234">
        <f t="shared" si="103"/>
        <v>170.14285714285714</v>
      </c>
      <c r="I234">
        <f t="shared" si="103"/>
        <v>217.42857142857142</v>
      </c>
      <c r="J234">
        <f t="shared" si="103"/>
        <v>290</v>
      </c>
      <c r="K234">
        <f t="shared" si="103"/>
        <v>398.14285714285717</v>
      </c>
      <c r="L234">
        <f t="shared" si="103"/>
        <v>581.28571428571433</v>
      </c>
      <c r="M234">
        <f t="shared" si="103"/>
        <v>795.71428571428567</v>
      </c>
      <c r="N234">
        <f t="shared" si="103"/>
        <v>979</v>
      </c>
      <c r="O234">
        <f t="shared" si="103"/>
        <v>1162.4285714285713</v>
      </c>
      <c r="P234">
        <f t="shared" si="103"/>
        <v>1380.8571428571429</v>
      </c>
      <c r="Q234">
        <f t="shared" si="103"/>
        <v>1560</v>
      </c>
      <c r="T234">
        <v>15.392857142857142</v>
      </c>
      <c r="U234">
        <v>26.214285714285715</v>
      </c>
      <c r="V234">
        <v>44.714285714285715</v>
      </c>
      <c r="W234">
        <v>63.542857142857144</v>
      </c>
      <c r="X234">
        <v>97.914285714285711</v>
      </c>
      <c r="Y234">
        <v>170.14285714285714</v>
      </c>
      <c r="Z234">
        <v>217.42857142857142</v>
      </c>
      <c r="AA234">
        <v>290</v>
      </c>
      <c r="AB234">
        <v>398.14285714285717</v>
      </c>
      <c r="AC234">
        <v>581.28571428571433</v>
      </c>
      <c r="AD234">
        <v>795.71428571428567</v>
      </c>
      <c r="AE234">
        <v>979</v>
      </c>
      <c r="AF234">
        <v>1162.4285714285713</v>
      </c>
      <c r="AG234">
        <v>1380.8571428571429</v>
      </c>
      <c r="AH234">
        <v>1560</v>
      </c>
    </row>
    <row r="235" spans="1:34" x14ac:dyDescent="0.2">
      <c r="B235">
        <v>8</v>
      </c>
      <c r="C235">
        <f t="shared" si="104"/>
        <v>13.46875</v>
      </c>
      <c r="D235">
        <f t="shared" si="103"/>
        <v>22.9375</v>
      </c>
      <c r="E235">
        <f t="shared" si="103"/>
        <v>39.125</v>
      </c>
      <c r="F235">
        <f t="shared" si="103"/>
        <v>55.6</v>
      </c>
      <c r="G235">
        <f t="shared" si="103"/>
        <v>85.674999999999997</v>
      </c>
      <c r="H235">
        <f t="shared" si="103"/>
        <v>148.875</v>
      </c>
      <c r="I235">
        <f t="shared" si="103"/>
        <v>190.25</v>
      </c>
      <c r="J235">
        <f t="shared" si="103"/>
        <v>253.75</v>
      </c>
      <c r="K235">
        <f t="shared" si="103"/>
        <v>348.375</v>
      </c>
      <c r="L235">
        <f t="shared" si="103"/>
        <v>508.625</v>
      </c>
      <c r="M235">
        <f t="shared" si="103"/>
        <v>696.25</v>
      </c>
      <c r="N235">
        <f t="shared" si="103"/>
        <v>856.625</v>
      </c>
      <c r="O235">
        <f t="shared" si="103"/>
        <v>1017.125</v>
      </c>
      <c r="P235">
        <f t="shared" si="103"/>
        <v>1208.25</v>
      </c>
      <c r="Q235">
        <f t="shared" si="103"/>
        <v>1365</v>
      </c>
      <c r="T235">
        <v>6.3255370935898329E-3</v>
      </c>
      <c r="U235">
        <v>6.3255370935898329E-3</v>
      </c>
      <c r="V235">
        <v>6.3255370935898329E-3</v>
      </c>
      <c r="W235">
        <v>6.3255370935898329E-3</v>
      </c>
      <c r="X235">
        <v>6.3255370935898329E-3</v>
      </c>
      <c r="Y235">
        <v>6.3255370935898329E-3</v>
      </c>
      <c r="Z235">
        <v>6.3255370935898329E-3</v>
      </c>
      <c r="AA235">
        <v>6.3255370935898329E-3</v>
      </c>
      <c r="AB235">
        <v>6.3255370935898329E-3</v>
      </c>
      <c r="AC235">
        <v>6.3255370935898329E-3</v>
      </c>
      <c r="AD235">
        <v>6.3255370935898329E-3</v>
      </c>
      <c r="AE235">
        <v>6.3255370935898329E-3</v>
      </c>
      <c r="AF235">
        <v>6.3255370935898329E-3</v>
      </c>
      <c r="AG235">
        <v>6.3255370935898329E-3</v>
      </c>
      <c r="AH235">
        <v>6.3255370935898329E-3</v>
      </c>
    </row>
    <row r="236" spans="1:34" x14ac:dyDescent="0.2">
      <c r="B236">
        <v>9</v>
      </c>
      <c r="C236">
        <f t="shared" si="104"/>
        <v>11.972222222222221</v>
      </c>
      <c r="D236">
        <f t="shared" si="103"/>
        <v>20.388888888888889</v>
      </c>
      <c r="E236">
        <f t="shared" si="103"/>
        <v>34.777777777777779</v>
      </c>
      <c r="F236">
        <f t="shared" si="103"/>
        <v>49.422222222222224</v>
      </c>
      <c r="G236">
        <f t="shared" si="103"/>
        <v>76.155555555555551</v>
      </c>
      <c r="H236">
        <f t="shared" si="103"/>
        <v>132.33333333333334</v>
      </c>
      <c r="I236">
        <f t="shared" si="103"/>
        <v>169.11111111111111</v>
      </c>
      <c r="J236">
        <f t="shared" si="103"/>
        <v>225.55555555555554</v>
      </c>
      <c r="K236">
        <f t="shared" si="103"/>
        <v>309.66666666666669</v>
      </c>
      <c r="L236">
        <f t="shared" si="103"/>
        <v>452.11111111111109</v>
      </c>
      <c r="M236">
        <f t="shared" si="103"/>
        <v>618.88888888888891</v>
      </c>
      <c r="N236">
        <f t="shared" si="103"/>
        <v>761.44444444444446</v>
      </c>
      <c r="O236">
        <f t="shared" si="103"/>
        <v>904.11111111111109</v>
      </c>
      <c r="P236">
        <f t="shared" si="103"/>
        <v>1074</v>
      </c>
      <c r="Q236">
        <f t="shared" si="103"/>
        <v>1213.3333333333333</v>
      </c>
    </row>
    <row r="237" spans="1:34" x14ac:dyDescent="0.2">
      <c r="B237">
        <v>10</v>
      </c>
      <c r="C237">
        <f t="shared" si="104"/>
        <v>10.775</v>
      </c>
      <c r="D237">
        <f t="shared" si="103"/>
        <v>18.350000000000001</v>
      </c>
      <c r="E237">
        <f t="shared" si="103"/>
        <v>31.3</v>
      </c>
      <c r="F237">
        <f t="shared" si="103"/>
        <v>44.480000000000004</v>
      </c>
      <c r="G237">
        <f t="shared" si="103"/>
        <v>68.539999999999992</v>
      </c>
      <c r="H237">
        <f t="shared" si="103"/>
        <v>119.1</v>
      </c>
      <c r="I237">
        <f t="shared" si="103"/>
        <v>152.19999999999999</v>
      </c>
      <c r="J237">
        <f t="shared" si="103"/>
        <v>203</v>
      </c>
      <c r="K237">
        <f t="shared" si="103"/>
        <v>278.7</v>
      </c>
      <c r="L237">
        <f t="shared" si="103"/>
        <v>406.9</v>
      </c>
      <c r="M237">
        <f t="shared" si="103"/>
        <v>557</v>
      </c>
      <c r="N237">
        <f t="shared" si="103"/>
        <v>685.3</v>
      </c>
      <c r="O237">
        <f t="shared" si="103"/>
        <v>813.7</v>
      </c>
      <c r="P237">
        <f t="shared" si="103"/>
        <v>966.6</v>
      </c>
      <c r="Q237">
        <f t="shared" si="103"/>
        <v>1092</v>
      </c>
      <c r="T237">
        <f>T234+T235</f>
        <v>15.399182679950732</v>
      </c>
      <c r="U237">
        <f t="shared" ref="U237:AH237" si="105">U234+U235</f>
        <v>26.220611251379307</v>
      </c>
      <c r="V237">
        <f t="shared" si="105"/>
        <v>44.720611251379303</v>
      </c>
      <c r="W237">
        <f t="shared" si="105"/>
        <v>63.549182679950732</v>
      </c>
      <c r="X237">
        <f t="shared" si="105"/>
        <v>97.920611251379299</v>
      </c>
      <c r="Y237">
        <f t="shared" si="105"/>
        <v>170.14918267995074</v>
      </c>
      <c r="Z237">
        <f t="shared" si="105"/>
        <v>217.43489696566502</v>
      </c>
      <c r="AA237">
        <f t="shared" si="105"/>
        <v>290.00632553709357</v>
      </c>
      <c r="AB237">
        <f t="shared" si="105"/>
        <v>398.14918267995074</v>
      </c>
      <c r="AC237">
        <f t="shared" si="105"/>
        <v>581.29203982280796</v>
      </c>
      <c r="AD237">
        <f t="shared" si="105"/>
        <v>795.7206112513793</v>
      </c>
      <c r="AE237">
        <f t="shared" si="105"/>
        <v>979.00632553709363</v>
      </c>
      <c r="AF237">
        <f t="shared" si="105"/>
        <v>1162.4348969656648</v>
      </c>
      <c r="AG237">
        <f t="shared" si="105"/>
        <v>1380.8634683942364</v>
      </c>
      <c r="AH237">
        <f t="shared" si="105"/>
        <v>1560.0063255370935</v>
      </c>
    </row>
    <row r="238" spans="1:34" x14ac:dyDescent="0.2">
      <c r="T238">
        <v>15.399182679950732</v>
      </c>
      <c r="U238">
        <v>26.220611251379307</v>
      </c>
      <c r="V238">
        <v>44.720611251379303</v>
      </c>
      <c r="W238">
        <v>63.549182679950732</v>
      </c>
      <c r="X238">
        <v>97.920611251379299</v>
      </c>
      <c r="Y238">
        <v>170.14918267995074</v>
      </c>
      <c r="Z238">
        <v>217.43489696566502</v>
      </c>
      <c r="AA238">
        <v>290.00632553709357</v>
      </c>
      <c r="AB238">
        <v>398.14918267995074</v>
      </c>
      <c r="AC238">
        <v>581.29203982280796</v>
      </c>
      <c r="AD238">
        <v>795.7206112513793</v>
      </c>
      <c r="AE238">
        <v>979.00632553709363</v>
      </c>
      <c r="AF238">
        <v>1162.4348969656648</v>
      </c>
      <c r="AG238">
        <v>1380.8634683942364</v>
      </c>
      <c r="AH238">
        <v>1560.0063255370935</v>
      </c>
    </row>
    <row r="239" spans="1:34" x14ac:dyDescent="0.2">
      <c r="A239" t="s">
        <v>303</v>
      </c>
    </row>
    <row r="242" spans="2:50" x14ac:dyDescent="0.2">
      <c r="C242" t="s">
        <v>318</v>
      </c>
      <c r="T242" t="s">
        <v>155</v>
      </c>
      <c r="AJ242" t="s">
        <v>156</v>
      </c>
    </row>
    <row r="244" spans="2:50" x14ac:dyDescent="0.2">
      <c r="C244" t="s">
        <v>228</v>
      </c>
      <c r="D244" t="s">
        <v>229</v>
      </c>
      <c r="E244" t="s">
        <v>230</v>
      </c>
      <c r="F244" t="s">
        <v>231</v>
      </c>
      <c r="G244" t="s">
        <v>232</v>
      </c>
      <c r="H244" t="s">
        <v>233</v>
      </c>
      <c r="I244" t="s">
        <v>234</v>
      </c>
      <c r="J244" t="s">
        <v>235</v>
      </c>
      <c r="K244" t="s">
        <v>240</v>
      </c>
      <c r="L244" t="s">
        <v>241</v>
      </c>
      <c r="M244" t="s">
        <v>242</v>
      </c>
      <c r="N244" t="s">
        <v>243</v>
      </c>
      <c r="O244" t="s">
        <v>299</v>
      </c>
      <c r="P244" t="s">
        <v>300</v>
      </c>
      <c r="Q244" t="s">
        <v>301</v>
      </c>
      <c r="T244" t="s">
        <v>228</v>
      </c>
      <c r="U244" t="s">
        <v>229</v>
      </c>
      <c r="V244" t="s">
        <v>230</v>
      </c>
      <c r="W244" t="s">
        <v>231</v>
      </c>
      <c r="X244" t="s">
        <v>232</v>
      </c>
      <c r="Y244" t="s">
        <v>233</v>
      </c>
      <c r="Z244" t="s">
        <v>234</v>
      </c>
      <c r="AA244" t="s">
        <v>235</v>
      </c>
      <c r="AB244" t="s">
        <v>240</v>
      </c>
      <c r="AC244" t="s">
        <v>241</v>
      </c>
      <c r="AD244" t="s">
        <v>242</v>
      </c>
      <c r="AE244" t="s">
        <v>243</v>
      </c>
      <c r="AF244" t="s">
        <v>299</v>
      </c>
      <c r="AG244" t="s">
        <v>300</v>
      </c>
      <c r="AH244" t="s">
        <v>301</v>
      </c>
      <c r="AJ244" t="s">
        <v>228</v>
      </c>
      <c r="AK244" t="s">
        <v>229</v>
      </c>
      <c r="AL244" t="s">
        <v>230</v>
      </c>
      <c r="AM244" t="s">
        <v>231</v>
      </c>
      <c r="AN244" t="s">
        <v>232</v>
      </c>
      <c r="AO244" t="s">
        <v>233</v>
      </c>
      <c r="AP244" t="s">
        <v>234</v>
      </c>
      <c r="AQ244" t="s">
        <v>235</v>
      </c>
      <c r="AR244" t="s">
        <v>240</v>
      </c>
      <c r="AS244" t="s">
        <v>241</v>
      </c>
      <c r="AT244" t="s">
        <v>242</v>
      </c>
      <c r="AU244" t="s">
        <v>243</v>
      </c>
      <c r="AV244" t="s">
        <v>299</v>
      </c>
      <c r="AW244" t="s">
        <v>300</v>
      </c>
      <c r="AX244" t="s">
        <v>301</v>
      </c>
    </row>
    <row r="245" spans="2:50" x14ac:dyDescent="0.2">
      <c r="B245" t="s">
        <v>40</v>
      </c>
      <c r="C245">
        <f>C114</f>
        <v>8.123931590625002</v>
      </c>
      <c r="D245">
        <f t="shared" ref="D245:Q245" si="106">D114</f>
        <v>16.247863181250004</v>
      </c>
      <c r="E245">
        <f t="shared" si="106"/>
        <v>32.495726362500008</v>
      </c>
      <c r="F245">
        <f t="shared" si="106"/>
        <v>48.743589543749998</v>
      </c>
      <c r="G245">
        <f t="shared" si="106"/>
        <v>81.239315906249999</v>
      </c>
      <c r="H245">
        <f t="shared" si="106"/>
        <v>121.85897385937501</v>
      </c>
      <c r="I245">
        <f t="shared" si="106"/>
        <v>162.4786318125</v>
      </c>
      <c r="J245">
        <f t="shared" si="106"/>
        <v>243.71794771875003</v>
      </c>
      <c r="K245">
        <f t="shared" si="106"/>
        <v>324.957263625</v>
      </c>
      <c r="L245">
        <f t="shared" si="106"/>
        <v>487.43589543750005</v>
      </c>
      <c r="M245">
        <f t="shared" si="106"/>
        <v>649.91452724999999</v>
      </c>
      <c r="N245">
        <f t="shared" si="106"/>
        <v>812.39315906249999</v>
      </c>
      <c r="O245">
        <f t="shared" si="106"/>
        <v>974.8717908750001</v>
      </c>
      <c r="P245">
        <f t="shared" si="106"/>
        <v>1299.8290545</v>
      </c>
      <c r="Q245">
        <f t="shared" si="106"/>
        <v>1624.786318125</v>
      </c>
      <c r="T245">
        <f t="shared" ref="T245:AH245" si="107">C245</f>
        <v>8.123931590625002</v>
      </c>
      <c r="U245">
        <f t="shared" si="107"/>
        <v>16.247863181250004</v>
      </c>
      <c r="V245">
        <f t="shared" si="107"/>
        <v>32.495726362500008</v>
      </c>
      <c r="W245">
        <f t="shared" si="107"/>
        <v>48.743589543749998</v>
      </c>
      <c r="X245">
        <f t="shared" si="107"/>
        <v>81.239315906249999</v>
      </c>
      <c r="Y245">
        <f t="shared" si="107"/>
        <v>121.85897385937501</v>
      </c>
      <c r="Z245">
        <f t="shared" si="107"/>
        <v>162.4786318125</v>
      </c>
      <c r="AA245">
        <f t="shared" si="107"/>
        <v>243.71794771875003</v>
      </c>
      <c r="AB245">
        <f t="shared" si="107"/>
        <v>324.957263625</v>
      </c>
      <c r="AC245">
        <f t="shared" si="107"/>
        <v>487.43589543750005</v>
      </c>
      <c r="AD245">
        <f t="shared" si="107"/>
        <v>649.91452724999999</v>
      </c>
      <c r="AE245">
        <f t="shared" si="107"/>
        <v>812.39315906249999</v>
      </c>
      <c r="AF245">
        <f t="shared" si="107"/>
        <v>974.8717908750001</v>
      </c>
      <c r="AG245">
        <f t="shared" si="107"/>
        <v>1299.8290545</v>
      </c>
      <c r="AH245">
        <f t="shared" si="107"/>
        <v>1624.786318125</v>
      </c>
      <c r="AJ245">
        <f t="shared" ref="AJ245:AX245" si="108">C245</f>
        <v>8.123931590625002</v>
      </c>
      <c r="AK245">
        <f t="shared" si="108"/>
        <v>16.247863181250004</v>
      </c>
      <c r="AL245">
        <f t="shared" si="108"/>
        <v>32.495726362500008</v>
      </c>
      <c r="AM245">
        <f t="shared" si="108"/>
        <v>48.743589543749998</v>
      </c>
      <c r="AN245">
        <f t="shared" si="108"/>
        <v>81.239315906249999</v>
      </c>
      <c r="AO245">
        <f t="shared" si="108"/>
        <v>121.85897385937501</v>
      </c>
      <c r="AP245">
        <f t="shared" si="108"/>
        <v>162.4786318125</v>
      </c>
      <c r="AQ245">
        <f t="shared" si="108"/>
        <v>243.71794771875003</v>
      </c>
      <c r="AR245">
        <f t="shared" si="108"/>
        <v>324.957263625</v>
      </c>
      <c r="AS245">
        <f t="shared" si="108"/>
        <v>487.43589543750005</v>
      </c>
      <c r="AT245">
        <f t="shared" si="108"/>
        <v>649.91452724999999</v>
      </c>
      <c r="AU245">
        <f t="shared" si="108"/>
        <v>812.39315906249999</v>
      </c>
      <c r="AV245">
        <f t="shared" si="108"/>
        <v>974.8717908750001</v>
      </c>
      <c r="AW245">
        <f t="shared" si="108"/>
        <v>1299.8290545</v>
      </c>
      <c r="AX245">
        <f t="shared" si="108"/>
        <v>1624.786318125</v>
      </c>
    </row>
    <row r="246" spans="2:50" x14ac:dyDescent="0.2">
      <c r="B246" t="s">
        <v>317</v>
      </c>
      <c r="C246">
        <f t="shared" ref="C246:AX246" si="109">C190</f>
        <v>22.379374124183435</v>
      </c>
      <c r="D246">
        <f t="shared" si="109"/>
        <v>44.758748248366871</v>
      </c>
      <c r="E246">
        <f t="shared" si="109"/>
        <v>276.0122808649291</v>
      </c>
      <c r="F246">
        <f t="shared" si="109"/>
        <v>276.0122808649291</v>
      </c>
      <c r="G246">
        <f t="shared" si="109"/>
        <v>276.0122808649291</v>
      </c>
      <c r="H246">
        <f t="shared" si="109"/>
        <v>276.0122808649291</v>
      </c>
      <c r="I246">
        <f t="shared" si="109"/>
        <v>276.0122808649291</v>
      </c>
      <c r="J246">
        <f t="shared" si="109"/>
        <v>298.39165498911251</v>
      </c>
      <c r="K246">
        <f t="shared" si="109"/>
        <v>298.39165498911251</v>
      </c>
      <c r="L246">
        <f t="shared" si="109"/>
        <v>447.58748248366879</v>
      </c>
      <c r="M246">
        <f t="shared" si="109"/>
        <v>447.58748248366879</v>
      </c>
      <c r="N246">
        <f t="shared" si="109"/>
        <v>447.58748248366879</v>
      </c>
      <c r="O246">
        <f t="shared" si="109"/>
        <v>820.57705122005939</v>
      </c>
      <c r="P246">
        <f t="shared" si="109"/>
        <v>1641.1541024401188</v>
      </c>
      <c r="Q246">
        <f t="shared" si="109"/>
        <v>1641.1541024401188</v>
      </c>
      <c r="T246">
        <f t="shared" si="109"/>
        <v>19.36513464266951</v>
      </c>
      <c r="U246">
        <f t="shared" si="109"/>
        <v>38.73026928533902</v>
      </c>
      <c r="V246">
        <f t="shared" si="109"/>
        <v>238.83666059292386</v>
      </c>
      <c r="W246">
        <f t="shared" si="109"/>
        <v>238.83666059292386</v>
      </c>
      <c r="X246">
        <f t="shared" si="109"/>
        <v>238.83666059292386</v>
      </c>
      <c r="Y246">
        <f t="shared" si="109"/>
        <v>238.83666059292386</v>
      </c>
      <c r="Z246">
        <f t="shared" si="109"/>
        <v>238.83666059292386</v>
      </c>
      <c r="AA246">
        <f t="shared" si="109"/>
        <v>258.20179523559347</v>
      </c>
      <c r="AB246">
        <f t="shared" si="109"/>
        <v>258.20179523559347</v>
      </c>
      <c r="AC246">
        <f t="shared" si="109"/>
        <v>387.30269285339006</v>
      </c>
      <c r="AD246">
        <f t="shared" si="109"/>
        <v>387.30269285339006</v>
      </c>
      <c r="AE246">
        <f t="shared" si="109"/>
        <v>387.30269285339006</v>
      </c>
      <c r="AF246">
        <f t="shared" si="109"/>
        <v>710.05493689788193</v>
      </c>
      <c r="AG246">
        <f t="shared" si="109"/>
        <v>1420.1098737957639</v>
      </c>
      <c r="AH246">
        <f t="shared" si="109"/>
        <v>1420.1098737957639</v>
      </c>
      <c r="AJ246">
        <f t="shared" si="109"/>
        <v>25.808453521808975</v>
      </c>
      <c r="AK246">
        <f t="shared" si="109"/>
        <v>51.61690704361795</v>
      </c>
      <c r="AL246">
        <f t="shared" si="109"/>
        <v>318.30426010231082</v>
      </c>
      <c r="AM246">
        <f t="shared" si="109"/>
        <v>318.30426010231082</v>
      </c>
      <c r="AN246">
        <f t="shared" si="109"/>
        <v>318.30426010231082</v>
      </c>
      <c r="AO246">
        <f t="shared" si="109"/>
        <v>318.30426010231082</v>
      </c>
      <c r="AP246">
        <f t="shared" si="109"/>
        <v>318.30426010231082</v>
      </c>
      <c r="AQ246">
        <f t="shared" si="109"/>
        <v>344.11271362411969</v>
      </c>
      <c r="AR246">
        <f t="shared" si="109"/>
        <v>344.11271362411969</v>
      </c>
      <c r="AS246">
        <f t="shared" si="109"/>
        <v>516.16907043617971</v>
      </c>
      <c r="AT246">
        <f t="shared" si="109"/>
        <v>516.16907043617971</v>
      </c>
      <c r="AU246">
        <f t="shared" si="109"/>
        <v>516.16907043617971</v>
      </c>
      <c r="AV246">
        <f t="shared" si="109"/>
        <v>946.3099624663289</v>
      </c>
      <c r="AW246">
        <f t="shared" si="109"/>
        <v>1892.6199249326578</v>
      </c>
      <c r="AX246">
        <f t="shared" si="109"/>
        <v>1892.6199249326578</v>
      </c>
    </row>
    <row r="247" spans="2:50" x14ac:dyDescent="0.2">
      <c r="B247" t="s">
        <v>321</v>
      </c>
      <c r="C247">
        <f>C220+C218</f>
        <v>359.90500000000003</v>
      </c>
      <c r="D247">
        <f t="shared" ref="D247:Q247" si="110">D220+D218</f>
        <v>361.21750000000003</v>
      </c>
      <c r="E247">
        <f t="shared" si="110"/>
        <v>384.08000000000004</v>
      </c>
      <c r="F247">
        <f t="shared" si="110"/>
        <v>384.08000000000004</v>
      </c>
      <c r="G247">
        <f t="shared" si="110"/>
        <v>384.08000000000004</v>
      </c>
      <c r="H247">
        <f t="shared" si="110"/>
        <v>384.08000000000004</v>
      </c>
      <c r="I247">
        <f>I220+I218</f>
        <v>384.08000000000004</v>
      </c>
      <c r="J247">
        <f t="shared" si="110"/>
        <v>401.93</v>
      </c>
      <c r="K247">
        <f t="shared" si="110"/>
        <v>401.93</v>
      </c>
      <c r="L247">
        <f t="shared" si="110"/>
        <v>401.93</v>
      </c>
      <c r="M247">
        <f t="shared" si="110"/>
        <v>401.93</v>
      </c>
      <c r="N247">
        <f t="shared" si="110"/>
        <v>401.93</v>
      </c>
      <c r="O247">
        <f t="shared" si="110"/>
        <v>372.90500000000003</v>
      </c>
      <c r="P247">
        <f t="shared" si="110"/>
        <v>377.03000000000003</v>
      </c>
      <c r="Q247">
        <f t="shared" si="110"/>
        <v>377.03000000000003</v>
      </c>
      <c r="T247">
        <f>T220+T218</f>
        <v>353.185</v>
      </c>
      <c r="U247">
        <f t="shared" ref="U247:AH247" si="111">U220+U218</f>
        <v>354.4975</v>
      </c>
      <c r="V247">
        <f t="shared" si="111"/>
        <v>377.36</v>
      </c>
      <c r="W247">
        <f t="shared" si="111"/>
        <v>377.36</v>
      </c>
      <c r="X247">
        <f t="shared" si="111"/>
        <v>377.36</v>
      </c>
      <c r="Y247">
        <f t="shared" si="111"/>
        <v>377.36</v>
      </c>
      <c r="Z247">
        <f t="shared" si="111"/>
        <v>377.36</v>
      </c>
      <c r="AA247">
        <f t="shared" si="111"/>
        <v>395.21</v>
      </c>
      <c r="AB247">
        <f t="shared" si="111"/>
        <v>395.21</v>
      </c>
      <c r="AC247">
        <f t="shared" si="111"/>
        <v>395.21</v>
      </c>
      <c r="AD247">
        <f t="shared" si="111"/>
        <v>395.21</v>
      </c>
      <c r="AE247">
        <f t="shared" si="111"/>
        <v>395.21</v>
      </c>
      <c r="AF247">
        <f t="shared" si="111"/>
        <v>366.185</v>
      </c>
      <c r="AG247">
        <f t="shared" si="111"/>
        <v>370.31</v>
      </c>
      <c r="AH247">
        <f t="shared" si="111"/>
        <v>370.31</v>
      </c>
      <c r="AJ247">
        <f>AJ220+AJ218</f>
        <v>376.14500000000004</v>
      </c>
      <c r="AK247">
        <f t="shared" ref="AK247:AX247" si="112">AK220+AK218</f>
        <v>377.45750000000004</v>
      </c>
      <c r="AL247">
        <f t="shared" si="112"/>
        <v>400.32000000000005</v>
      </c>
      <c r="AM247">
        <f t="shared" si="112"/>
        <v>400.32000000000005</v>
      </c>
      <c r="AN247">
        <f t="shared" si="112"/>
        <v>400.32000000000005</v>
      </c>
      <c r="AO247">
        <f t="shared" si="112"/>
        <v>400.32000000000005</v>
      </c>
      <c r="AP247">
        <f t="shared" si="112"/>
        <v>400.32000000000005</v>
      </c>
      <c r="AQ247">
        <f t="shared" si="112"/>
        <v>418.17</v>
      </c>
      <c r="AR247">
        <f t="shared" si="112"/>
        <v>418.17</v>
      </c>
      <c r="AS247">
        <f t="shared" si="112"/>
        <v>418.17</v>
      </c>
      <c r="AT247">
        <f t="shared" si="112"/>
        <v>418.17</v>
      </c>
      <c r="AU247">
        <f t="shared" si="112"/>
        <v>418.17</v>
      </c>
      <c r="AV247">
        <f t="shared" si="112"/>
        <v>389.14500000000004</v>
      </c>
      <c r="AW247">
        <f t="shared" si="112"/>
        <v>393.27000000000004</v>
      </c>
      <c r="AX247">
        <f t="shared" si="112"/>
        <v>393.27000000000004</v>
      </c>
    </row>
    <row r="248" spans="2:50" x14ac:dyDescent="0.2">
      <c r="B248" t="s">
        <v>352</v>
      </c>
      <c r="C248">
        <f>C234</f>
        <v>15.392857142857142</v>
      </c>
      <c r="D248">
        <f t="shared" ref="D248:Q248" si="113">D234</f>
        <v>26.214285714285715</v>
      </c>
      <c r="E248">
        <f t="shared" si="113"/>
        <v>44.714285714285715</v>
      </c>
      <c r="F248">
        <f t="shared" si="113"/>
        <v>63.542857142857144</v>
      </c>
      <c r="G248">
        <f t="shared" si="113"/>
        <v>97.914285714285711</v>
      </c>
      <c r="H248">
        <f t="shared" si="113"/>
        <v>170.14285714285714</v>
      </c>
      <c r="I248">
        <f t="shared" si="113"/>
        <v>217.42857142857142</v>
      </c>
      <c r="J248">
        <f t="shared" si="113"/>
        <v>290</v>
      </c>
      <c r="K248">
        <f t="shared" si="113"/>
        <v>398.14285714285717</v>
      </c>
      <c r="L248">
        <f t="shared" si="113"/>
        <v>581.28571428571433</v>
      </c>
      <c r="M248">
        <f t="shared" si="113"/>
        <v>795.71428571428567</v>
      </c>
      <c r="N248">
        <f t="shared" si="113"/>
        <v>979</v>
      </c>
      <c r="O248">
        <f t="shared" si="113"/>
        <v>1162.4285714285713</v>
      </c>
      <c r="P248">
        <f t="shared" si="113"/>
        <v>1380.8571428571429</v>
      </c>
      <c r="Q248">
        <f t="shared" si="113"/>
        <v>1560</v>
      </c>
      <c r="T248">
        <f t="shared" ref="T248:AH248" si="114">C248</f>
        <v>15.392857142857142</v>
      </c>
      <c r="U248">
        <f t="shared" si="114"/>
        <v>26.214285714285715</v>
      </c>
      <c r="V248">
        <f t="shared" si="114"/>
        <v>44.714285714285715</v>
      </c>
      <c r="W248">
        <f t="shared" si="114"/>
        <v>63.542857142857144</v>
      </c>
      <c r="X248">
        <f t="shared" si="114"/>
        <v>97.914285714285711</v>
      </c>
      <c r="Y248">
        <f t="shared" si="114"/>
        <v>170.14285714285714</v>
      </c>
      <c r="Z248">
        <f t="shared" si="114"/>
        <v>217.42857142857142</v>
      </c>
      <c r="AA248">
        <f t="shared" si="114"/>
        <v>290</v>
      </c>
      <c r="AB248">
        <f t="shared" si="114"/>
        <v>398.14285714285717</v>
      </c>
      <c r="AC248">
        <f t="shared" si="114"/>
        <v>581.28571428571433</v>
      </c>
      <c r="AD248">
        <f t="shared" si="114"/>
        <v>795.71428571428567</v>
      </c>
      <c r="AE248">
        <f t="shared" si="114"/>
        <v>979</v>
      </c>
      <c r="AF248">
        <f t="shared" si="114"/>
        <v>1162.4285714285713</v>
      </c>
      <c r="AG248">
        <f t="shared" si="114"/>
        <v>1380.8571428571429</v>
      </c>
      <c r="AH248">
        <f t="shared" si="114"/>
        <v>1560</v>
      </c>
      <c r="AJ248">
        <f t="shared" ref="AJ248:AX248" si="115">C248</f>
        <v>15.392857142857142</v>
      </c>
      <c r="AK248">
        <f t="shared" si="115"/>
        <v>26.214285714285715</v>
      </c>
      <c r="AL248">
        <f t="shared" si="115"/>
        <v>44.714285714285715</v>
      </c>
      <c r="AM248">
        <f t="shared" si="115"/>
        <v>63.542857142857144</v>
      </c>
      <c r="AN248">
        <f t="shared" si="115"/>
        <v>97.914285714285711</v>
      </c>
      <c r="AO248">
        <f t="shared" si="115"/>
        <v>170.14285714285714</v>
      </c>
      <c r="AP248">
        <f t="shared" si="115"/>
        <v>217.42857142857142</v>
      </c>
      <c r="AQ248">
        <f t="shared" si="115"/>
        <v>290</v>
      </c>
      <c r="AR248">
        <f t="shared" si="115"/>
        <v>398.14285714285717</v>
      </c>
      <c r="AS248">
        <f t="shared" si="115"/>
        <v>581.28571428571433</v>
      </c>
      <c r="AT248">
        <f t="shared" si="115"/>
        <v>795.71428571428567</v>
      </c>
      <c r="AU248">
        <f t="shared" si="115"/>
        <v>979</v>
      </c>
      <c r="AV248">
        <f t="shared" si="115"/>
        <v>1162.4285714285713</v>
      </c>
      <c r="AW248">
        <f t="shared" si="115"/>
        <v>1380.8571428571429</v>
      </c>
      <c r="AX248">
        <f t="shared" si="115"/>
        <v>1560</v>
      </c>
    </row>
    <row r="250" spans="2:50" x14ac:dyDescent="0.2">
      <c r="C250">
        <f t="shared" ref="C250:H250" si="116">SUM(C245:C248)</f>
        <v>405.80116285766564</v>
      </c>
      <c r="D250">
        <f t="shared" si="116"/>
        <v>448.43839714390265</v>
      </c>
      <c r="E250">
        <f t="shared" si="116"/>
        <v>737.30229294171488</v>
      </c>
      <c r="F250">
        <f t="shared" si="116"/>
        <v>772.37872755153626</v>
      </c>
      <c r="G250">
        <f t="shared" si="116"/>
        <v>839.2458824854649</v>
      </c>
      <c r="H250">
        <f t="shared" si="116"/>
        <v>952.09411186716125</v>
      </c>
      <c r="I250">
        <f>SUM(I245:I248)</f>
        <v>1039.9994841060004</v>
      </c>
      <c r="J250">
        <f t="shared" ref="J250:Q250" si="117">SUM(J245:J248)</f>
        <v>1234.0396027078625</v>
      </c>
      <c r="K250">
        <f t="shared" si="117"/>
        <v>1423.4217757569697</v>
      </c>
      <c r="L250">
        <f t="shared" si="117"/>
        <v>1918.239092206883</v>
      </c>
      <c r="M250">
        <f t="shared" si="117"/>
        <v>2295.1462954479543</v>
      </c>
      <c r="N250">
        <f t="shared" si="117"/>
        <v>2640.9106415461688</v>
      </c>
      <c r="O250">
        <f t="shared" si="117"/>
        <v>3330.7824135236306</v>
      </c>
      <c r="P250">
        <f t="shared" si="117"/>
        <v>4698.8702997972614</v>
      </c>
      <c r="Q250">
        <f t="shared" si="117"/>
        <v>5202.9704205651196</v>
      </c>
      <c r="T250">
        <f>SUM(T245:T247)</f>
        <v>380.67406623329452</v>
      </c>
      <c r="U250">
        <f t="shared" ref="U250:AH250" si="118">SUM(U245:U247)</f>
        <v>409.47563246658905</v>
      </c>
      <c r="V250">
        <f t="shared" si="118"/>
        <v>648.6923869554239</v>
      </c>
      <c r="W250">
        <f t="shared" si="118"/>
        <v>664.94025013667385</v>
      </c>
      <c r="X250">
        <f t="shared" si="118"/>
        <v>697.43597649917388</v>
      </c>
      <c r="Y250">
        <f t="shared" si="118"/>
        <v>738.05563445229882</v>
      </c>
      <c r="Z250">
        <f t="shared" si="118"/>
        <v>778.67529240542387</v>
      </c>
      <c r="AA250">
        <f t="shared" si="118"/>
        <v>897.12974295434356</v>
      </c>
      <c r="AB250">
        <f t="shared" si="118"/>
        <v>978.36905886059344</v>
      </c>
      <c r="AC250">
        <f t="shared" si="118"/>
        <v>1269.94858829089</v>
      </c>
      <c r="AD250">
        <f t="shared" si="118"/>
        <v>1432.42722010339</v>
      </c>
      <c r="AE250">
        <f t="shared" si="118"/>
        <v>1594.90585191589</v>
      </c>
      <c r="AF250">
        <f t="shared" si="118"/>
        <v>2051.1117277728822</v>
      </c>
      <c r="AG250">
        <f t="shared" si="118"/>
        <v>3090.2489282957636</v>
      </c>
      <c r="AH250">
        <f t="shared" si="118"/>
        <v>3415.206191920764</v>
      </c>
      <c r="AJ250">
        <f>SUM(AJ245:AJ247)</f>
        <v>410.077385112434</v>
      </c>
      <c r="AK250">
        <f t="shared" ref="AK250:AX250" si="119">SUM(AK245:AK247)</f>
        <v>445.32227022486802</v>
      </c>
      <c r="AL250">
        <f t="shared" si="119"/>
        <v>751.11998646481084</v>
      </c>
      <c r="AM250">
        <f t="shared" si="119"/>
        <v>767.3678496460609</v>
      </c>
      <c r="AN250">
        <f t="shared" si="119"/>
        <v>799.86357600856081</v>
      </c>
      <c r="AO250">
        <f t="shared" si="119"/>
        <v>840.48323396168587</v>
      </c>
      <c r="AP250">
        <f t="shared" si="119"/>
        <v>881.10289191481093</v>
      </c>
      <c r="AQ250">
        <f t="shared" si="119"/>
        <v>1006.0006613428698</v>
      </c>
      <c r="AR250">
        <f t="shared" si="119"/>
        <v>1087.2399772491196</v>
      </c>
      <c r="AS250">
        <f t="shared" si="119"/>
        <v>1421.7749658736798</v>
      </c>
      <c r="AT250">
        <f t="shared" si="119"/>
        <v>1584.2535976861798</v>
      </c>
      <c r="AU250">
        <f t="shared" si="119"/>
        <v>1746.7322294986798</v>
      </c>
      <c r="AV250">
        <f t="shared" si="119"/>
        <v>2310.3267533413291</v>
      </c>
      <c r="AW250">
        <f t="shared" si="119"/>
        <v>3585.7189794326578</v>
      </c>
      <c r="AX250">
        <f t="shared" si="119"/>
        <v>3910.6762430576578</v>
      </c>
    </row>
    <row r="252" spans="2:50" x14ac:dyDescent="0.2">
      <c r="C252">
        <f>C245/5</f>
        <v>1.6247863181250004</v>
      </c>
    </row>
    <row r="254" spans="2:50" x14ac:dyDescent="0.2">
      <c r="B254" t="s">
        <v>342</v>
      </c>
    </row>
    <row r="256" spans="2:50" x14ac:dyDescent="0.2">
      <c r="B256" t="s">
        <v>343</v>
      </c>
      <c r="C256">
        <f t="shared" ref="C256:Q256" si="120">C66</f>
        <v>810.61</v>
      </c>
      <c r="D256">
        <f t="shared" si="120"/>
        <v>1113.2</v>
      </c>
      <c r="E256">
        <f t="shared" si="120"/>
        <v>1685.4</v>
      </c>
      <c r="F256">
        <f t="shared" si="120"/>
        <v>2163.6999999999998</v>
      </c>
      <c r="G256">
        <f t="shared" si="120"/>
        <v>3013.6</v>
      </c>
      <c r="H256">
        <f t="shared" si="120"/>
        <v>5419.2</v>
      </c>
      <c r="I256">
        <f t="shared" si="120"/>
        <v>6560.6</v>
      </c>
      <c r="J256">
        <f t="shared" si="120"/>
        <v>7825.4</v>
      </c>
      <c r="K256">
        <f t="shared" si="120"/>
        <v>10694.3</v>
      </c>
      <c r="L256">
        <f t="shared" si="120"/>
        <v>14782.3</v>
      </c>
      <c r="M256">
        <f t="shared" si="120"/>
        <v>20958.3</v>
      </c>
      <c r="N256">
        <f t="shared" si="120"/>
        <v>25032.3</v>
      </c>
      <c r="O256">
        <f t="shared" si="120"/>
        <v>29540</v>
      </c>
      <c r="P256">
        <f t="shared" si="120"/>
        <v>35317</v>
      </c>
      <c r="Q256">
        <f t="shared" si="120"/>
        <v>39429</v>
      </c>
    </row>
    <row r="257" spans="2:50" x14ac:dyDescent="0.2">
      <c r="B257" t="s">
        <v>103</v>
      </c>
      <c r="C257">
        <f>C250*25</f>
        <v>10145.029071441641</v>
      </c>
      <c r="D257">
        <f t="shared" ref="D257:Q257" si="121">D250*25</f>
        <v>11210.959928597566</v>
      </c>
      <c r="E257">
        <f t="shared" si="121"/>
        <v>18432.557323542871</v>
      </c>
      <c r="F257">
        <f t="shared" si="121"/>
        <v>19309.468188788407</v>
      </c>
      <c r="G257">
        <f t="shared" si="121"/>
        <v>20981.147062136624</v>
      </c>
      <c r="H257">
        <f t="shared" si="121"/>
        <v>23802.352796679032</v>
      </c>
      <c r="I257">
        <f t="shared" si="121"/>
        <v>25999.987102650011</v>
      </c>
      <c r="J257">
        <f t="shared" si="121"/>
        <v>30850.990067696563</v>
      </c>
      <c r="K257">
        <f t="shared" si="121"/>
        <v>35585.544393924247</v>
      </c>
      <c r="L257">
        <f t="shared" si="121"/>
        <v>47955.977305172077</v>
      </c>
      <c r="M257">
        <f t="shared" si="121"/>
        <v>57378.657386198858</v>
      </c>
      <c r="N257">
        <f t="shared" si="121"/>
        <v>66022.766038654227</v>
      </c>
      <c r="O257">
        <f t="shared" si="121"/>
        <v>83269.560338090771</v>
      </c>
      <c r="P257">
        <f t="shared" si="121"/>
        <v>117471.75749493153</v>
      </c>
      <c r="Q257">
        <f t="shared" si="121"/>
        <v>130074.26051412799</v>
      </c>
      <c r="T257">
        <f>T250*25</f>
        <v>9516.8516558323627</v>
      </c>
      <c r="U257">
        <f t="shared" ref="U257:AH257" si="122">U250*25</f>
        <v>10236.890811664725</v>
      </c>
      <c r="V257">
        <f t="shared" si="122"/>
        <v>16217.309673885597</v>
      </c>
      <c r="W257">
        <f t="shared" si="122"/>
        <v>16623.506253416846</v>
      </c>
      <c r="X257">
        <f t="shared" si="122"/>
        <v>17435.899412479346</v>
      </c>
      <c r="Y257">
        <f t="shared" si="122"/>
        <v>18451.390861307471</v>
      </c>
      <c r="Z257">
        <f t="shared" si="122"/>
        <v>19466.882310135596</v>
      </c>
      <c r="AA257">
        <f t="shared" si="122"/>
        <v>22428.243573858588</v>
      </c>
      <c r="AB257">
        <f t="shared" si="122"/>
        <v>24459.226471514838</v>
      </c>
      <c r="AC257">
        <f t="shared" si="122"/>
        <v>31748.714707272251</v>
      </c>
      <c r="AD257">
        <f t="shared" si="122"/>
        <v>35810.68050258475</v>
      </c>
      <c r="AE257">
        <f t="shared" si="122"/>
        <v>39872.646297897249</v>
      </c>
      <c r="AF257">
        <f t="shared" si="122"/>
        <v>51277.793194322054</v>
      </c>
      <c r="AG257">
        <f t="shared" si="122"/>
        <v>77256.223207394083</v>
      </c>
      <c r="AH257">
        <f t="shared" si="122"/>
        <v>85380.154798019095</v>
      </c>
      <c r="AJ257">
        <f>AJ250*25</f>
        <v>10251.93462781085</v>
      </c>
      <c r="AK257">
        <f t="shared" ref="AK257:AX257" si="123">AK250*25</f>
        <v>11133.056755621701</v>
      </c>
      <c r="AL257">
        <f t="shared" si="123"/>
        <v>18777.99966162027</v>
      </c>
      <c r="AM257">
        <f t="shared" si="123"/>
        <v>19184.196241151523</v>
      </c>
      <c r="AN257">
        <f t="shared" si="123"/>
        <v>19996.589400214019</v>
      </c>
      <c r="AO257">
        <f t="shared" si="123"/>
        <v>21012.080849042148</v>
      </c>
      <c r="AP257">
        <f t="shared" si="123"/>
        <v>22027.572297870272</v>
      </c>
      <c r="AQ257">
        <f t="shared" si="123"/>
        <v>25150.016533571743</v>
      </c>
      <c r="AR257">
        <f t="shared" si="123"/>
        <v>27180.999431227992</v>
      </c>
      <c r="AS257">
        <f t="shared" si="123"/>
        <v>35544.374146841998</v>
      </c>
      <c r="AT257">
        <f t="shared" si="123"/>
        <v>39606.339942154496</v>
      </c>
      <c r="AU257">
        <f t="shared" si="123"/>
        <v>43668.305737466995</v>
      </c>
      <c r="AV257">
        <f t="shared" si="123"/>
        <v>57758.168833533229</v>
      </c>
      <c r="AW257">
        <f t="shared" si="123"/>
        <v>89642.974485816449</v>
      </c>
      <c r="AX257">
        <f t="shared" si="123"/>
        <v>97766.906076441446</v>
      </c>
    </row>
    <row r="260" spans="2:50" x14ac:dyDescent="0.2">
      <c r="C260">
        <f>C256+C257</f>
        <v>10955.639071441641</v>
      </c>
      <c r="D260">
        <f t="shared" ref="D260:Q260" si="124">D256+D257</f>
        <v>12324.159928597566</v>
      </c>
      <c r="E260">
        <f t="shared" si="124"/>
        <v>20117.957323542872</v>
      </c>
      <c r="F260">
        <f t="shared" si="124"/>
        <v>21473.168188788408</v>
      </c>
      <c r="G260">
        <f t="shared" si="124"/>
        <v>23994.747062136623</v>
      </c>
      <c r="H260">
        <f t="shared" si="124"/>
        <v>29221.552796679032</v>
      </c>
      <c r="I260">
        <f t="shared" si="124"/>
        <v>32560.58710265001</v>
      </c>
      <c r="J260">
        <f t="shared" si="124"/>
        <v>38676.390067696564</v>
      </c>
      <c r="K260">
        <f t="shared" si="124"/>
        <v>46279.844393924242</v>
      </c>
      <c r="L260">
        <f t="shared" si="124"/>
        <v>62738.277305172072</v>
      </c>
      <c r="M260">
        <f t="shared" si="124"/>
        <v>78336.957386198861</v>
      </c>
      <c r="N260">
        <f t="shared" si="124"/>
        <v>91055.066038654229</v>
      </c>
      <c r="O260">
        <f t="shared" si="124"/>
        <v>112809.56033809077</v>
      </c>
      <c r="P260">
        <f t="shared" si="124"/>
        <v>152788.75749493152</v>
      </c>
      <c r="Q260">
        <f t="shared" si="124"/>
        <v>169503.26051412799</v>
      </c>
      <c r="T260">
        <f>C256+T257</f>
        <v>10327.461655832363</v>
      </c>
      <c r="U260">
        <f t="shared" ref="U260:AH260" si="125">D256+U257</f>
        <v>11350.090811664726</v>
      </c>
      <c r="V260">
        <f t="shared" si="125"/>
        <v>17902.709673885598</v>
      </c>
      <c r="W260">
        <f t="shared" si="125"/>
        <v>18787.206253416847</v>
      </c>
      <c r="X260">
        <f t="shared" si="125"/>
        <v>20449.499412479345</v>
      </c>
      <c r="Y260">
        <f t="shared" si="125"/>
        <v>23870.590861307472</v>
      </c>
      <c r="Z260">
        <f t="shared" si="125"/>
        <v>26027.482310135594</v>
      </c>
      <c r="AA260">
        <f t="shared" si="125"/>
        <v>30253.643573858586</v>
      </c>
      <c r="AB260">
        <f t="shared" si="125"/>
        <v>35153.526471514837</v>
      </c>
      <c r="AC260">
        <f t="shared" si="125"/>
        <v>46531.014707272247</v>
      </c>
      <c r="AD260">
        <f t="shared" si="125"/>
        <v>56768.980502584745</v>
      </c>
      <c r="AE260">
        <f t="shared" si="125"/>
        <v>64904.946297897244</v>
      </c>
      <c r="AF260">
        <f t="shared" si="125"/>
        <v>80817.793194322061</v>
      </c>
      <c r="AG260">
        <f t="shared" si="125"/>
        <v>112573.22320739408</v>
      </c>
      <c r="AH260">
        <f t="shared" si="125"/>
        <v>124809.1547980191</v>
      </c>
      <c r="AJ260">
        <f>C256+AJ257</f>
        <v>11062.54462781085</v>
      </c>
      <c r="AK260">
        <f t="shared" ref="AK260:AX260" si="126">D256+AK257</f>
        <v>12246.256755621702</v>
      </c>
      <c r="AL260">
        <f t="shared" si="126"/>
        <v>20463.399661620271</v>
      </c>
      <c r="AM260">
        <f t="shared" si="126"/>
        <v>21347.896241151524</v>
      </c>
      <c r="AN260">
        <f t="shared" si="126"/>
        <v>23010.189400214018</v>
      </c>
      <c r="AO260">
        <f t="shared" si="126"/>
        <v>26431.280849042148</v>
      </c>
      <c r="AP260">
        <f t="shared" si="126"/>
        <v>28588.172297870275</v>
      </c>
      <c r="AQ260">
        <f t="shared" si="126"/>
        <v>32975.416533571741</v>
      </c>
      <c r="AR260">
        <f t="shared" si="126"/>
        <v>37875.299431227992</v>
      </c>
      <c r="AS260">
        <f t="shared" si="126"/>
        <v>50326.674146841993</v>
      </c>
      <c r="AT260">
        <f t="shared" si="126"/>
        <v>60564.639942154492</v>
      </c>
      <c r="AU260">
        <f t="shared" si="126"/>
        <v>68700.605737466991</v>
      </c>
      <c r="AV260">
        <f t="shared" si="126"/>
        <v>87298.168833533229</v>
      </c>
      <c r="AW260">
        <f t="shared" si="126"/>
        <v>124959.97448581645</v>
      </c>
      <c r="AX260">
        <f t="shared" si="126"/>
        <v>137195.90607644146</v>
      </c>
    </row>
    <row r="266" spans="2:50" x14ac:dyDescent="0.2">
      <c r="C266">
        <v>5</v>
      </c>
      <c r="D266">
        <v>10</v>
      </c>
      <c r="E266">
        <v>20</v>
      </c>
      <c r="F266">
        <v>30</v>
      </c>
      <c r="G266">
        <v>50</v>
      </c>
      <c r="H266">
        <v>75</v>
      </c>
      <c r="I266">
        <v>100</v>
      </c>
      <c r="J266">
        <v>150</v>
      </c>
      <c r="K266">
        <v>200</v>
      </c>
      <c r="L266">
        <v>300</v>
      </c>
      <c r="M266">
        <v>400</v>
      </c>
      <c r="N266">
        <v>500</v>
      </c>
      <c r="O266">
        <v>600</v>
      </c>
      <c r="P266">
        <v>800</v>
      </c>
      <c r="Q266">
        <v>1000</v>
      </c>
    </row>
    <row r="268" spans="2:50" x14ac:dyDescent="0.2">
      <c r="B268" t="s">
        <v>344</v>
      </c>
      <c r="C268">
        <v>10570.817642870212</v>
      </c>
      <c r="D268">
        <v>11668.802785740423</v>
      </c>
      <c r="E268">
        <v>19000.100180685731</v>
      </c>
      <c r="F268">
        <v>19884.596760216977</v>
      </c>
      <c r="G268">
        <v>21546.889919279478</v>
      </c>
      <c r="H268">
        <v>24967.981368107605</v>
      </c>
      <c r="I268">
        <v>27124.872816935727</v>
      </c>
      <c r="J268">
        <v>31426.390067696564</v>
      </c>
      <c r="K268">
        <v>36326.272965352815</v>
      </c>
      <c r="L268">
        <v>48206.134448029217</v>
      </c>
      <c r="M268">
        <v>58444.100243341716</v>
      </c>
      <c r="N268">
        <v>66580.066038654215</v>
      </c>
      <c r="O268">
        <v>83748.846052376495</v>
      </c>
      <c r="P268">
        <v>118267.32892350297</v>
      </c>
      <c r="Q268">
        <v>130503.26051412798</v>
      </c>
    </row>
    <row r="270" spans="2:50" x14ac:dyDescent="0.2">
      <c r="B270" t="s">
        <v>155</v>
      </c>
      <c r="C270">
        <v>10327.461655832363</v>
      </c>
      <c r="D270">
        <v>11350.090811664726</v>
      </c>
      <c r="E270">
        <v>17902.709673885598</v>
      </c>
      <c r="F270">
        <v>18787.206253416847</v>
      </c>
      <c r="G270">
        <v>20449.499412479345</v>
      </c>
      <c r="H270">
        <v>23870.590861307472</v>
      </c>
      <c r="I270">
        <v>26027.482310135594</v>
      </c>
      <c r="J270">
        <v>30253.643573858586</v>
      </c>
      <c r="K270">
        <v>35153.526471514837</v>
      </c>
      <c r="L270">
        <v>46531.014707272247</v>
      </c>
      <c r="M270">
        <v>56768.980502584745</v>
      </c>
      <c r="N270">
        <v>64904.946297897244</v>
      </c>
      <c r="O270">
        <v>80817.793194322061</v>
      </c>
      <c r="P270">
        <v>112573.22320739408</v>
      </c>
      <c r="Q270">
        <v>124809.1547980191</v>
      </c>
    </row>
    <row r="271" spans="2:50" x14ac:dyDescent="0.2">
      <c r="B271" t="s">
        <v>156</v>
      </c>
      <c r="C271">
        <v>11062.54462781085</v>
      </c>
      <c r="D271">
        <v>12246.256755621702</v>
      </c>
      <c r="E271">
        <v>20463.399661620271</v>
      </c>
      <c r="F271">
        <v>21347.896241151524</v>
      </c>
      <c r="G271">
        <v>23010.189400214018</v>
      </c>
      <c r="H271">
        <v>26431.280849042148</v>
      </c>
      <c r="I271">
        <v>28588.172297870275</v>
      </c>
      <c r="J271">
        <v>32975.416533571741</v>
      </c>
      <c r="K271">
        <v>37875.299431227992</v>
      </c>
      <c r="L271">
        <v>50326.674146841993</v>
      </c>
      <c r="M271">
        <v>60564.639942154492</v>
      </c>
      <c r="N271">
        <v>68700.605737466991</v>
      </c>
      <c r="O271">
        <v>87298.168833533229</v>
      </c>
      <c r="P271">
        <v>124959.97448581645</v>
      </c>
      <c r="Q271">
        <v>137195.90607644146</v>
      </c>
    </row>
    <row r="273" spans="2:33" x14ac:dyDescent="0.2">
      <c r="B273" t="s">
        <v>345</v>
      </c>
    </row>
    <row r="274" spans="2:33" x14ac:dyDescent="0.2">
      <c r="B274" t="s">
        <v>345</v>
      </c>
    </row>
    <row r="281" spans="2:33" x14ac:dyDescent="0.2">
      <c r="C281">
        <f>(C285*25)/1000</f>
        <v>8.2449230769230777</v>
      </c>
      <c r="D281">
        <f t="shared" ref="D281:J281" si="127">(D285*25)/1000</f>
        <v>8.2449230769230777</v>
      </c>
      <c r="E281">
        <f t="shared" si="127"/>
        <v>8.2449230769230777</v>
      </c>
      <c r="F281">
        <f t="shared" si="127"/>
        <v>8.2449230769230777</v>
      </c>
      <c r="G281">
        <f t="shared" si="127"/>
        <v>8.2449230769230777</v>
      </c>
      <c r="H281">
        <f t="shared" si="127"/>
        <v>8.2449230769230777</v>
      </c>
      <c r="I281">
        <f t="shared" si="127"/>
        <v>8.2449230769230777</v>
      </c>
      <c r="J281">
        <f t="shared" si="127"/>
        <v>8.2449230769230777</v>
      </c>
    </row>
    <row r="283" spans="2:33" x14ac:dyDescent="0.2">
      <c r="B283" t="s">
        <v>303</v>
      </c>
    </row>
    <row r="285" spans="2:33" x14ac:dyDescent="0.2">
      <c r="B285" t="s">
        <v>322</v>
      </c>
      <c r="C285">
        <f>C218*(12/13)</f>
        <v>329.79692307692312</v>
      </c>
      <c r="D285">
        <f t="shared" ref="D285:Q285" si="128">D218*(12/13)</f>
        <v>329.79692307692312</v>
      </c>
      <c r="E285">
        <f t="shared" si="128"/>
        <v>329.79692307692312</v>
      </c>
      <c r="F285">
        <f t="shared" si="128"/>
        <v>329.79692307692312</v>
      </c>
      <c r="G285">
        <f t="shared" si="128"/>
        <v>329.79692307692312</v>
      </c>
      <c r="H285">
        <f t="shared" si="128"/>
        <v>329.79692307692312</v>
      </c>
      <c r="I285">
        <f t="shared" si="128"/>
        <v>329.79692307692312</v>
      </c>
      <c r="J285">
        <f t="shared" si="128"/>
        <v>329.79692307692312</v>
      </c>
      <c r="K285">
        <f t="shared" si="128"/>
        <v>329.79692307692312</v>
      </c>
      <c r="L285">
        <f t="shared" si="128"/>
        <v>329.79692307692312</v>
      </c>
      <c r="M285">
        <f t="shared" si="128"/>
        <v>329.79692307692312</v>
      </c>
      <c r="N285">
        <f t="shared" si="128"/>
        <v>329.79692307692312</v>
      </c>
      <c r="O285">
        <f t="shared" si="128"/>
        <v>329.79692307692312</v>
      </c>
      <c r="P285">
        <f t="shared" si="128"/>
        <v>329.79692307692312</v>
      </c>
      <c r="Q285">
        <f t="shared" si="128"/>
        <v>329.79692307692312</v>
      </c>
    </row>
    <row r="286" spans="2:33" x14ac:dyDescent="0.2">
      <c r="B286" t="s">
        <v>324</v>
      </c>
      <c r="C286">
        <f>C218*1/12</f>
        <v>29.773333333333337</v>
      </c>
      <c r="D286">
        <f t="shared" ref="D286:Q286" si="129">D218*1/12</f>
        <v>29.773333333333337</v>
      </c>
      <c r="E286">
        <f t="shared" si="129"/>
        <v>29.773333333333337</v>
      </c>
      <c r="F286">
        <f t="shared" si="129"/>
        <v>29.773333333333337</v>
      </c>
      <c r="G286">
        <f t="shared" si="129"/>
        <v>29.773333333333337</v>
      </c>
      <c r="H286">
        <f t="shared" si="129"/>
        <v>29.773333333333337</v>
      </c>
      <c r="I286">
        <f t="shared" si="129"/>
        <v>29.773333333333337</v>
      </c>
      <c r="J286">
        <f t="shared" si="129"/>
        <v>29.773333333333337</v>
      </c>
      <c r="K286">
        <f t="shared" si="129"/>
        <v>29.773333333333337</v>
      </c>
      <c r="L286">
        <f t="shared" si="129"/>
        <v>29.773333333333337</v>
      </c>
      <c r="M286">
        <f t="shared" si="129"/>
        <v>29.773333333333337</v>
      </c>
      <c r="N286">
        <f t="shared" si="129"/>
        <v>29.773333333333337</v>
      </c>
      <c r="O286">
        <f t="shared" si="129"/>
        <v>29.773333333333337</v>
      </c>
      <c r="P286">
        <f t="shared" si="129"/>
        <v>29.773333333333337</v>
      </c>
      <c r="Q286">
        <f t="shared" si="129"/>
        <v>29.773333333333337</v>
      </c>
      <c r="S286">
        <f>C286+C288+C289</f>
        <v>47.791190476190479</v>
      </c>
      <c r="T286">
        <f t="shared" ref="T286:AG286" si="130">D286+D288+D289</f>
        <v>59.925119047619049</v>
      </c>
      <c r="U286">
        <f t="shared" si="130"/>
        <v>101.28761904761905</v>
      </c>
      <c r="V286">
        <f t="shared" si="130"/>
        <v>120.11619047619048</v>
      </c>
      <c r="W286">
        <f t="shared" si="130"/>
        <v>154.48761904761906</v>
      </c>
      <c r="X286">
        <f t="shared" si="130"/>
        <v>226.71619047619049</v>
      </c>
      <c r="Y286">
        <f t="shared" si="130"/>
        <v>274.00190476190477</v>
      </c>
      <c r="Z286">
        <f t="shared" si="130"/>
        <v>364.42333333333329</v>
      </c>
      <c r="AA286">
        <f t="shared" si="130"/>
        <v>472.56619047619046</v>
      </c>
      <c r="AB286">
        <f t="shared" si="130"/>
        <v>655.70904761904762</v>
      </c>
      <c r="AC286">
        <f t="shared" si="130"/>
        <v>870.13761904761895</v>
      </c>
      <c r="AD286">
        <f t="shared" si="130"/>
        <v>1053.4233333333334</v>
      </c>
      <c r="AE286">
        <f t="shared" si="130"/>
        <v>1207.8269047619046</v>
      </c>
      <c r="AF286">
        <f t="shared" si="130"/>
        <v>1430.3804761904762</v>
      </c>
      <c r="AG286">
        <f t="shared" si="130"/>
        <v>1609.5233333333333</v>
      </c>
    </row>
    <row r="287" spans="2:33" x14ac:dyDescent="0.2">
      <c r="B287" t="s">
        <v>346</v>
      </c>
      <c r="C287">
        <f>C114</f>
        <v>8.123931590625002</v>
      </c>
      <c r="D287">
        <f t="shared" ref="D287:Q287" si="131">D114</f>
        <v>16.247863181250004</v>
      </c>
      <c r="E287">
        <f t="shared" si="131"/>
        <v>32.495726362500008</v>
      </c>
      <c r="F287">
        <f t="shared" si="131"/>
        <v>48.743589543749998</v>
      </c>
      <c r="G287">
        <f t="shared" si="131"/>
        <v>81.239315906249999</v>
      </c>
      <c r="H287">
        <f t="shared" si="131"/>
        <v>121.85897385937501</v>
      </c>
      <c r="I287">
        <f t="shared" si="131"/>
        <v>162.4786318125</v>
      </c>
      <c r="J287">
        <f t="shared" si="131"/>
        <v>243.71794771875003</v>
      </c>
      <c r="K287">
        <f t="shared" si="131"/>
        <v>324.957263625</v>
      </c>
      <c r="L287">
        <f t="shared" si="131"/>
        <v>487.43589543750005</v>
      </c>
      <c r="M287">
        <f t="shared" si="131"/>
        <v>649.91452724999999</v>
      </c>
      <c r="N287">
        <f t="shared" si="131"/>
        <v>812.39315906249999</v>
      </c>
      <c r="O287">
        <f t="shared" si="131"/>
        <v>974.8717908750001</v>
      </c>
      <c r="P287">
        <f t="shared" si="131"/>
        <v>1299.8290545</v>
      </c>
      <c r="Q287">
        <f t="shared" si="131"/>
        <v>1624.786318125</v>
      </c>
    </row>
    <row r="288" spans="2:33" x14ac:dyDescent="0.2">
      <c r="B288" t="s">
        <v>347</v>
      </c>
      <c r="C288">
        <f t="shared" ref="C288:Q288" si="132">C234</f>
        <v>15.392857142857142</v>
      </c>
      <c r="D288">
        <f t="shared" si="132"/>
        <v>26.214285714285715</v>
      </c>
      <c r="E288">
        <f t="shared" si="132"/>
        <v>44.714285714285715</v>
      </c>
      <c r="F288">
        <f t="shared" si="132"/>
        <v>63.542857142857144</v>
      </c>
      <c r="G288">
        <f t="shared" si="132"/>
        <v>97.914285714285711</v>
      </c>
      <c r="H288">
        <f t="shared" si="132"/>
        <v>170.14285714285714</v>
      </c>
      <c r="I288">
        <f t="shared" si="132"/>
        <v>217.42857142857142</v>
      </c>
      <c r="J288">
        <f t="shared" si="132"/>
        <v>290</v>
      </c>
      <c r="K288">
        <f t="shared" si="132"/>
        <v>398.14285714285717</v>
      </c>
      <c r="L288">
        <f t="shared" si="132"/>
        <v>581.28571428571433</v>
      </c>
      <c r="M288">
        <f t="shared" si="132"/>
        <v>795.71428571428567</v>
      </c>
      <c r="N288">
        <f t="shared" si="132"/>
        <v>979</v>
      </c>
      <c r="O288">
        <f t="shared" si="132"/>
        <v>1162.4285714285713</v>
      </c>
      <c r="P288">
        <f t="shared" si="132"/>
        <v>1380.8571428571429</v>
      </c>
      <c r="Q288">
        <f t="shared" si="132"/>
        <v>1560</v>
      </c>
    </row>
    <row r="289" spans="2:57" x14ac:dyDescent="0.2">
      <c r="B289" t="s">
        <v>321</v>
      </c>
      <c r="C289">
        <f>C220</f>
        <v>2.625</v>
      </c>
      <c r="D289">
        <f t="shared" ref="D289:Q289" si="133">D220</f>
        <v>3.9375</v>
      </c>
      <c r="E289">
        <f t="shared" si="133"/>
        <v>26.8</v>
      </c>
      <c r="F289">
        <f t="shared" si="133"/>
        <v>26.8</v>
      </c>
      <c r="G289">
        <f t="shared" si="133"/>
        <v>26.8</v>
      </c>
      <c r="H289">
        <f t="shared" si="133"/>
        <v>26.8</v>
      </c>
      <c r="I289">
        <f t="shared" si="133"/>
        <v>26.8</v>
      </c>
      <c r="J289">
        <f t="shared" si="133"/>
        <v>44.65</v>
      </c>
      <c r="K289">
        <f t="shared" si="133"/>
        <v>44.65</v>
      </c>
      <c r="L289">
        <f t="shared" si="133"/>
        <v>44.65</v>
      </c>
      <c r="M289">
        <f t="shared" si="133"/>
        <v>44.65</v>
      </c>
      <c r="N289">
        <f t="shared" si="133"/>
        <v>44.65</v>
      </c>
      <c r="O289">
        <f t="shared" si="133"/>
        <v>15.625</v>
      </c>
      <c r="P289">
        <f t="shared" si="133"/>
        <v>19.75</v>
      </c>
      <c r="Q289">
        <f t="shared" si="133"/>
        <v>19.75</v>
      </c>
    </row>
    <row r="290" spans="2:57" x14ac:dyDescent="0.2">
      <c r="B290" t="s">
        <v>317</v>
      </c>
      <c r="C290">
        <f t="shared" ref="C290:Q290" si="134">C190</f>
        <v>22.379374124183435</v>
      </c>
      <c r="D290">
        <f t="shared" si="134"/>
        <v>44.758748248366871</v>
      </c>
      <c r="E290">
        <f t="shared" si="134"/>
        <v>276.0122808649291</v>
      </c>
      <c r="F290">
        <f t="shared" si="134"/>
        <v>276.0122808649291</v>
      </c>
      <c r="G290">
        <f t="shared" si="134"/>
        <v>276.0122808649291</v>
      </c>
      <c r="H290">
        <f t="shared" si="134"/>
        <v>276.0122808649291</v>
      </c>
      <c r="I290">
        <f>I190</f>
        <v>276.0122808649291</v>
      </c>
      <c r="J290">
        <f t="shared" si="134"/>
        <v>298.39165498911251</v>
      </c>
      <c r="K290">
        <f t="shared" si="134"/>
        <v>298.39165498911251</v>
      </c>
      <c r="L290">
        <f t="shared" si="134"/>
        <v>447.58748248366879</v>
      </c>
      <c r="M290">
        <f t="shared" si="134"/>
        <v>447.58748248366879</v>
      </c>
      <c r="N290">
        <f t="shared" si="134"/>
        <v>447.58748248366879</v>
      </c>
      <c r="O290">
        <f t="shared" si="134"/>
        <v>820.57705122005939</v>
      </c>
      <c r="P290">
        <f t="shared" si="134"/>
        <v>1641.1541024401188</v>
      </c>
      <c r="Q290">
        <f t="shared" si="134"/>
        <v>1641.1541024401188</v>
      </c>
    </row>
    <row r="292" spans="2:57" x14ac:dyDescent="0.2">
      <c r="C292">
        <f>SUM(C286:C290)</f>
        <v>78.294496190998927</v>
      </c>
      <c r="D292">
        <f t="shared" ref="D292:Q292" si="135">SUM(D286:D290)</f>
        <v>120.93173047723592</v>
      </c>
      <c r="E292">
        <f t="shared" si="135"/>
        <v>409.79562627504816</v>
      </c>
      <c r="F292">
        <f t="shared" si="135"/>
        <v>444.8720608848696</v>
      </c>
      <c r="G292">
        <f t="shared" si="135"/>
        <v>511.73921581879813</v>
      </c>
      <c r="H292">
        <f t="shared" si="135"/>
        <v>624.58744520049459</v>
      </c>
      <c r="I292">
        <f>SUM(I286:I290)</f>
        <v>712.49281743933386</v>
      </c>
      <c r="J292">
        <f t="shared" si="135"/>
        <v>906.53293604119585</v>
      </c>
      <c r="K292">
        <f t="shared" si="135"/>
        <v>1095.9151090903028</v>
      </c>
      <c r="L292">
        <f t="shared" si="135"/>
        <v>1590.7324255402166</v>
      </c>
      <c r="M292">
        <f t="shared" si="135"/>
        <v>1967.6396287812877</v>
      </c>
      <c r="N292">
        <f t="shared" si="135"/>
        <v>2313.4039748795021</v>
      </c>
      <c r="O292">
        <f t="shared" si="135"/>
        <v>3003.2757468569639</v>
      </c>
      <c r="P292">
        <f t="shared" si="135"/>
        <v>4371.3636331305952</v>
      </c>
      <c r="Q292">
        <f t="shared" si="135"/>
        <v>4875.4637538984516</v>
      </c>
    </row>
    <row r="294" spans="2:57" x14ac:dyDescent="0.2">
      <c r="B294" t="s">
        <v>354</v>
      </c>
    </row>
    <row r="295" spans="2:57" x14ac:dyDescent="0.2">
      <c r="C295" t="s">
        <v>173</v>
      </c>
      <c r="D295" t="s">
        <v>174</v>
      </c>
      <c r="E295" t="s">
        <v>175</v>
      </c>
      <c r="AP295" t="s">
        <v>342</v>
      </c>
    </row>
    <row r="296" spans="2:57" x14ac:dyDescent="0.2">
      <c r="B296">
        <v>1</v>
      </c>
      <c r="C296">
        <f>B296*$C$208</f>
        <v>0.66700000000000004</v>
      </c>
      <c r="D296">
        <f>B296*$C$209</f>
        <v>0.63800000000000001</v>
      </c>
      <c r="E296">
        <f>B296*$C$210</f>
        <v>0.626</v>
      </c>
    </row>
    <row r="297" spans="2:57" x14ac:dyDescent="0.2">
      <c r="B297">
        <v>5</v>
      </c>
      <c r="C297">
        <f t="shared" ref="C297:C305" si="136">B297*$C$208</f>
        <v>3.335</v>
      </c>
      <c r="D297">
        <f t="shared" ref="D297:D305" si="137">B297*$C$209</f>
        <v>3.19</v>
      </c>
      <c r="E297">
        <f t="shared" ref="E297:E305" si="138">B297*$C$210</f>
        <v>3.13</v>
      </c>
      <c r="AP297" t="s">
        <v>343</v>
      </c>
      <c r="AQ297">
        <v>1330</v>
      </c>
      <c r="AR297">
        <v>2540</v>
      </c>
      <c r="AS297">
        <v>4610</v>
      </c>
      <c r="AT297">
        <v>6810</v>
      </c>
      <c r="AU297">
        <v>11100</v>
      </c>
      <c r="AV297">
        <v>16400</v>
      </c>
      <c r="AW297">
        <v>21200</v>
      </c>
      <c r="AX297">
        <v>54000</v>
      </c>
      <c r="AY297">
        <v>69900</v>
      </c>
      <c r="AZ297">
        <v>105000</v>
      </c>
      <c r="BA297">
        <v>140000</v>
      </c>
      <c r="BB297">
        <v>172000</v>
      </c>
      <c r="BC297">
        <v>211000</v>
      </c>
      <c r="BD297">
        <v>244000</v>
      </c>
      <c r="BE297">
        <v>283000</v>
      </c>
    </row>
    <row r="298" spans="2:57" x14ac:dyDescent="0.2">
      <c r="B298">
        <v>10</v>
      </c>
      <c r="C298">
        <f t="shared" si="136"/>
        <v>6.67</v>
      </c>
      <c r="D298">
        <f t="shared" si="137"/>
        <v>6.38</v>
      </c>
      <c r="E298">
        <f t="shared" si="138"/>
        <v>6.26</v>
      </c>
      <c r="AP298" t="s">
        <v>103</v>
      </c>
      <c r="AQ298">
        <v>8683.1174754464282</v>
      </c>
      <c r="AR298">
        <v>9011.7257415178574</v>
      </c>
      <c r="AS298">
        <v>9417.798293303571</v>
      </c>
      <c r="AT298">
        <v>9829.4422736607139</v>
      </c>
      <c r="AU298">
        <v>10527.140387053572</v>
      </c>
      <c r="AV298">
        <v>11295.731357589286</v>
      </c>
      <c r="AW298">
        <v>11942.768195089286</v>
      </c>
      <c r="AX298">
        <v>15075.319858035713</v>
      </c>
      <c r="AY298">
        <v>16641.536390178571</v>
      </c>
      <c r="AZ298">
        <v>20804.947442410714</v>
      </c>
      <c r="BA298">
        <v>24969.429923214288</v>
      </c>
      <c r="BB298">
        <v>27067.644208928574</v>
      </c>
      <c r="BC298">
        <v>32487.310877232143</v>
      </c>
      <c r="BD298">
        <v>36936.687338392861</v>
      </c>
      <c r="BE298">
        <v>41468.206656696428</v>
      </c>
    </row>
    <row r="299" spans="2:57" x14ac:dyDescent="0.2">
      <c r="B299">
        <v>15</v>
      </c>
      <c r="C299">
        <f t="shared" si="136"/>
        <v>10.005000000000001</v>
      </c>
      <c r="D299">
        <f t="shared" si="137"/>
        <v>9.57</v>
      </c>
      <c r="E299">
        <f t="shared" si="138"/>
        <v>9.39</v>
      </c>
    </row>
    <row r="300" spans="2:57" x14ac:dyDescent="0.2">
      <c r="B300">
        <v>20</v>
      </c>
      <c r="C300">
        <f t="shared" si="136"/>
        <v>13.34</v>
      </c>
      <c r="D300">
        <f t="shared" si="137"/>
        <v>12.76</v>
      </c>
      <c r="E300">
        <f t="shared" si="138"/>
        <v>12.52</v>
      </c>
    </row>
    <row r="301" spans="2:57" x14ac:dyDescent="0.2">
      <c r="B301">
        <v>30</v>
      </c>
      <c r="C301">
        <f t="shared" si="136"/>
        <v>20.010000000000002</v>
      </c>
      <c r="D301">
        <f t="shared" si="137"/>
        <v>19.14</v>
      </c>
      <c r="E301">
        <f t="shared" si="138"/>
        <v>18.78</v>
      </c>
    </row>
    <row r="302" spans="2:57" x14ac:dyDescent="0.2">
      <c r="B302">
        <v>40</v>
      </c>
      <c r="C302">
        <f>B302*$C$208</f>
        <v>26.68</v>
      </c>
      <c r="D302">
        <f t="shared" si="137"/>
        <v>25.52</v>
      </c>
      <c r="E302">
        <f t="shared" si="138"/>
        <v>25.04</v>
      </c>
      <c r="AP302" t="s">
        <v>343</v>
      </c>
      <c r="AQ302">
        <v>810.61</v>
      </c>
      <c r="AR302">
        <v>1113.2</v>
      </c>
      <c r="AS302">
        <v>1685.4</v>
      </c>
      <c r="AT302">
        <v>2163.6999999999998</v>
      </c>
      <c r="AU302">
        <v>3013.6</v>
      </c>
      <c r="AV302">
        <v>5419.2</v>
      </c>
      <c r="AW302">
        <v>6560.6</v>
      </c>
      <c r="AX302">
        <v>7825.4</v>
      </c>
      <c r="AY302">
        <v>10694.3</v>
      </c>
      <c r="AZ302">
        <v>14782.3</v>
      </c>
      <c r="BA302">
        <v>20958.3</v>
      </c>
      <c r="BB302">
        <v>25032.3</v>
      </c>
      <c r="BC302">
        <v>29540</v>
      </c>
      <c r="BD302">
        <v>35317</v>
      </c>
      <c r="BE302">
        <v>39429</v>
      </c>
    </row>
    <row r="303" spans="2:57" x14ac:dyDescent="0.2">
      <c r="B303">
        <v>50</v>
      </c>
      <c r="C303">
        <f t="shared" si="136"/>
        <v>33.35</v>
      </c>
      <c r="D303">
        <f t="shared" si="137"/>
        <v>31.900000000000002</v>
      </c>
      <c r="E303">
        <f t="shared" si="138"/>
        <v>31.3</v>
      </c>
      <c r="AP303" t="s">
        <v>103</v>
      </c>
      <c r="AQ303">
        <v>9760.2076428702112</v>
      </c>
      <c r="AR303">
        <v>10555.602785740422</v>
      </c>
      <c r="AS303">
        <v>17314.70018068573</v>
      </c>
      <c r="AT303">
        <v>17720.896760216976</v>
      </c>
      <c r="AU303">
        <v>18533.289919279479</v>
      </c>
      <c r="AV303">
        <v>19548.781368107604</v>
      </c>
      <c r="AW303">
        <v>20564.272816935729</v>
      </c>
      <c r="AX303">
        <v>23600.990067696563</v>
      </c>
      <c r="AY303">
        <v>25631.972965352816</v>
      </c>
      <c r="AZ303">
        <v>33423.834448029222</v>
      </c>
      <c r="BA303">
        <v>37485.80024334172</v>
      </c>
      <c r="BB303">
        <v>41547.766038654219</v>
      </c>
      <c r="BC303">
        <v>54208.846052376488</v>
      </c>
      <c r="BD303">
        <v>82950.328923502966</v>
      </c>
      <c r="BE303">
        <v>91074.260514127978</v>
      </c>
    </row>
    <row r="304" spans="2:57" x14ac:dyDescent="0.2">
      <c r="B304">
        <v>60</v>
      </c>
      <c r="C304">
        <f t="shared" si="136"/>
        <v>40.020000000000003</v>
      </c>
      <c r="D304">
        <f t="shared" si="137"/>
        <v>38.28</v>
      </c>
      <c r="E304">
        <f t="shared" si="138"/>
        <v>37.56</v>
      </c>
    </row>
    <row r="305" spans="2:57" x14ac:dyDescent="0.2">
      <c r="B305">
        <v>80</v>
      </c>
      <c r="C305">
        <f t="shared" si="136"/>
        <v>53.36</v>
      </c>
      <c r="D305">
        <f t="shared" si="137"/>
        <v>51.04</v>
      </c>
      <c r="E305">
        <f t="shared" si="138"/>
        <v>50.08</v>
      </c>
    </row>
    <row r="307" spans="2:57" x14ac:dyDescent="0.2">
      <c r="B307" t="s">
        <v>344</v>
      </c>
    </row>
    <row r="308" spans="2:57" x14ac:dyDescent="0.2">
      <c r="C308" t="s">
        <v>344</v>
      </c>
      <c r="D308" t="s">
        <v>355</v>
      </c>
      <c r="E308" t="s">
        <v>356</v>
      </c>
      <c r="AQ308">
        <v>5</v>
      </c>
      <c r="AR308">
        <v>10</v>
      </c>
      <c r="AS308">
        <v>20</v>
      </c>
      <c r="AT308">
        <v>30</v>
      </c>
      <c r="AU308">
        <v>50</v>
      </c>
      <c r="AV308">
        <v>75</v>
      </c>
      <c r="AW308">
        <v>100</v>
      </c>
      <c r="AX308">
        <v>150</v>
      </c>
      <c r="AY308">
        <v>200</v>
      </c>
      <c r="AZ308">
        <v>300</v>
      </c>
      <c r="BA308">
        <v>400</v>
      </c>
      <c r="BB308">
        <v>500</v>
      </c>
      <c r="BC308">
        <v>600</v>
      </c>
      <c r="BD308">
        <v>800</v>
      </c>
      <c r="BE308">
        <v>1000</v>
      </c>
    </row>
    <row r="309" spans="2:57" x14ac:dyDescent="0.2">
      <c r="B309">
        <v>1</v>
      </c>
      <c r="C309">
        <f>D296*14</f>
        <v>8.9320000000000004</v>
      </c>
      <c r="D309">
        <f>E296*14</f>
        <v>8.7639999999999993</v>
      </c>
      <c r="E309">
        <f>C296*14</f>
        <v>9.338000000000001</v>
      </c>
      <c r="AP309" t="s">
        <v>367</v>
      </c>
      <c r="AQ309">
        <f t="shared" ref="AQ309:BE309" si="139">AQ297+AQ298</f>
        <v>10013.117475446428</v>
      </c>
      <c r="AR309">
        <f t="shared" si="139"/>
        <v>11551.725741517857</v>
      </c>
      <c r="AS309">
        <f t="shared" si="139"/>
        <v>14027.798293303571</v>
      </c>
      <c r="AT309">
        <f t="shared" si="139"/>
        <v>16639.442273660716</v>
      </c>
      <c r="AU309">
        <f t="shared" si="139"/>
        <v>21627.140387053572</v>
      </c>
      <c r="AV309">
        <f t="shared" si="139"/>
        <v>27695.731357589284</v>
      </c>
      <c r="AW309">
        <f t="shared" si="139"/>
        <v>33142.768195089287</v>
      </c>
      <c r="AX309">
        <f t="shared" si="139"/>
        <v>69075.319858035713</v>
      </c>
      <c r="AY309">
        <f t="shared" si="139"/>
        <v>86541.536390178575</v>
      </c>
      <c r="AZ309">
        <f t="shared" si="139"/>
        <v>125804.94744241072</v>
      </c>
      <c r="BA309">
        <f t="shared" si="139"/>
        <v>164969.42992321428</v>
      </c>
      <c r="BB309">
        <f t="shared" si="139"/>
        <v>199067.64420892857</v>
      </c>
      <c r="BC309">
        <f t="shared" si="139"/>
        <v>243487.31087723214</v>
      </c>
      <c r="BD309">
        <f t="shared" si="139"/>
        <v>280936.68733839283</v>
      </c>
      <c r="BE309">
        <f t="shared" si="139"/>
        <v>324468.20665669645</v>
      </c>
    </row>
    <row r="310" spans="2:57" x14ac:dyDescent="0.2">
      <c r="B310">
        <v>5</v>
      </c>
      <c r="C310">
        <f>D297*14</f>
        <v>44.66</v>
      </c>
      <c r="D310">
        <f t="shared" ref="D310:D318" si="140">E297*14</f>
        <v>43.82</v>
      </c>
      <c r="E310">
        <f t="shared" ref="E310:E318" si="141">C297*14</f>
        <v>46.69</v>
      </c>
      <c r="AP310" t="s">
        <v>236</v>
      </c>
      <c r="AQ310">
        <f t="shared" ref="AQ310:BE310" si="142">AQ302+AQ303</f>
        <v>10570.817642870212</v>
      </c>
      <c r="AR310">
        <f t="shared" si="142"/>
        <v>11668.802785740423</v>
      </c>
      <c r="AS310">
        <f t="shared" si="142"/>
        <v>19000.100180685731</v>
      </c>
      <c r="AT310">
        <f t="shared" si="142"/>
        <v>19884.596760216977</v>
      </c>
      <c r="AU310">
        <f t="shared" si="142"/>
        <v>21546.889919279478</v>
      </c>
      <c r="AV310">
        <f t="shared" si="142"/>
        <v>24967.981368107605</v>
      </c>
      <c r="AW310">
        <f t="shared" si="142"/>
        <v>27124.872816935727</v>
      </c>
      <c r="AX310">
        <f t="shared" si="142"/>
        <v>31426.390067696564</v>
      </c>
      <c r="AY310">
        <f t="shared" si="142"/>
        <v>36326.272965352815</v>
      </c>
      <c r="AZ310">
        <f t="shared" si="142"/>
        <v>48206.134448029217</v>
      </c>
      <c r="BA310">
        <f t="shared" si="142"/>
        <v>58444.100243341716</v>
      </c>
      <c r="BB310">
        <f t="shared" si="142"/>
        <v>66580.066038654215</v>
      </c>
      <c r="BC310">
        <f t="shared" si="142"/>
        <v>83748.846052376495</v>
      </c>
      <c r="BD310">
        <f t="shared" si="142"/>
        <v>118267.32892350297</v>
      </c>
      <c r="BE310">
        <f t="shared" si="142"/>
        <v>130503.26051412798</v>
      </c>
    </row>
    <row r="311" spans="2:57" x14ac:dyDescent="0.2">
      <c r="B311">
        <v>10</v>
      </c>
      <c r="C311">
        <f t="shared" ref="C311:C318" si="143">D298*14</f>
        <v>89.32</v>
      </c>
      <c r="D311">
        <f t="shared" si="140"/>
        <v>87.64</v>
      </c>
      <c r="E311">
        <f t="shared" si="141"/>
        <v>93.38</v>
      </c>
    </row>
    <row r="312" spans="2:57" x14ac:dyDescent="0.2">
      <c r="B312">
        <v>15</v>
      </c>
      <c r="C312">
        <f t="shared" si="143"/>
        <v>133.98000000000002</v>
      </c>
      <c r="D312">
        <f t="shared" si="140"/>
        <v>131.46</v>
      </c>
      <c r="E312">
        <f t="shared" si="141"/>
        <v>140.07000000000002</v>
      </c>
      <c r="AP312" t="s">
        <v>367</v>
      </c>
      <c r="AQ312">
        <v>15232.792875728641</v>
      </c>
      <c r="AR312">
        <v>18879.720355547623</v>
      </c>
      <c r="AS312">
        <v>25767.574302034569</v>
      </c>
      <c r="AT312">
        <v>32949.730140921965</v>
      </c>
      <c r="AU312">
        <v>47097.001060543116</v>
      </c>
      <c r="AV312">
        <v>64353.006866227617</v>
      </c>
      <c r="AW312">
        <v>81520.212288961833</v>
      </c>
      <c r="AX312">
        <v>135606.45801598663</v>
      </c>
      <c r="AY312">
        <v>175570.80107358203</v>
      </c>
      <c r="AZ312">
        <v>257622.44248397878</v>
      </c>
      <c r="BA312">
        <v>339674.08389437554</v>
      </c>
      <c r="BB312">
        <v>418032.23059964716</v>
      </c>
      <c r="BC312">
        <v>502689.84558666928</v>
      </c>
      <c r="BD312">
        <v>586578.28292546875</v>
      </c>
      <c r="BE312">
        <v>672368.02233781281</v>
      </c>
    </row>
    <row r="313" spans="2:57" x14ac:dyDescent="0.2">
      <c r="B313">
        <v>20</v>
      </c>
      <c r="C313">
        <f t="shared" si="143"/>
        <v>178.64</v>
      </c>
      <c r="D313">
        <f t="shared" si="140"/>
        <v>175.28</v>
      </c>
      <c r="E313">
        <f t="shared" si="141"/>
        <v>186.76</v>
      </c>
      <c r="AP313" t="s">
        <v>236</v>
      </c>
      <c r="AQ313">
        <v>18717.07447196278</v>
      </c>
      <c r="AR313">
        <v>21334.544776406285</v>
      </c>
      <c r="AS313">
        <v>28942.947934422817</v>
      </c>
      <c r="AT313">
        <v>33103.101235848182</v>
      </c>
      <c r="AU313">
        <v>40861.032636843338</v>
      </c>
      <c r="AV313">
        <v>57834.77347472644</v>
      </c>
      <c r="AW313">
        <v>68268.37958245851</v>
      </c>
      <c r="AX313">
        <v>86154.782590590956</v>
      </c>
      <c r="AY313">
        <v>110864.63360227652</v>
      </c>
      <c r="AZ313">
        <v>155579.57174687291</v>
      </c>
      <c r="BA313">
        <v>205711.09662738693</v>
      </c>
      <c r="BB313">
        <v>246857.03690385149</v>
      </c>
      <c r="BC313">
        <v>286726.22046603024</v>
      </c>
      <c r="BD313">
        <v>339626.49455523933</v>
      </c>
      <c r="BE313">
        <v>379787.21523294691</v>
      </c>
    </row>
    <row r="314" spans="2:57" x14ac:dyDescent="0.2">
      <c r="B314">
        <v>30</v>
      </c>
      <c r="C314">
        <f t="shared" si="143"/>
        <v>267.96000000000004</v>
      </c>
      <c r="D314">
        <f t="shared" si="140"/>
        <v>262.92</v>
      </c>
      <c r="E314">
        <f t="shared" si="141"/>
        <v>280.14000000000004</v>
      </c>
    </row>
    <row r="315" spans="2:57" x14ac:dyDescent="0.2">
      <c r="B315">
        <v>40</v>
      </c>
      <c r="C315">
        <f t="shared" si="143"/>
        <v>357.28</v>
      </c>
      <c r="D315">
        <f t="shared" si="140"/>
        <v>350.56</v>
      </c>
      <c r="E315">
        <f t="shared" si="141"/>
        <v>373.52</v>
      </c>
    </row>
    <row r="316" spans="2:57" x14ac:dyDescent="0.2">
      <c r="B316">
        <v>50</v>
      </c>
      <c r="C316">
        <f t="shared" si="143"/>
        <v>446.6</v>
      </c>
      <c r="D316">
        <f t="shared" si="140"/>
        <v>438.2</v>
      </c>
      <c r="E316">
        <f t="shared" si="141"/>
        <v>466.90000000000003</v>
      </c>
      <c r="AQ316">
        <v>5</v>
      </c>
      <c r="AR316">
        <v>10</v>
      </c>
      <c r="AS316">
        <v>20</v>
      </c>
      <c r="AT316">
        <v>30</v>
      </c>
      <c r="AU316">
        <v>50</v>
      </c>
      <c r="AV316">
        <v>75</v>
      </c>
      <c r="AW316">
        <v>100</v>
      </c>
      <c r="AX316">
        <v>150</v>
      </c>
      <c r="AY316">
        <v>200</v>
      </c>
      <c r="AZ316">
        <v>300</v>
      </c>
      <c r="BA316">
        <v>400</v>
      </c>
      <c r="BB316">
        <v>500</v>
      </c>
      <c r="BC316">
        <v>600</v>
      </c>
      <c r="BD316">
        <v>800</v>
      </c>
      <c r="BE316">
        <v>1000</v>
      </c>
    </row>
    <row r="317" spans="2:57" x14ac:dyDescent="0.2">
      <c r="B317">
        <v>60</v>
      </c>
      <c r="C317">
        <f t="shared" si="143"/>
        <v>535.92000000000007</v>
      </c>
      <c r="D317">
        <f t="shared" si="140"/>
        <v>525.84</v>
      </c>
      <c r="E317">
        <f t="shared" si="141"/>
        <v>560.28000000000009</v>
      </c>
      <c r="H317" t="s">
        <v>357</v>
      </c>
      <c r="AP317" t="s">
        <v>367</v>
      </c>
      <c r="AQ317">
        <f>AQ309*AQ312</f>
        <v>152527744.5438143</v>
      </c>
      <c r="AR317">
        <f t="shared" ref="AR317:BE317" si="144">AR309*AR312</f>
        <v>218093351.62383816</v>
      </c>
      <c r="AS317">
        <f t="shared" si="144"/>
        <v>361462334.81665349</v>
      </c>
      <c r="AT317">
        <f t="shared" si="144"/>
        <v>548265132.61256957</v>
      </c>
      <c r="AU317">
        <f t="shared" si="144"/>
        <v>1018573453.745577</v>
      </c>
      <c r="AV317">
        <f t="shared" si="144"/>
        <v>1782303590.2201388</v>
      </c>
      <c r="AW317">
        <f t="shared" si="144"/>
        <v>2701805499.1075311</v>
      </c>
      <c r="AX317">
        <f t="shared" si="144"/>
        <v>9367059462.2695675</v>
      </c>
      <c r="AY317">
        <f t="shared" si="144"/>
        <v>15194166870.162203</v>
      </c>
      <c r="AZ317">
        <f t="shared" si="144"/>
        <v>32410177836.68243</v>
      </c>
      <c r="BA317">
        <f t="shared" si="144"/>
        <v>56035839979.745193</v>
      </c>
      <c r="BB317">
        <f t="shared" si="144"/>
        <v>83216691348.875336</v>
      </c>
      <c r="BC317">
        <f t="shared" si="144"/>
        <v>122398598707.18916</v>
      </c>
      <c r="BD317">
        <f t="shared" si="144"/>
        <v>164791359669.72375</v>
      </c>
      <c r="BE317">
        <f t="shared" si="144"/>
        <v>218162046421.25974</v>
      </c>
    </row>
    <row r="318" spans="2:57" x14ac:dyDescent="0.2">
      <c r="B318">
        <v>80</v>
      </c>
      <c r="C318">
        <f t="shared" si="143"/>
        <v>714.56</v>
      </c>
      <c r="D318">
        <f t="shared" si="140"/>
        <v>701.12</v>
      </c>
      <c r="E318">
        <f t="shared" si="141"/>
        <v>747.04</v>
      </c>
      <c r="AP318" t="s">
        <v>236</v>
      </c>
      <c r="AQ318">
        <f>AQ310*AQ313</f>
        <v>197854781.0511398</v>
      </c>
      <c r="AR318">
        <f t="shared" ref="AR318:BE318" si="145">AR310*AR313</f>
        <v>248948595.51943344</v>
      </c>
      <c r="AS318">
        <f t="shared" si="145"/>
        <v>549918910.27840471</v>
      </c>
      <c r="AT318">
        <f t="shared" si="145"/>
        <v>658241819.58748138</v>
      </c>
      <c r="AU318">
        <f t="shared" si="145"/>
        <v>880428172.21414948</v>
      </c>
      <c r="AV318">
        <f t="shared" si="145"/>
        <v>1444017546.5456936</v>
      </c>
      <c r="AW318">
        <f t="shared" si="145"/>
        <v>1851771113.5924788</v>
      </c>
      <c r="AX318">
        <f t="shared" si="145"/>
        <v>2707533803.8895044</v>
      </c>
      <c r="AY318">
        <f t="shared" si="145"/>
        <v>4027298942.4401226</v>
      </c>
      <c r="AZ318">
        <f t="shared" si="145"/>
        <v>7499889752.9965639</v>
      </c>
      <c r="BA318">
        <f t="shared" si="145"/>
        <v>12022599952.458755</v>
      </c>
      <c r="BB318">
        <f t="shared" si="145"/>
        <v>16435757819.164932</v>
      </c>
      <c r="BC318">
        <f t="shared" si="145"/>
        <v>24012990096.98933</v>
      </c>
      <c r="BD318">
        <f t="shared" si="145"/>
        <v>40166718342.700783</v>
      </c>
      <c r="BE318">
        <f t="shared" si="145"/>
        <v>49563469889.480461</v>
      </c>
    </row>
    <row r="320" spans="2:57" x14ac:dyDescent="0.2">
      <c r="I320" t="s">
        <v>232</v>
      </c>
      <c r="J320" t="s">
        <v>234</v>
      </c>
      <c r="K320" t="s">
        <v>240</v>
      </c>
    </row>
    <row r="321" spans="7:11" x14ac:dyDescent="0.2">
      <c r="G321" t="str">
        <f t="shared" ref="G321:G330" si="146">_xlfn.CONCAT($H$317,B309)</f>
        <v>Travel Distance = 1</v>
      </c>
      <c r="H321">
        <v>1</v>
      </c>
      <c r="I321">
        <f>($G$257-$I$218*25)+C309*25</f>
        <v>12272.447062136624</v>
      </c>
      <c r="J321">
        <f t="shared" ref="J321:J330" si="147">($I$257-$I$218*25)+C309*25</f>
        <v>17291.287102650011</v>
      </c>
      <c r="K321">
        <f>($K$257-$I$218*25)+C309*25</f>
        <v>26876.844393924246</v>
      </c>
    </row>
    <row r="322" spans="7:11" x14ac:dyDescent="0.2">
      <c r="G322" t="str">
        <f t="shared" si="146"/>
        <v>Travel Distance = 5</v>
      </c>
      <c r="H322">
        <v>5</v>
      </c>
      <c r="I322">
        <f t="shared" ref="I322:I330" si="148">($G$257-$I$218*25)+C310*25</f>
        <v>13165.647062136624</v>
      </c>
      <c r="J322">
        <f t="shared" si="147"/>
        <v>18184.487102650011</v>
      </c>
      <c r="K322">
        <f t="shared" ref="K322:K330" si="149">($K$257-$I$218*25)+C310*25</f>
        <v>27770.044393924247</v>
      </c>
    </row>
    <row r="323" spans="7:11" x14ac:dyDescent="0.2">
      <c r="G323" t="str">
        <f t="shared" si="146"/>
        <v>Travel Distance = 10</v>
      </c>
      <c r="H323">
        <v>10</v>
      </c>
      <c r="I323">
        <f t="shared" si="148"/>
        <v>14282.147062136624</v>
      </c>
      <c r="J323">
        <f t="shared" si="147"/>
        <v>19300.987102650011</v>
      </c>
      <c r="K323">
        <f t="shared" si="149"/>
        <v>28886.544393924247</v>
      </c>
    </row>
    <row r="324" spans="7:11" x14ac:dyDescent="0.2">
      <c r="G324" t="str">
        <f t="shared" si="146"/>
        <v>Travel Distance = 15</v>
      </c>
      <c r="H324">
        <v>15</v>
      </c>
      <c r="I324">
        <f t="shared" si="148"/>
        <v>15398.647062136624</v>
      </c>
      <c r="J324">
        <f t="shared" si="147"/>
        <v>20417.487102650011</v>
      </c>
      <c r="K324">
        <f t="shared" si="149"/>
        <v>30003.044393924247</v>
      </c>
    </row>
    <row r="325" spans="7:11" x14ac:dyDescent="0.2">
      <c r="G325" t="str">
        <f t="shared" si="146"/>
        <v>Travel Distance = 20</v>
      </c>
      <c r="H325">
        <v>20</v>
      </c>
      <c r="I325">
        <f t="shared" si="148"/>
        <v>16515.147062136624</v>
      </c>
      <c r="J325">
        <f t="shared" si="147"/>
        <v>21533.987102650011</v>
      </c>
      <c r="K325">
        <f t="shared" si="149"/>
        <v>31119.544393924247</v>
      </c>
    </row>
    <row r="326" spans="7:11" x14ac:dyDescent="0.2">
      <c r="G326" t="str">
        <f t="shared" si="146"/>
        <v>Travel Distance = 30</v>
      </c>
      <c r="H326">
        <v>30</v>
      </c>
      <c r="I326">
        <f t="shared" si="148"/>
        <v>18748.147062136624</v>
      </c>
      <c r="J326">
        <f t="shared" si="147"/>
        <v>23766.987102650011</v>
      </c>
      <c r="K326">
        <f t="shared" si="149"/>
        <v>33352.544393924247</v>
      </c>
    </row>
    <row r="327" spans="7:11" x14ac:dyDescent="0.2">
      <c r="G327" t="str">
        <f t="shared" si="146"/>
        <v>Travel Distance = 40</v>
      </c>
      <c r="H327">
        <v>40</v>
      </c>
      <c r="I327">
        <f t="shared" si="148"/>
        <v>20981.147062136624</v>
      </c>
      <c r="J327">
        <f t="shared" si="147"/>
        <v>25999.987102650011</v>
      </c>
      <c r="K327">
        <f t="shared" si="149"/>
        <v>35585.544393924247</v>
      </c>
    </row>
    <row r="328" spans="7:11" x14ac:dyDescent="0.2">
      <c r="G328" t="str">
        <f t="shared" si="146"/>
        <v>Travel Distance = 50</v>
      </c>
      <c r="H328">
        <v>50</v>
      </c>
      <c r="I328">
        <f t="shared" si="148"/>
        <v>23214.147062136624</v>
      </c>
      <c r="J328">
        <f t="shared" si="147"/>
        <v>28232.987102650011</v>
      </c>
      <c r="K328">
        <f t="shared" si="149"/>
        <v>37818.544393924247</v>
      </c>
    </row>
    <row r="329" spans="7:11" x14ac:dyDescent="0.2">
      <c r="G329" t="str">
        <f t="shared" si="146"/>
        <v>Travel Distance = 60</v>
      </c>
      <c r="H329">
        <v>60</v>
      </c>
      <c r="I329">
        <f t="shared" si="148"/>
        <v>25447.147062136624</v>
      </c>
      <c r="J329">
        <f t="shared" si="147"/>
        <v>30465.987102650011</v>
      </c>
      <c r="K329">
        <f t="shared" si="149"/>
        <v>40051.544393924247</v>
      </c>
    </row>
    <row r="330" spans="7:11" x14ac:dyDescent="0.2">
      <c r="G330" t="str">
        <f t="shared" si="146"/>
        <v>Travel Distance = 80</v>
      </c>
      <c r="H330">
        <v>80</v>
      </c>
      <c r="I330">
        <f t="shared" si="148"/>
        <v>29913.147062136624</v>
      </c>
      <c r="J330">
        <f t="shared" si="147"/>
        <v>34931.987102650011</v>
      </c>
      <c r="K330">
        <f t="shared" si="149"/>
        <v>44517.544393924247</v>
      </c>
    </row>
    <row r="342" spans="2:17" x14ac:dyDescent="0.2">
      <c r="C342">
        <f>C286*25/1000</f>
        <v>0.7443333333333334</v>
      </c>
      <c r="D342">
        <f t="shared" ref="D342:Q342" si="150">D286*25/1000</f>
        <v>0.7443333333333334</v>
      </c>
      <c r="E342">
        <f t="shared" si="150"/>
        <v>0.7443333333333334</v>
      </c>
      <c r="F342">
        <f t="shared" si="150"/>
        <v>0.7443333333333334</v>
      </c>
      <c r="G342">
        <f t="shared" si="150"/>
        <v>0.7443333333333334</v>
      </c>
      <c r="H342">
        <f t="shared" si="150"/>
        <v>0.7443333333333334</v>
      </c>
      <c r="I342">
        <f t="shared" si="150"/>
        <v>0.7443333333333334</v>
      </c>
      <c r="J342">
        <f t="shared" si="150"/>
        <v>0.7443333333333334</v>
      </c>
      <c r="K342">
        <f t="shared" si="150"/>
        <v>0.7443333333333334</v>
      </c>
      <c r="L342">
        <f t="shared" si="150"/>
        <v>0.7443333333333334</v>
      </c>
      <c r="M342">
        <f t="shared" si="150"/>
        <v>0.7443333333333334</v>
      </c>
      <c r="N342">
        <f t="shared" si="150"/>
        <v>0.7443333333333334</v>
      </c>
      <c r="O342">
        <f t="shared" si="150"/>
        <v>0.7443333333333334</v>
      </c>
      <c r="P342">
        <f t="shared" si="150"/>
        <v>0.7443333333333334</v>
      </c>
      <c r="Q342">
        <f t="shared" si="150"/>
        <v>0.7443333333333334</v>
      </c>
    </row>
    <row r="343" spans="2:17" x14ac:dyDescent="0.2">
      <c r="C343">
        <f>C287*25/1000</f>
        <v>0.20309828976562505</v>
      </c>
      <c r="D343">
        <f t="shared" ref="D343:Q343" si="151">D287*25/1000</f>
        <v>0.4061965795312501</v>
      </c>
      <c r="E343">
        <f t="shared" si="151"/>
        <v>0.8123931590625002</v>
      </c>
      <c r="F343">
        <f t="shared" si="151"/>
        <v>1.2185897385937499</v>
      </c>
      <c r="G343">
        <f t="shared" si="151"/>
        <v>2.0309828976562501</v>
      </c>
      <c r="H343">
        <f t="shared" si="151"/>
        <v>3.0464743464843753</v>
      </c>
      <c r="I343">
        <f t="shared" si="151"/>
        <v>4.0619657953125001</v>
      </c>
      <c r="J343">
        <f t="shared" si="151"/>
        <v>6.0929486929687506</v>
      </c>
      <c r="K343">
        <f t="shared" si="151"/>
        <v>8.1239315906250003</v>
      </c>
      <c r="L343">
        <f t="shared" si="151"/>
        <v>12.185897385937501</v>
      </c>
      <c r="M343">
        <f t="shared" si="151"/>
        <v>16.247863181250001</v>
      </c>
      <c r="N343">
        <f t="shared" si="151"/>
        <v>20.3098289765625</v>
      </c>
      <c r="O343">
        <f t="shared" si="151"/>
        <v>24.371794771875003</v>
      </c>
      <c r="P343">
        <f t="shared" si="151"/>
        <v>32.495726362500001</v>
      </c>
      <c r="Q343">
        <f t="shared" si="151"/>
        <v>40.619657953124999</v>
      </c>
    </row>
    <row r="344" spans="2:17" x14ac:dyDescent="0.2">
      <c r="C344">
        <f t="shared" ref="C344:Q346" si="152">C288*25/1000</f>
        <v>0.38482142857142854</v>
      </c>
      <c r="D344">
        <f t="shared" si="152"/>
        <v>0.65535714285714286</v>
      </c>
      <c r="E344">
        <f t="shared" si="152"/>
        <v>1.1178571428571429</v>
      </c>
      <c r="F344">
        <f t="shared" si="152"/>
        <v>1.5885714285714287</v>
      </c>
      <c r="G344">
        <f t="shared" si="152"/>
        <v>2.4478571428571425</v>
      </c>
      <c r="H344">
        <f t="shared" si="152"/>
        <v>4.2535714285714281</v>
      </c>
      <c r="I344">
        <f t="shared" si="152"/>
        <v>5.4357142857142851</v>
      </c>
      <c r="J344">
        <f t="shared" si="152"/>
        <v>7.25</v>
      </c>
      <c r="K344">
        <f t="shared" si="152"/>
        <v>9.9535714285714292</v>
      </c>
      <c r="L344">
        <f t="shared" si="152"/>
        <v>14.532142857142858</v>
      </c>
      <c r="M344">
        <f t="shared" si="152"/>
        <v>19.892857142857142</v>
      </c>
      <c r="N344">
        <f t="shared" si="152"/>
        <v>24.475000000000001</v>
      </c>
      <c r="O344">
        <f t="shared" si="152"/>
        <v>29.060714285714283</v>
      </c>
      <c r="P344">
        <f t="shared" si="152"/>
        <v>34.521428571428572</v>
      </c>
      <c r="Q344">
        <f t="shared" si="152"/>
        <v>39</v>
      </c>
    </row>
    <row r="345" spans="2:17" x14ac:dyDescent="0.2">
      <c r="C345">
        <f>C289*25/1000</f>
        <v>6.5625000000000003E-2</v>
      </c>
      <c r="D345">
        <f t="shared" si="152"/>
        <v>9.8437499999999997E-2</v>
      </c>
      <c r="E345">
        <f t="shared" si="152"/>
        <v>0.67</v>
      </c>
      <c r="F345">
        <f t="shared" si="152"/>
        <v>0.67</v>
      </c>
      <c r="G345">
        <f t="shared" si="152"/>
        <v>0.67</v>
      </c>
      <c r="H345">
        <f t="shared" si="152"/>
        <v>0.67</v>
      </c>
      <c r="I345">
        <f t="shared" si="152"/>
        <v>0.67</v>
      </c>
      <c r="J345">
        <f t="shared" si="152"/>
        <v>1.11625</v>
      </c>
      <c r="K345">
        <f t="shared" si="152"/>
        <v>1.11625</v>
      </c>
      <c r="L345">
        <f t="shared" si="152"/>
        <v>1.11625</v>
      </c>
      <c r="M345">
        <f t="shared" si="152"/>
        <v>1.11625</v>
      </c>
      <c r="N345">
        <f t="shared" si="152"/>
        <v>1.11625</v>
      </c>
      <c r="O345">
        <f t="shared" si="152"/>
        <v>0.390625</v>
      </c>
      <c r="P345">
        <f t="shared" si="152"/>
        <v>0.49375000000000002</v>
      </c>
      <c r="Q345">
        <f t="shared" si="152"/>
        <v>0.49375000000000002</v>
      </c>
    </row>
    <row r="346" spans="2:17" x14ac:dyDescent="0.2">
      <c r="C346">
        <f>C290*25/1000</f>
        <v>0.55948435310458589</v>
      </c>
      <c r="D346">
        <f t="shared" si="152"/>
        <v>1.1189687062091718</v>
      </c>
      <c r="E346">
        <f t="shared" si="152"/>
        <v>6.9003070216232274</v>
      </c>
      <c r="F346">
        <f t="shared" si="152"/>
        <v>6.9003070216232274</v>
      </c>
      <c r="G346">
        <f t="shared" si="152"/>
        <v>6.9003070216232274</v>
      </c>
      <c r="H346">
        <f t="shared" si="152"/>
        <v>6.9003070216232274</v>
      </c>
      <c r="I346">
        <f t="shared" si="152"/>
        <v>6.9003070216232274</v>
      </c>
      <c r="J346">
        <f t="shared" si="152"/>
        <v>7.4597913747278124</v>
      </c>
      <c r="K346">
        <f t="shared" si="152"/>
        <v>7.4597913747278124</v>
      </c>
      <c r="L346">
        <f t="shared" si="152"/>
        <v>11.189687062091719</v>
      </c>
      <c r="M346">
        <f t="shared" si="152"/>
        <v>11.189687062091719</v>
      </c>
      <c r="N346">
        <f t="shared" si="152"/>
        <v>11.189687062091719</v>
      </c>
      <c r="O346">
        <f t="shared" si="152"/>
        <v>20.514426280501485</v>
      </c>
      <c r="P346">
        <f t="shared" si="152"/>
        <v>41.028852561002971</v>
      </c>
      <c r="Q346">
        <f t="shared" si="152"/>
        <v>41.028852561002971</v>
      </c>
    </row>
    <row r="350" spans="2:17" x14ac:dyDescent="0.2">
      <c r="B350" t="s">
        <v>403</v>
      </c>
      <c r="C350">
        <f>C342+C344+C345</f>
        <v>1.194779761904762</v>
      </c>
      <c r="D350">
        <f t="shared" ref="D350:Q350" si="153">D342+D344+D345</f>
        <v>1.4981279761904762</v>
      </c>
      <c r="E350">
        <f t="shared" si="153"/>
        <v>2.5321904761904763</v>
      </c>
      <c r="F350">
        <f t="shared" si="153"/>
        <v>3.002904761904762</v>
      </c>
      <c r="G350">
        <f t="shared" si="153"/>
        <v>3.862190476190476</v>
      </c>
      <c r="H350">
        <f t="shared" si="153"/>
        <v>5.6679047619047616</v>
      </c>
      <c r="I350">
        <f t="shared" si="153"/>
        <v>6.8500476190476185</v>
      </c>
      <c r="J350">
        <f t="shared" si="153"/>
        <v>9.1105833333333344</v>
      </c>
      <c r="K350">
        <f t="shared" si="153"/>
        <v>11.814154761904764</v>
      </c>
      <c r="L350">
        <f t="shared" si="153"/>
        <v>16.392726190476193</v>
      </c>
      <c r="M350">
        <f t="shared" si="153"/>
        <v>21.753440476190477</v>
      </c>
      <c r="N350">
        <f t="shared" si="153"/>
        <v>26.335583333333336</v>
      </c>
      <c r="O350">
        <f t="shared" si="153"/>
        <v>30.195672619047617</v>
      </c>
      <c r="P350">
        <f t="shared" si="153"/>
        <v>35.759511904761901</v>
      </c>
      <c r="Q350">
        <f t="shared" si="153"/>
        <v>40.238083333333329</v>
      </c>
    </row>
    <row r="365" spans="3:17" x14ac:dyDescent="0.2">
      <c r="C365">
        <v>8.123931590625002</v>
      </c>
      <c r="D365">
        <v>16.247863181250004</v>
      </c>
      <c r="E365">
        <v>32.495726362500008</v>
      </c>
      <c r="F365">
        <v>48.743589543749998</v>
      </c>
      <c r="G365">
        <v>81.239315906249999</v>
      </c>
      <c r="H365">
        <v>121.85897385937501</v>
      </c>
      <c r="I365">
        <v>162.4786318125</v>
      </c>
      <c r="J365">
        <v>243.71794771875003</v>
      </c>
      <c r="K365">
        <v>324.957263625</v>
      </c>
      <c r="L365">
        <v>487.43589543750005</v>
      </c>
      <c r="M365">
        <v>649.91452724999999</v>
      </c>
      <c r="N365">
        <v>812.39315906249999</v>
      </c>
      <c r="O365">
        <v>974.8717908750001</v>
      </c>
      <c r="P365">
        <v>1299.8290545</v>
      </c>
      <c r="Q365">
        <v>1624.786318125</v>
      </c>
    </row>
    <row r="366" spans="3:17" x14ac:dyDescent="0.2">
      <c r="C366">
        <v>2.8953351514442966E-2</v>
      </c>
      <c r="D366">
        <v>5.7906703028885932E-2</v>
      </c>
      <c r="E366">
        <v>0.11581340605777186</v>
      </c>
      <c r="F366">
        <v>0.17372010908665778</v>
      </c>
      <c r="G366">
        <v>0.28953351514442965</v>
      </c>
      <c r="H366">
        <v>0.43430027271664445</v>
      </c>
      <c r="I366">
        <v>0.57906703028885931</v>
      </c>
      <c r="J366">
        <v>0.86860054543328891</v>
      </c>
      <c r="K366">
        <v>1.1581340605777186</v>
      </c>
      <c r="L366">
        <v>1.7372010908665778</v>
      </c>
      <c r="M366">
        <v>2.3162681211554372</v>
      </c>
      <c r="N366">
        <v>2.8953351514442964</v>
      </c>
      <c r="O366">
        <v>3.4744021817331556</v>
      </c>
      <c r="P366">
        <v>4.6325362423108745</v>
      </c>
      <c r="Q366">
        <v>5.7906703028885929</v>
      </c>
    </row>
    <row r="368" spans="3:17" x14ac:dyDescent="0.2">
      <c r="C368">
        <f>C365+C366</f>
        <v>8.1528849421394458</v>
      </c>
      <c r="D368">
        <f t="shared" ref="D368:Q368" si="154">D365+D366</f>
        <v>16.305769884278892</v>
      </c>
      <c r="E368">
        <f t="shared" si="154"/>
        <v>32.611539768557783</v>
      </c>
      <c r="F368">
        <f t="shared" si="154"/>
        <v>48.917309652836657</v>
      </c>
      <c r="G368">
        <f t="shared" si="154"/>
        <v>81.528849421394426</v>
      </c>
      <c r="H368">
        <f t="shared" si="154"/>
        <v>122.29327413209165</v>
      </c>
      <c r="I368">
        <f t="shared" si="154"/>
        <v>163.05769884278885</v>
      </c>
      <c r="J368">
        <f t="shared" si="154"/>
        <v>244.58654826418331</v>
      </c>
      <c r="K368">
        <f t="shared" si="154"/>
        <v>326.1153976855777</v>
      </c>
      <c r="L368">
        <f t="shared" si="154"/>
        <v>489.17309652836661</v>
      </c>
      <c r="M368">
        <f t="shared" si="154"/>
        <v>652.23079537115541</v>
      </c>
      <c r="N368">
        <f t="shared" si="154"/>
        <v>815.28849421394432</v>
      </c>
      <c r="O368">
        <f t="shared" si="154"/>
        <v>978.34619305673323</v>
      </c>
      <c r="P368">
        <f t="shared" si="154"/>
        <v>1304.4615907423108</v>
      </c>
      <c r="Q368">
        <f t="shared" si="154"/>
        <v>1630.5769884278886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71839-242E-463A-8D97-159A8D75B911}">
  <sheetPr>
    <tabColor theme="7"/>
  </sheetPr>
  <dimension ref="B2:AH248"/>
  <sheetViews>
    <sheetView topLeftCell="A174" zoomScale="85" zoomScaleNormal="85" workbookViewId="0">
      <selection activeCell="E217" sqref="E217"/>
    </sheetView>
  </sheetViews>
  <sheetFormatPr defaultRowHeight="14.25" x14ac:dyDescent="0.2"/>
  <cols>
    <col min="2" max="2" width="18" customWidth="1"/>
  </cols>
  <sheetData>
    <row r="2" spans="2:17" x14ac:dyDescent="0.2">
      <c r="B2" t="s">
        <v>244</v>
      </c>
    </row>
    <row r="3" spans="2:17" x14ac:dyDescent="0.2">
      <c r="B3" t="s">
        <v>89</v>
      </c>
      <c r="C3">
        <v>5</v>
      </c>
      <c r="D3">
        <v>10</v>
      </c>
      <c r="E3">
        <v>20</v>
      </c>
      <c r="F3">
        <v>30</v>
      </c>
      <c r="G3">
        <v>50</v>
      </c>
      <c r="H3">
        <v>75</v>
      </c>
      <c r="I3">
        <v>100</v>
      </c>
      <c r="J3">
        <v>150</v>
      </c>
      <c r="K3">
        <v>200</v>
      </c>
      <c r="L3">
        <v>300</v>
      </c>
      <c r="M3">
        <v>400</v>
      </c>
      <c r="N3">
        <v>500</v>
      </c>
      <c r="O3">
        <v>600</v>
      </c>
      <c r="P3">
        <v>800</v>
      </c>
      <c r="Q3">
        <v>1000</v>
      </c>
    </row>
    <row r="4" spans="2:17" x14ac:dyDescent="0.2">
      <c r="B4" t="s">
        <v>30</v>
      </c>
      <c r="C4">
        <v>27.500000000000004</v>
      </c>
      <c r="D4">
        <v>55.451000000000001</v>
      </c>
      <c r="E4">
        <v>110.00000000000001</v>
      </c>
      <c r="F4">
        <v>166.41899999999998</v>
      </c>
      <c r="G4">
        <v>278.09100000000001</v>
      </c>
      <c r="H4">
        <v>413.99600000000009</v>
      </c>
      <c r="I4">
        <v>551.93600000000015</v>
      </c>
      <c r="J4">
        <v>827.99200000000019</v>
      </c>
      <c r="K4">
        <v>1103.8720000000003</v>
      </c>
      <c r="L4">
        <v>1655.8080000000004</v>
      </c>
      <c r="M4">
        <v>2207.7440000000006</v>
      </c>
      <c r="N4">
        <v>2750</v>
      </c>
      <c r="O4">
        <v>3301.3750000000005</v>
      </c>
      <c r="P4">
        <v>3865.2240000000011</v>
      </c>
      <c r="Q4">
        <v>4435.2</v>
      </c>
    </row>
    <row r="5" spans="2:17" x14ac:dyDescent="0.2">
      <c r="B5" t="s">
        <v>55</v>
      </c>
      <c r="C5">
        <v>33.5</v>
      </c>
      <c r="D5">
        <v>63.5</v>
      </c>
      <c r="E5">
        <v>122</v>
      </c>
      <c r="F5">
        <v>179.7</v>
      </c>
      <c r="G5">
        <v>294</v>
      </c>
      <c r="H5">
        <v>435.8</v>
      </c>
      <c r="I5">
        <v>576.9</v>
      </c>
      <c r="J5">
        <v>874.55200000000013</v>
      </c>
      <c r="K5">
        <v>1157.6320000000003</v>
      </c>
      <c r="L5">
        <v>1736.4480000000003</v>
      </c>
      <c r="M5">
        <v>2315.2640000000006</v>
      </c>
      <c r="N5">
        <v>2870</v>
      </c>
      <c r="O5">
        <v>3448.3750000000005</v>
      </c>
      <c r="P5">
        <v>4039.4640000000009</v>
      </c>
      <c r="Q5">
        <v>4636.8</v>
      </c>
    </row>
    <row r="6" spans="2:17" x14ac:dyDescent="0.2">
      <c r="B6" t="s">
        <v>183</v>
      </c>
      <c r="C6">
        <v>33.5</v>
      </c>
      <c r="D6">
        <v>63.5</v>
      </c>
      <c r="E6">
        <v>122</v>
      </c>
      <c r="F6">
        <v>179.7</v>
      </c>
      <c r="G6">
        <v>294</v>
      </c>
      <c r="H6">
        <v>435.8</v>
      </c>
      <c r="I6">
        <v>576.9</v>
      </c>
      <c r="J6">
        <v>874.55200000000013</v>
      </c>
      <c r="K6">
        <v>1157.6320000000003</v>
      </c>
      <c r="L6">
        <v>1736.4480000000003</v>
      </c>
      <c r="M6">
        <v>2315.2640000000006</v>
      </c>
      <c r="N6">
        <v>2870</v>
      </c>
      <c r="O6">
        <v>3448.3750000000005</v>
      </c>
      <c r="P6">
        <v>4039.4640000000009</v>
      </c>
      <c r="Q6">
        <v>4636.8</v>
      </c>
    </row>
    <row r="7" spans="2:17" x14ac:dyDescent="0.2">
      <c r="B7" t="s">
        <v>185</v>
      </c>
      <c r="C7">
        <v>5.6666666666666661</v>
      </c>
      <c r="D7">
        <v>11.426266666666667</v>
      </c>
      <c r="E7">
        <v>22.666666666666664</v>
      </c>
      <c r="F7">
        <v>34.292399999999994</v>
      </c>
      <c r="G7">
        <v>57.303600000000003</v>
      </c>
      <c r="H7">
        <v>85.308266666666682</v>
      </c>
      <c r="I7">
        <v>113.7322666666667</v>
      </c>
      <c r="J7">
        <v>234.59773333333339</v>
      </c>
      <c r="K7">
        <v>312.76373333333339</v>
      </c>
      <c r="L7">
        <v>469.14560000000012</v>
      </c>
      <c r="M7">
        <v>625.52746666666678</v>
      </c>
      <c r="N7">
        <v>779.16666666666663</v>
      </c>
      <c r="O7">
        <v>935.38958333333346</v>
      </c>
      <c r="P7">
        <v>1095.1468000000002</v>
      </c>
      <c r="Q7">
        <v>1256.6399999999999</v>
      </c>
    </row>
    <row r="8" spans="2:17" x14ac:dyDescent="0.2">
      <c r="B8" t="s">
        <v>245</v>
      </c>
      <c r="C8">
        <v>7.3333333333333339</v>
      </c>
      <c r="D8">
        <v>14.786933333333335</v>
      </c>
      <c r="E8">
        <v>29.333333333333336</v>
      </c>
      <c r="F8">
        <v>44.378399999999999</v>
      </c>
      <c r="G8">
        <v>74.157600000000016</v>
      </c>
      <c r="H8">
        <v>110.39893333333337</v>
      </c>
      <c r="I8">
        <v>147.18293333333338</v>
      </c>
      <c r="J8">
        <v>303.59706666666676</v>
      </c>
      <c r="K8">
        <v>404.75306666666683</v>
      </c>
      <c r="L8">
        <v>607.12960000000021</v>
      </c>
      <c r="M8">
        <v>809.50613333333365</v>
      </c>
      <c r="N8">
        <v>1008.3333333333334</v>
      </c>
      <c r="O8">
        <v>1210.5041666666668</v>
      </c>
      <c r="P8">
        <v>1417.2488000000005</v>
      </c>
      <c r="Q8">
        <v>1626.24</v>
      </c>
    </row>
    <row r="9" spans="2:17" x14ac:dyDescent="0.2">
      <c r="B9" t="s">
        <v>246</v>
      </c>
      <c r="C9">
        <v>3</v>
      </c>
      <c r="D9">
        <v>6.0491999999999999</v>
      </c>
      <c r="E9">
        <v>12</v>
      </c>
      <c r="F9">
        <v>18.154799999999998</v>
      </c>
      <c r="G9">
        <v>30.337200000000003</v>
      </c>
      <c r="H9">
        <v>45.16320000000001</v>
      </c>
      <c r="I9">
        <v>60.211200000000019</v>
      </c>
      <c r="J9">
        <v>124.19880000000002</v>
      </c>
      <c r="K9">
        <v>165.58080000000004</v>
      </c>
      <c r="L9">
        <v>248.37120000000004</v>
      </c>
      <c r="M9">
        <v>331.16160000000008</v>
      </c>
      <c r="N9">
        <v>412.5</v>
      </c>
      <c r="O9">
        <v>495.20625000000007</v>
      </c>
      <c r="P9">
        <v>579.78360000000009</v>
      </c>
      <c r="Q9">
        <v>665.28</v>
      </c>
    </row>
    <row r="11" spans="2:17" ht="15" x14ac:dyDescent="0.25">
      <c r="B11" s="30" t="s">
        <v>192</v>
      </c>
    </row>
    <row r="12" spans="2:17" x14ac:dyDescent="0.2">
      <c r="B12" t="s">
        <v>247</v>
      </c>
    </row>
    <row r="13" spans="2:17" x14ac:dyDescent="0.2">
      <c r="B13" t="s">
        <v>194</v>
      </c>
      <c r="C13">
        <v>30.5</v>
      </c>
      <c r="D13">
        <v>57.068542494923804</v>
      </c>
      <c r="E13">
        <v>100.5</v>
      </c>
      <c r="F13">
        <v>147.46938456699067</v>
      </c>
      <c r="G13">
        <v>237.67082451262846</v>
      </c>
      <c r="H13">
        <v>349.06850115866752</v>
      </c>
      <c r="I13">
        <v>447.71359549995793</v>
      </c>
      <c r="J13">
        <v>699.40000000000009</v>
      </c>
      <c r="K13">
        <v>897.00000000000011</v>
      </c>
      <c r="L13">
        <v>1345.5000000000002</v>
      </c>
      <c r="M13">
        <v>1794.0000000000002</v>
      </c>
      <c r="N13">
        <v>1794.0000000000002</v>
      </c>
      <c r="O13">
        <v>2752.5</v>
      </c>
      <c r="P13">
        <v>3237</v>
      </c>
      <c r="Q13">
        <v>3730.3000000000006</v>
      </c>
    </row>
    <row r="14" spans="2:17" x14ac:dyDescent="0.2">
      <c r="B14" t="s">
        <v>248</v>
      </c>
      <c r="C14">
        <v>5</v>
      </c>
      <c r="D14">
        <v>9</v>
      </c>
      <c r="E14">
        <v>13</v>
      </c>
      <c r="F14">
        <v>17</v>
      </c>
      <c r="G14">
        <v>23</v>
      </c>
      <c r="H14">
        <v>29</v>
      </c>
      <c r="I14">
        <v>33</v>
      </c>
      <c r="J14">
        <v>58</v>
      </c>
      <c r="K14">
        <v>66</v>
      </c>
      <c r="L14">
        <v>99</v>
      </c>
      <c r="M14">
        <v>132</v>
      </c>
      <c r="N14">
        <v>132</v>
      </c>
      <c r="O14">
        <v>185</v>
      </c>
      <c r="P14">
        <v>222</v>
      </c>
      <c r="Q14">
        <v>259</v>
      </c>
    </row>
    <row r="15" spans="2:17" x14ac:dyDescent="0.2">
      <c r="B15" t="s">
        <v>249</v>
      </c>
      <c r="C15">
        <v>5</v>
      </c>
      <c r="D15">
        <v>5</v>
      </c>
      <c r="E15">
        <v>5</v>
      </c>
      <c r="F15">
        <v>5</v>
      </c>
      <c r="G15">
        <v>5</v>
      </c>
      <c r="H15">
        <v>5</v>
      </c>
      <c r="I15">
        <v>5</v>
      </c>
      <c r="J15">
        <v>10</v>
      </c>
      <c r="K15">
        <v>10</v>
      </c>
      <c r="L15">
        <v>15</v>
      </c>
      <c r="M15">
        <v>20</v>
      </c>
      <c r="N15">
        <v>20</v>
      </c>
      <c r="O15">
        <v>25</v>
      </c>
      <c r="P15">
        <v>30</v>
      </c>
      <c r="Q15">
        <v>35</v>
      </c>
    </row>
    <row r="16" spans="2:17" x14ac:dyDescent="0.2">
      <c r="B16" t="s">
        <v>250</v>
      </c>
    </row>
    <row r="17" spans="2:17" x14ac:dyDescent="0.2">
      <c r="B17" t="s">
        <v>194</v>
      </c>
      <c r="C17">
        <v>28.6</v>
      </c>
      <c r="D17">
        <v>54.897474683058327</v>
      </c>
      <c r="E17">
        <v>97.2</v>
      </c>
      <c r="F17">
        <v>143.7219358530748</v>
      </c>
      <c r="G17">
        <v>233.05943621178653</v>
      </c>
      <c r="H17">
        <v>343.60358442763038</v>
      </c>
      <c r="I17">
        <v>441.05291572496003</v>
      </c>
      <c r="J17">
        <v>1338</v>
      </c>
      <c r="K17">
        <v>1722.4</v>
      </c>
      <c r="L17">
        <v>2583.6000000000004</v>
      </c>
      <c r="M17">
        <v>3444.8</v>
      </c>
      <c r="N17">
        <v>4244</v>
      </c>
      <c r="O17">
        <v>5202.5</v>
      </c>
      <c r="P17">
        <v>6018.6</v>
      </c>
      <c r="Q17">
        <v>6965.7</v>
      </c>
    </row>
    <row r="18" spans="2:17" x14ac:dyDescent="0.2">
      <c r="B18" t="s">
        <v>248</v>
      </c>
      <c r="C18">
        <v>2</v>
      </c>
      <c r="D18">
        <v>4</v>
      </c>
      <c r="E18">
        <v>6</v>
      </c>
      <c r="F18">
        <v>8</v>
      </c>
      <c r="G18">
        <v>11</v>
      </c>
      <c r="H18">
        <v>14</v>
      </c>
      <c r="I18">
        <v>16</v>
      </c>
      <c r="J18">
        <v>60</v>
      </c>
      <c r="K18">
        <v>68</v>
      </c>
      <c r="L18">
        <v>102</v>
      </c>
      <c r="M18">
        <v>136</v>
      </c>
      <c r="N18">
        <v>152</v>
      </c>
      <c r="O18">
        <v>190</v>
      </c>
      <c r="P18">
        <v>222</v>
      </c>
      <c r="Q18">
        <v>259</v>
      </c>
    </row>
    <row r="19" spans="2:17" x14ac:dyDescent="0.2">
      <c r="B19" t="s">
        <v>249</v>
      </c>
      <c r="C19">
        <v>6</v>
      </c>
      <c r="D19">
        <v>8</v>
      </c>
      <c r="E19">
        <v>10</v>
      </c>
      <c r="F19">
        <v>12</v>
      </c>
      <c r="G19">
        <v>15</v>
      </c>
      <c r="H19">
        <v>18</v>
      </c>
      <c r="I19">
        <v>20</v>
      </c>
      <c r="J19">
        <v>68</v>
      </c>
      <c r="K19">
        <v>76</v>
      </c>
      <c r="L19">
        <v>114</v>
      </c>
      <c r="M19">
        <v>152</v>
      </c>
      <c r="N19">
        <v>168</v>
      </c>
      <c r="O19">
        <v>210</v>
      </c>
      <c r="P19">
        <v>246</v>
      </c>
      <c r="Q19">
        <v>287</v>
      </c>
    </row>
    <row r="20" spans="2:17" x14ac:dyDescent="0.2">
      <c r="B20" t="s">
        <v>198</v>
      </c>
      <c r="C20">
        <v>2</v>
      </c>
      <c r="D20">
        <v>2</v>
      </c>
      <c r="E20">
        <v>2</v>
      </c>
      <c r="F20">
        <v>2</v>
      </c>
      <c r="G20">
        <v>2</v>
      </c>
      <c r="H20">
        <v>2</v>
      </c>
      <c r="I20">
        <v>2</v>
      </c>
      <c r="J20">
        <v>4</v>
      </c>
      <c r="K20">
        <v>4</v>
      </c>
      <c r="L20">
        <v>6</v>
      </c>
      <c r="M20">
        <v>8</v>
      </c>
      <c r="N20">
        <v>8</v>
      </c>
      <c r="O20">
        <v>10</v>
      </c>
      <c r="P20">
        <v>12</v>
      </c>
      <c r="Q20">
        <v>14</v>
      </c>
    </row>
    <row r="21" spans="2:17" x14ac:dyDescent="0.2">
      <c r="B21" t="s">
        <v>251</v>
      </c>
      <c r="C21">
        <v>16</v>
      </c>
      <c r="D21">
        <v>34</v>
      </c>
      <c r="E21">
        <v>64</v>
      </c>
      <c r="F21">
        <v>98</v>
      </c>
      <c r="G21">
        <v>165</v>
      </c>
      <c r="H21">
        <v>248</v>
      </c>
      <c r="I21">
        <v>322</v>
      </c>
      <c r="J21">
        <v>498</v>
      </c>
      <c r="K21">
        <v>646</v>
      </c>
      <c r="L21">
        <v>969</v>
      </c>
      <c r="M21">
        <v>1292</v>
      </c>
      <c r="N21">
        <v>1600</v>
      </c>
      <c r="O21">
        <v>1960</v>
      </c>
      <c r="P21">
        <v>2328</v>
      </c>
      <c r="Q21">
        <v>2688</v>
      </c>
    </row>
    <row r="24" spans="2:17" x14ac:dyDescent="0.2">
      <c r="B24" t="s">
        <v>255</v>
      </c>
      <c r="C24">
        <f>C13*Conversions!$C$48+'VF '!C14*Conversions!$C$50+'VF '!C15*Conversions!$C$51</f>
        <v>6.7600000000000007</v>
      </c>
      <c r="D24">
        <f>D13*Conversions!$C$48+'VF '!D14*Conversions!$C$50+'VF '!D15*Conversions!$C$51</f>
        <v>12.361708498984761</v>
      </c>
      <c r="E24">
        <f>E13*Conversions!$C$48+'VF '!E14*Conversions!$C$50+'VF '!E15*Conversions!$C$51</f>
        <v>21.336000000000002</v>
      </c>
      <c r="F24">
        <f>F13*Conversions!$C$48+'VF '!F14*Conversions!$C$50+'VF '!F15*Conversions!$C$51</f>
        <v>31.017876913398137</v>
      </c>
      <c r="G24">
        <f>G13*Conversions!$C$48+'VF '!G14*Conversions!$C$50+'VF '!G15*Conversions!$C$51</f>
        <v>49.490164902525692</v>
      </c>
      <c r="H24">
        <f>H13*Conversions!$C$48+'VF '!H14*Conversions!$C$50+'VF '!H15*Conversions!$C$51</f>
        <v>72.201700231733497</v>
      </c>
      <c r="I24">
        <f>I13*Conversions!$C$48+'VF '!I14*Conversions!$C$50+'VF '!I15*Conversions!$C$51</f>
        <v>92.218719099991588</v>
      </c>
      <c r="J24">
        <f>J13*Conversions!$C$48+'VF '!J14*Conversions!$C$50+'VF '!J15*Conversions!$C$51</f>
        <v>144.65600000000001</v>
      </c>
      <c r="K24">
        <f>K13*Conversions!$C$48+'VF '!K14*Conversions!$C$50+'VF '!K15*Conversions!$C$51</f>
        <v>184.75200000000004</v>
      </c>
      <c r="L24">
        <f>L13*Conversions!$C$48+'VF '!L14*Conversions!$C$50+'VF '!L15*Conversions!$C$51</f>
        <v>277.12800000000004</v>
      </c>
      <c r="M24">
        <f>M13*Conversions!$C$48+'VF '!M14*Conversions!$C$50+'VF '!M15*Conversions!$C$51</f>
        <v>369.50400000000008</v>
      </c>
      <c r="N24">
        <f>N13*Conversions!$C$48+'VF '!N14*Conversions!$C$50+'VF '!N15*Conversions!$C$51</f>
        <v>369.50400000000008</v>
      </c>
      <c r="O24">
        <f>O13*Conversions!$C$48+'VF '!O14*Conversions!$C$50+'VF '!O15*Conversions!$C$51</f>
        <v>565.32000000000005</v>
      </c>
      <c r="P24">
        <f>P13*Conversions!$C$48+'VF '!P14*Conversions!$C$50+'VF '!P15*Conversions!$C$51</f>
        <v>665.18400000000008</v>
      </c>
      <c r="Q24">
        <f>Q13*Conversions!$C$48+'VF '!Q14*Conversions!$C$50+'VF '!Q15*Conversions!$C$51</f>
        <v>766.80800000000022</v>
      </c>
    </row>
    <row r="26" spans="2:17" x14ac:dyDescent="0.2">
      <c r="B26" t="s">
        <v>256</v>
      </c>
      <c r="C26">
        <f>C17*Conversions!$C$32+'VF '!C18*Conversions!$C$34+'VF '!C19*Conversions!$C$35+'VF '!C20*Conversions!$C$36</f>
        <v>169.41000000000003</v>
      </c>
      <c r="D26">
        <f>D17*Conversions!$C$32+'VF '!D18*Conversions!$C$34+'VF '!D19*Conversions!$C$35+'VF '!D20*Conversions!$C$36</f>
        <v>322.33560569343251</v>
      </c>
      <c r="E26">
        <f>E17*Conversions!$C$32+'VF '!E18*Conversions!$C$34+'VF '!E19*Conversions!$C$35+'VF '!E20*Conversions!$C$36</f>
        <v>566.49000000000012</v>
      </c>
      <c r="F26">
        <f>F17*Conversions!$C$32+'VF '!F18*Conversions!$C$34+'VF '!F19*Conversions!$C$35+'VF '!F20*Conversions!$C$36</f>
        <v>834.69503436252648</v>
      </c>
      <c r="G26">
        <f>G17*Conversions!$C$32+'VF '!G18*Conversions!$C$34+'VF '!G19*Conversions!$C$35+'VF '!G20*Conversions!$C$36</f>
        <v>1348.4637864071833</v>
      </c>
      <c r="H26">
        <f>H17*Conversions!$C$32+'VF '!H18*Conversions!$C$34+'VF '!H19*Conversions!$C$35+'VF '!H20*Conversions!$C$36</f>
        <v>1983.1104312374932</v>
      </c>
      <c r="I26">
        <f>I17*Conversions!$C$32+'VF '!I18*Conversions!$C$34+'VF '!I19*Conversions!$C$35+'VF '!I20*Conversions!$C$36</f>
        <v>2541.6016196322721</v>
      </c>
      <c r="J26">
        <f>J17*Conversions!$C$32+'VF '!J18*Conversions!$C$34+'VF '!J19*Conversions!$C$35+'VF '!J20*Conversions!$C$36</f>
        <v>7724.22</v>
      </c>
      <c r="K26">
        <f>K17*Conversions!$C$32+'VF '!K18*Conversions!$C$34+'VF '!K19*Conversions!$C$35+'VF '!K20*Conversions!$C$36</f>
        <v>9927.42</v>
      </c>
      <c r="L26">
        <f>L17*Conversions!$C$32+'VF '!L18*Conversions!$C$34+'VF '!L19*Conversions!$C$35+'VF '!L20*Conversions!$C$36</f>
        <v>14891.130000000001</v>
      </c>
      <c r="M26">
        <f>M17*Conversions!$C$32+'VF '!M18*Conversions!$C$34+'VF '!M19*Conversions!$C$35+'VF '!M20*Conversions!$C$36</f>
        <v>19854.84</v>
      </c>
      <c r="N26">
        <f>N17*Conversions!$C$32+'VF '!N18*Conversions!$C$34+'VF '!N19*Conversions!$C$35+'VF '!N20*Conversions!$C$36</f>
        <v>24434.52</v>
      </c>
      <c r="O26">
        <f>O17*Conversions!$C$32+'VF '!O18*Conversions!$C$34+'VF '!O19*Conversions!$C$35+'VF '!O20*Conversions!$C$36</f>
        <v>29958.899999999998</v>
      </c>
      <c r="P26">
        <f>P17*Conversions!$C$32+'VF '!P18*Conversions!$C$34+'VF '!P19*Conversions!$C$35+'VF '!P20*Conversions!$C$36</f>
        <v>34662.51</v>
      </c>
      <c r="Q26">
        <f>Q17*Conversions!$C$32+'VF '!Q18*Conversions!$C$34+'VF '!Q19*Conversions!$C$35+'VF '!Q20*Conversions!$C$36</f>
        <v>40120.394999999997</v>
      </c>
    </row>
    <row r="30" spans="2:17" x14ac:dyDescent="0.2">
      <c r="B30" t="s">
        <v>201</v>
      </c>
    </row>
    <row r="33" spans="2:17" x14ac:dyDescent="0.2">
      <c r="B33" t="s">
        <v>34</v>
      </c>
      <c r="C33">
        <f>C4</f>
        <v>27.500000000000004</v>
      </c>
      <c r="D33">
        <f t="shared" ref="D33:Q33" si="0">D4</f>
        <v>55.451000000000001</v>
      </c>
      <c r="E33">
        <f t="shared" si="0"/>
        <v>110.00000000000001</v>
      </c>
      <c r="F33">
        <f t="shared" si="0"/>
        <v>166.41899999999998</v>
      </c>
      <c r="G33">
        <f t="shared" si="0"/>
        <v>278.09100000000001</v>
      </c>
      <c r="H33">
        <f t="shared" si="0"/>
        <v>413.99600000000009</v>
      </c>
      <c r="I33">
        <f t="shared" si="0"/>
        <v>551.93600000000015</v>
      </c>
      <c r="J33">
        <f t="shared" si="0"/>
        <v>827.99200000000019</v>
      </c>
      <c r="K33">
        <f t="shared" si="0"/>
        <v>1103.8720000000003</v>
      </c>
      <c r="L33">
        <f t="shared" si="0"/>
        <v>1655.8080000000004</v>
      </c>
      <c r="M33">
        <f t="shared" si="0"/>
        <v>2207.7440000000006</v>
      </c>
      <c r="N33">
        <f t="shared" si="0"/>
        <v>2750</v>
      </c>
      <c r="O33">
        <f t="shared" si="0"/>
        <v>3301.3750000000005</v>
      </c>
      <c r="P33">
        <f t="shared" si="0"/>
        <v>3865.2240000000011</v>
      </c>
      <c r="Q33">
        <f t="shared" si="0"/>
        <v>4435.2</v>
      </c>
    </row>
    <row r="34" spans="2:17" x14ac:dyDescent="0.2">
      <c r="B34" t="s">
        <v>203</v>
      </c>
      <c r="C34">
        <f>(C7+C9)*Conversions!$B$16</f>
        <v>13216.666666666666</v>
      </c>
      <c r="D34">
        <f>(D7+D9)*Conversions!$B$16</f>
        <v>26650.086666666666</v>
      </c>
      <c r="E34">
        <f>(E7+E9)*Conversions!$B$16</f>
        <v>52866.666666666664</v>
      </c>
      <c r="F34">
        <f>(F7+F9)*Conversions!$B$16</f>
        <v>79981.98</v>
      </c>
      <c r="G34">
        <f>(G7+G9)*Conversions!$B$16</f>
        <v>133652.22000000003</v>
      </c>
      <c r="H34">
        <f>(H7+H9)*Conversions!$B$16</f>
        <v>198968.98666666669</v>
      </c>
      <c r="I34">
        <f>(I7+I9)*Conversions!$B$16</f>
        <v>265263.78666666674</v>
      </c>
      <c r="J34">
        <f>(J7+J9)*Conversions!$B$16</f>
        <v>547164.71333333349</v>
      </c>
      <c r="K34">
        <f>(K7+K9)*Conversions!$B$16</f>
        <v>729475.41333333345</v>
      </c>
      <c r="L34">
        <f>(L7+L9)*Conversions!$B$16</f>
        <v>1094213.1200000001</v>
      </c>
      <c r="M34">
        <f>(M7+M9)*Conversions!$B$16</f>
        <v>1458950.8266666669</v>
      </c>
      <c r="N34">
        <f>(N7+N9)*Conversions!$B$16</f>
        <v>1817291.6666666665</v>
      </c>
      <c r="O34">
        <f>(O7+O9)*Conversions!$B$16</f>
        <v>2181658.6458333335</v>
      </c>
      <c r="P34">
        <f>(P7+P9)*Conversions!$B$16</f>
        <v>2554268.8600000003</v>
      </c>
      <c r="Q34">
        <f>(Q7+Q9)*Conversions!$B$16</f>
        <v>2930927.9999999995</v>
      </c>
    </row>
    <row r="35" spans="2:17" x14ac:dyDescent="0.2">
      <c r="B35" t="s">
        <v>245</v>
      </c>
      <c r="C35">
        <f>C8*Conversions!$B$18</f>
        <v>11733.333333333334</v>
      </c>
      <c r="D35">
        <f>D8*Conversions!$B$18</f>
        <v>23659.093333333338</v>
      </c>
      <c r="E35">
        <f>E8*Conversions!$B$18</f>
        <v>46933.333333333336</v>
      </c>
      <c r="F35">
        <f>F8*Conversions!$B$18</f>
        <v>71005.440000000002</v>
      </c>
      <c r="G35">
        <f>G8*Conversions!$B$18</f>
        <v>118652.16000000003</v>
      </c>
      <c r="H35">
        <f>H8*Conversions!$B$18</f>
        <v>176638.29333333339</v>
      </c>
      <c r="I35">
        <f>I8*Conversions!$B$18</f>
        <v>235492.69333333342</v>
      </c>
      <c r="J35">
        <f>J8*Conversions!$B$18</f>
        <v>485755.30666666682</v>
      </c>
      <c r="K35">
        <f>K8*Conversions!$B$18</f>
        <v>647604.90666666697</v>
      </c>
      <c r="L35">
        <f>L8*Conversions!$B$18</f>
        <v>971407.36000000034</v>
      </c>
      <c r="M35">
        <f>M8*Conversions!$B$18</f>
        <v>1295209.8133333339</v>
      </c>
      <c r="N35">
        <f>N8*Conversions!$B$18</f>
        <v>1613333.3333333335</v>
      </c>
      <c r="O35">
        <f>O8*Conversions!$B$18</f>
        <v>1936806.666666667</v>
      </c>
      <c r="P35">
        <f>P8*Conversions!$B$18</f>
        <v>2267598.080000001</v>
      </c>
      <c r="Q35">
        <f>Q8*Conversions!$B$18</f>
        <v>2601984</v>
      </c>
    </row>
    <row r="36" spans="2:17" x14ac:dyDescent="0.2">
      <c r="B36" t="s">
        <v>205</v>
      </c>
      <c r="C36">
        <f>(C5)*Conversions!$C$21*Conversions!$C$23</f>
        <v>30.82</v>
      </c>
      <c r="D36">
        <f>(D5)*Conversions!$C$21*Conversions!$C$23</f>
        <v>58.42</v>
      </c>
      <c r="E36">
        <f>(E5)*Conversions!$C$21*Conversions!$C$23</f>
        <v>112.24</v>
      </c>
      <c r="F36">
        <f>(F5)*Conversions!$C$21*Conversions!$C$23</f>
        <v>165.32400000000001</v>
      </c>
      <c r="G36">
        <f>(G5)*Conversions!$C$21*Conversions!$C$23</f>
        <v>270.47999999999996</v>
      </c>
      <c r="H36">
        <f>(H5)*Conversions!$C$21*Conversions!$C$23</f>
        <v>400.93600000000004</v>
      </c>
      <c r="I36">
        <f>(I5)*Conversions!$C$21*Conversions!$C$23</f>
        <v>530.74799999999993</v>
      </c>
      <c r="J36">
        <f>(J5)*Conversions!$C$21*Conversions!$C$23</f>
        <v>804.58784000000014</v>
      </c>
      <c r="K36">
        <f>(K5)*Conversions!$C$21*Conversions!$C$23</f>
        <v>1065.0214400000002</v>
      </c>
      <c r="L36">
        <f>(L5)*Conversions!$C$21*Conversions!$C$23</f>
        <v>1597.5321600000004</v>
      </c>
      <c r="M36">
        <f>(M5)*Conversions!$C$21*Conversions!$C$23</f>
        <v>2130.0428800000004</v>
      </c>
      <c r="N36">
        <f>(N5)*Conversions!$C$21*Conversions!$C$23</f>
        <v>2640.4</v>
      </c>
      <c r="O36">
        <f>(O5)*Conversions!$C$21*Conversions!$C$23</f>
        <v>3172.5050000000006</v>
      </c>
      <c r="P36">
        <f>(P5)*Conversions!$C$21*Conversions!$C$23</f>
        <v>3716.3068800000005</v>
      </c>
      <c r="Q36">
        <f>(Q5)*Conversions!$C$21*Conversions!$C$23</f>
        <v>4265.8559999999998</v>
      </c>
    </row>
    <row r="37" spans="2:17" x14ac:dyDescent="0.2">
      <c r="B37" t="s">
        <v>238</v>
      </c>
      <c r="C37">
        <f>C6*Conversions!$C$27*Conversions!$C$29</f>
        <v>40.200000000000003</v>
      </c>
      <c r="D37">
        <f>D6*Conversions!$C$27*Conversions!$C$29</f>
        <v>76.2</v>
      </c>
      <c r="E37">
        <f>E6*Conversions!$C$27*Conversions!$C$29</f>
        <v>146.4</v>
      </c>
      <c r="F37">
        <f>F6*Conversions!$C$27*Conversions!$C$29</f>
        <v>215.64</v>
      </c>
      <c r="G37">
        <f>G6*Conversions!$C$27*Conversions!$C$29</f>
        <v>352.79999999999995</v>
      </c>
      <c r="H37">
        <f>H6*Conversions!$C$27*Conversions!$C$29</f>
        <v>522.96</v>
      </c>
      <c r="I37">
        <f>I6*Conversions!$C$27*Conversions!$C$29</f>
        <v>692.28</v>
      </c>
      <c r="J37">
        <f>J6*Conversions!$C$27*Conversions!$C$29</f>
        <v>1049.4624000000001</v>
      </c>
      <c r="K37">
        <f>K6*Conversions!$C$27*Conversions!$C$29</f>
        <v>1389.1584000000003</v>
      </c>
      <c r="L37">
        <f>L6*Conversions!$C$27*Conversions!$C$29</f>
        <v>2083.7376000000004</v>
      </c>
      <c r="M37">
        <f>M6*Conversions!$C$27*Conversions!$C$29</f>
        <v>2778.3168000000005</v>
      </c>
      <c r="N37">
        <f>N6*Conversions!$C$27*Conversions!$C$29</f>
        <v>3444</v>
      </c>
      <c r="O37">
        <f>O6*Conversions!$C$27*Conversions!$C$29</f>
        <v>4138.05</v>
      </c>
      <c r="P37">
        <f>P6*Conversions!$C$27*Conversions!$C$29</f>
        <v>4847.3568000000005</v>
      </c>
      <c r="Q37">
        <f>Q6*Conversions!$C$27*Conversions!$C$29</f>
        <v>5564.16</v>
      </c>
    </row>
    <row r="39" spans="2:17" x14ac:dyDescent="0.2">
      <c r="B39" t="s">
        <v>207</v>
      </c>
      <c r="C39">
        <f>C24+C26</f>
        <v>176.17000000000002</v>
      </c>
      <c r="D39">
        <f t="shared" ref="D39:Q39" si="1">D24+D26</f>
        <v>334.69731419241725</v>
      </c>
      <c r="E39">
        <f t="shared" si="1"/>
        <v>587.82600000000014</v>
      </c>
      <c r="F39">
        <f t="shared" si="1"/>
        <v>865.71291127592463</v>
      </c>
      <c r="G39">
        <f t="shared" si="1"/>
        <v>1397.9539513097091</v>
      </c>
      <c r="H39">
        <f t="shared" si="1"/>
        <v>2055.3121314692266</v>
      </c>
      <c r="I39">
        <f t="shared" si="1"/>
        <v>2633.8203387322637</v>
      </c>
      <c r="J39">
        <f t="shared" si="1"/>
        <v>7868.8760000000002</v>
      </c>
      <c r="K39">
        <f t="shared" si="1"/>
        <v>10112.172</v>
      </c>
      <c r="L39">
        <f t="shared" si="1"/>
        <v>15168.258000000002</v>
      </c>
      <c r="M39">
        <f t="shared" si="1"/>
        <v>20224.344000000001</v>
      </c>
      <c r="N39">
        <f t="shared" si="1"/>
        <v>24804.024000000001</v>
      </c>
      <c r="O39">
        <f t="shared" si="1"/>
        <v>30524.219999999998</v>
      </c>
      <c r="P39">
        <f t="shared" si="1"/>
        <v>35327.694000000003</v>
      </c>
      <c r="Q39">
        <f t="shared" si="1"/>
        <v>40887.202999999994</v>
      </c>
    </row>
    <row r="40" spans="2:17" x14ac:dyDescent="0.2">
      <c r="B40" t="s">
        <v>15</v>
      </c>
      <c r="C40">
        <f>C21*Conversions!$C$45</f>
        <v>368</v>
      </c>
      <c r="D40">
        <f>D21*Conversions!$C$45</f>
        <v>782</v>
      </c>
      <c r="E40">
        <f>E21*Conversions!$C$45</f>
        <v>1472</v>
      </c>
      <c r="F40">
        <f>F21*Conversions!$C$45</f>
        <v>2254</v>
      </c>
      <c r="G40">
        <f>G21*Conversions!$C$45</f>
        <v>3795</v>
      </c>
      <c r="H40">
        <f>H21*Conversions!$C$45</f>
        <v>5704</v>
      </c>
      <c r="I40">
        <f>I21*Conversions!$C$45</f>
        <v>7406</v>
      </c>
      <c r="J40">
        <f>J21*Conversions!$C$45</f>
        <v>11454</v>
      </c>
      <c r="K40">
        <f>K21*Conversions!$C$45</f>
        <v>14858</v>
      </c>
      <c r="L40">
        <f>L21*Conversions!$C$45</f>
        <v>22287</v>
      </c>
      <c r="M40">
        <f>M21*Conversions!$C$45</f>
        <v>29716</v>
      </c>
      <c r="N40">
        <f>N21*Conversions!$C$45</f>
        <v>36800</v>
      </c>
      <c r="O40">
        <f>O21*Conversions!$C$45</f>
        <v>45080</v>
      </c>
      <c r="P40">
        <f>P21*Conversions!$C$45</f>
        <v>53544</v>
      </c>
      <c r="Q40">
        <f>Q21*Conversions!$C$45</f>
        <v>61824</v>
      </c>
    </row>
    <row r="43" spans="2:17" x14ac:dyDescent="0.2">
      <c r="B43" t="s">
        <v>89</v>
      </c>
      <c r="C43">
        <v>5</v>
      </c>
      <c r="D43">
        <v>10</v>
      </c>
      <c r="E43">
        <v>20</v>
      </c>
      <c r="F43">
        <v>30</v>
      </c>
      <c r="G43">
        <v>50</v>
      </c>
      <c r="H43">
        <v>75</v>
      </c>
      <c r="I43">
        <v>100</v>
      </c>
      <c r="J43">
        <v>150</v>
      </c>
      <c r="K43">
        <v>200</v>
      </c>
      <c r="L43">
        <v>300</v>
      </c>
      <c r="M43">
        <v>400</v>
      </c>
      <c r="N43">
        <v>500</v>
      </c>
      <c r="O43">
        <v>600</v>
      </c>
      <c r="P43">
        <v>800</v>
      </c>
      <c r="Q43">
        <v>1000</v>
      </c>
    </row>
    <row r="44" spans="2:17" x14ac:dyDescent="0.2">
      <c r="B44" t="s">
        <v>223</v>
      </c>
    </row>
    <row r="46" spans="2:17" x14ac:dyDescent="0.2">
      <c r="B46" t="s">
        <v>34</v>
      </c>
      <c r="C46">
        <v>14.6</v>
      </c>
      <c r="D46">
        <v>29.4</v>
      </c>
      <c r="E46">
        <v>58.3</v>
      </c>
      <c r="F46">
        <v>88</v>
      </c>
      <c r="G46">
        <v>147</v>
      </c>
      <c r="H46">
        <v>220</v>
      </c>
      <c r="I46">
        <v>293</v>
      </c>
      <c r="J46">
        <v>439</v>
      </c>
      <c r="K46">
        <v>585</v>
      </c>
      <c r="L46">
        <v>878</v>
      </c>
      <c r="M46">
        <v>1170</v>
      </c>
      <c r="N46">
        <v>1460</v>
      </c>
      <c r="O46">
        <v>1750</v>
      </c>
      <c r="P46">
        <v>2050</v>
      </c>
      <c r="Q46">
        <v>2350</v>
      </c>
    </row>
    <row r="47" spans="2:17" x14ac:dyDescent="0.2">
      <c r="B47" t="s">
        <v>203</v>
      </c>
      <c r="C47">
        <v>65</v>
      </c>
      <c r="D47">
        <v>131</v>
      </c>
      <c r="E47">
        <v>260</v>
      </c>
      <c r="F47">
        <v>393</v>
      </c>
      <c r="G47">
        <v>657</v>
      </c>
      <c r="H47">
        <v>980</v>
      </c>
      <c r="I47">
        <v>1300</v>
      </c>
      <c r="J47">
        <v>2680</v>
      </c>
      <c r="K47">
        <v>3580</v>
      </c>
      <c r="L47">
        <v>5370</v>
      </c>
      <c r="M47">
        <v>7150</v>
      </c>
      <c r="N47">
        <v>8920</v>
      </c>
      <c r="O47">
        <v>10700</v>
      </c>
      <c r="P47">
        <v>12500</v>
      </c>
      <c r="Q47">
        <v>14400</v>
      </c>
    </row>
    <row r="48" spans="2:17" x14ac:dyDescent="0.2">
      <c r="B48" t="s">
        <v>245</v>
      </c>
      <c r="C48">
        <v>49.1</v>
      </c>
      <c r="D48">
        <v>99</v>
      </c>
      <c r="E48">
        <v>196</v>
      </c>
      <c r="F48">
        <v>297</v>
      </c>
      <c r="G48">
        <v>498</v>
      </c>
      <c r="H48">
        <v>740</v>
      </c>
      <c r="I48">
        <v>987</v>
      </c>
      <c r="J48">
        <v>2030</v>
      </c>
      <c r="K48">
        <v>2710</v>
      </c>
      <c r="L48">
        <v>4050</v>
      </c>
      <c r="M48">
        <v>5400</v>
      </c>
      <c r="N48">
        <v>6720</v>
      </c>
      <c r="O48">
        <v>8100</v>
      </c>
      <c r="P48">
        <v>9480</v>
      </c>
      <c r="Q48">
        <v>10900</v>
      </c>
    </row>
    <row r="49" spans="2:17" x14ac:dyDescent="0.2">
      <c r="B49" t="s">
        <v>205</v>
      </c>
      <c r="C49">
        <v>92.4</v>
      </c>
      <c r="D49">
        <v>175</v>
      </c>
      <c r="E49">
        <v>336</v>
      </c>
      <c r="F49">
        <v>495</v>
      </c>
      <c r="G49">
        <v>813</v>
      </c>
      <c r="H49">
        <v>1200</v>
      </c>
      <c r="I49">
        <v>1590</v>
      </c>
      <c r="J49">
        <v>2420</v>
      </c>
      <c r="K49">
        <v>3200</v>
      </c>
      <c r="L49">
        <v>4790</v>
      </c>
      <c r="M49">
        <v>8340</v>
      </c>
      <c r="N49">
        <v>7920</v>
      </c>
      <c r="O49">
        <v>9510</v>
      </c>
      <c r="P49">
        <v>11100</v>
      </c>
      <c r="Q49">
        <v>12800</v>
      </c>
    </row>
    <row r="50" spans="2:17" x14ac:dyDescent="0.2">
      <c r="B50" t="s">
        <v>238</v>
      </c>
      <c r="C50">
        <v>116</v>
      </c>
      <c r="D50">
        <v>220</v>
      </c>
      <c r="E50">
        <v>423</v>
      </c>
      <c r="F50">
        <v>624</v>
      </c>
      <c r="G50">
        <v>1020</v>
      </c>
      <c r="H50">
        <v>1510</v>
      </c>
      <c r="I50">
        <v>2000</v>
      </c>
      <c r="J50">
        <v>3040</v>
      </c>
      <c r="K50">
        <v>4020</v>
      </c>
      <c r="L50">
        <v>6030</v>
      </c>
      <c r="M50">
        <v>6170</v>
      </c>
      <c r="N50">
        <v>9960</v>
      </c>
      <c r="O50">
        <v>12000</v>
      </c>
      <c r="P50">
        <v>14000</v>
      </c>
      <c r="Q50">
        <v>16100</v>
      </c>
    </row>
    <row r="52" spans="2:17" x14ac:dyDescent="0.2">
      <c r="B52" t="s">
        <v>207</v>
      </c>
      <c r="C52">
        <v>936</v>
      </c>
      <c r="D52">
        <v>1780</v>
      </c>
      <c r="E52">
        <v>3120</v>
      </c>
      <c r="F52">
        <v>4600</v>
      </c>
      <c r="G52">
        <v>7400</v>
      </c>
      <c r="H52">
        <v>10900</v>
      </c>
      <c r="I52">
        <v>14000</v>
      </c>
      <c r="J52">
        <v>41800</v>
      </c>
      <c r="K52">
        <v>53700</v>
      </c>
      <c r="L52">
        <v>80600</v>
      </c>
      <c r="M52">
        <v>107000</v>
      </c>
      <c r="N52">
        <v>132000</v>
      </c>
      <c r="O52">
        <v>162000</v>
      </c>
      <c r="P52">
        <v>188000</v>
      </c>
      <c r="Q52">
        <v>217000</v>
      </c>
    </row>
    <row r="53" spans="2:17" x14ac:dyDescent="0.2">
      <c r="B53" t="s">
        <v>15</v>
      </c>
      <c r="C53">
        <v>53.5</v>
      </c>
      <c r="D53">
        <v>114</v>
      </c>
      <c r="E53">
        <v>214</v>
      </c>
      <c r="F53">
        <v>328</v>
      </c>
      <c r="G53">
        <v>552</v>
      </c>
      <c r="H53">
        <v>829</v>
      </c>
      <c r="I53">
        <v>1080</v>
      </c>
      <c r="J53">
        <v>1670</v>
      </c>
      <c r="K53">
        <v>2160</v>
      </c>
      <c r="L53">
        <v>3240</v>
      </c>
      <c r="M53">
        <v>4320</v>
      </c>
      <c r="N53">
        <v>5350</v>
      </c>
      <c r="O53">
        <v>6550</v>
      </c>
      <c r="P53">
        <v>7780</v>
      </c>
      <c r="Q53">
        <v>8990</v>
      </c>
    </row>
    <row r="55" spans="2:17" x14ac:dyDescent="0.2">
      <c r="B55" t="s">
        <v>225</v>
      </c>
      <c r="C55">
        <v>1330</v>
      </c>
      <c r="D55">
        <v>2540</v>
      </c>
      <c r="E55">
        <v>4610</v>
      </c>
      <c r="F55">
        <v>6810</v>
      </c>
      <c r="G55">
        <v>11100</v>
      </c>
      <c r="H55">
        <v>16400</v>
      </c>
      <c r="I55">
        <v>21200</v>
      </c>
      <c r="J55">
        <v>54000</v>
      </c>
      <c r="K55">
        <v>69900</v>
      </c>
      <c r="L55">
        <v>105000</v>
      </c>
      <c r="M55">
        <v>140000</v>
      </c>
      <c r="N55">
        <v>172000</v>
      </c>
      <c r="O55">
        <v>211000</v>
      </c>
      <c r="P55">
        <v>244000</v>
      </c>
      <c r="Q55">
        <v>283000</v>
      </c>
    </row>
    <row r="57" spans="2:17" x14ac:dyDescent="0.2">
      <c r="B57" t="s">
        <v>258</v>
      </c>
      <c r="C57">
        <f t="shared" ref="C57:Q57" si="2">SUM(C46:C53)</f>
        <v>1326.6</v>
      </c>
      <c r="D57">
        <f t="shared" si="2"/>
        <v>2548.4</v>
      </c>
      <c r="E57">
        <f t="shared" si="2"/>
        <v>4607.3</v>
      </c>
      <c r="F57">
        <f t="shared" si="2"/>
        <v>6825</v>
      </c>
      <c r="G57">
        <f t="shared" si="2"/>
        <v>11087</v>
      </c>
      <c r="H57">
        <f t="shared" si="2"/>
        <v>16379</v>
      </c>
      <c r="I57">
        <f t="shared" si="2"/>
        <v>21250</v>
      </c>
      <c r="J57">
        <f t="shared" si="2"/>
        <v>54079</v>
      </c>
      <c r="K57">
        <f t="shared" si="2"/>
        <v>69955</v>
      </c>
      <c r="L57">
        <f t="shared" si="2"/>
        <v>104958</v>
      </c>
      <c r="M57">
        <f t="shared" si="2"/>
        <v>139550</v>
      </c>
      <c r="N57">
        <f t="shared" si="2"/>
        <v>172330</v>
      </c>
      <c r="O57">
        <f t="shared" si="2"/>
        <v>210610</v>
      </c>
      <c r="P57">
        <f t="shared" si="2"/>
        <v>244910</v>
      </c>
      <c r="Q57">
        <f t="shared" si="2"/>
        <v>282540</v>
      </c>
    </row>
    <row r="60" spans="2:17" x14ac:dyDescent="0.2">
      <c r="C60" t="s">
        <v>302</v>
      </c>
    </row>
    <row r="61" spans="2:17" x14ac:dyDescent="0.2">
      <c r="B61" t="s">
        <v>259</v>
      </c>
      <c r="C61">
        <v>5</v>
      </c>
      <c r="D61">
        <v>10</v>
      </c>
      <c r="E61">
        <v>20</v>
      </c>
      <c r="F61">
        <v>30</v>
      </c>
      <c r="G61">
        <v>50</v>
      </c>
      <c r="H61">
        <v>75</v>
      </c>
      <c r="I61">
        <v>100</v>
      </c>
      <c r="J61">
        <v>150</v>
      </c>
      <c r="K61">
        <v>200</v>
      </c>
      <c r="L61">
        <v>300</v>
      </c>
      <c r="M61">
        <v>400</v>
      </c>
      <c r="N61">
        <v>500</v>
      </c>
      <c r="O61">
        <v>600</v>
      </c>
      <c r="P61">
        <v>800</v>
      </c>
      <c r="Q61">
        <v>1000</v>
      </c>
    </row>
    <row r="63" spans="2:17" x14ac:dyDescent="0.2">
      <c r="B63" t="s">
        <v>89</v>
      </c>
      <c r="C63" t="str">
        <f>_xlfn.CONCAT($C$60,C61)</f>
        <v>PE=5</v>
      </c>
      <c r="D63" t="str">
        <f t="shared" ref="D63:Q63" si="3">_xlfn.CONCAT($C$60,D61)</f>
        <v>PE=10</v>
      </c>
      <c r="E63" t="str">
        <f t="shared" si="3"/>
        <v>PE=20</v>
      </c>
      <c r="F63" t="str">
        <f t="shared" si="3"/>
        <v>PE=30</v>
      </c>
      <c r="G63" t="str">
        <f t="shared" si="3"/>
        <v>PE=50</v>
      </c>
      <c r="H63" t="str">
        <f t="shared" si="3"/>
        <v>PE=75</v>
      </c>
      <c r="I63" t="str">
        <f t="shared" si="3"/>
        <v>PE=100</v>
      </c>
      <c r="J63" t="str">
        <f t="shared" si="3"/>
        <v>PE=150</v>
      </c>
      <c r="K63" t="str">
        <f t="shared" si="3"/>
        <v>PE=200</v>
      </c>
      <c r="L63" t="str">
        <f t="shared" si="3"/>
        <v>PE=300</v>
      </c>
      <c r="M63" t="str">
        <f t="shared" si="3"/>
        <v>PE=400</v>
      </c>
      <c r="N63" t="str">
        <f t="shared" si="3"/>
        <v>PE=500</v>
      </c>
      <c r="O63" t="str">
        <f t="shared" si="3"/>
        <v>PE=600</v>
      </c>
      <c r="P63" t="str">
        <f t="shared" si="3"/>
        <v>PE=800</v>
      </c>
      <c r="Q63" t="str">
        <f t="shared" si="3"/>
        <v>PE=1000</v>
      </c>
    </row>
    <row r="64" spans="2:17" x14ac:dyDescent="0.2">
      <c r="B64" t="s">
        <v>30</v>
      </c>
      <c r="C64">
        <f>C46</f>
        <v>14.6</v>
      </c>
      <c r="D64">
        <f t="shared" ref="D64:I64" si="4">D46</f>
        <v>29.4</v>
      </c>
      <c r="E64">
        <f t="shared" si="4"/>
        <v>58.3</v>
      </c>
      <c r="F64">
        <f t="shared" si="4"/>
        <v>88</v>
      </c>
      <c r="G64">
        <f t="shared" si="4"/>
        <v>147</v>
      </c>
      <c r="H64">
        <f t="shared" si="4"/>
        <v>220</v>
      </c>
      <c r="I64">
        <f t="shared" si="4"/>
        <v>293</v>
      </c>
      <c r="J64">
        <f t="shared" ref="J64:M64" si="5">J46</f>
        <v>439</v>
      </c>
      <c r="K64">
        <f t="shared" si="5"/>
        <v>585</v>
      </c>
      <c r="L64">
        <f t="shared" si="5"/>
        <v>878</v>
      </c>
      <c r="M64">
        <f t="shared" si="5"/>
        <v>1170</v>
      </c>
      <c r="N64">
        <f t="shared" ref="N64:O64" si="6">N46</f>
        <v>1460</v>
      </c>
      <c r="O64">
        <f t="shared" si="6"/>
        <v>1750</v>
      </c>
      <c r="P64">
        <f t="shared" ref="P64:Q64" si="7">P46</f>
        <v>2050</v>
      </c>
      <c r="Q64">
        <f t="shared" si="7"/>
        <v>2350</v>
      </c>
    </row>
    <row r="65" spans="2:17" x14ac:dyDescent="0.2">
      <c r="B65" t="s">
        <v>81</v>
      </c>
      <c r="C65">
        <f>C47+C48+C53</f>
        <v>167.6</v>
      </c>
      <c r="D65">
        <f t="shared" ref="D65:I65" si="8">D47+D48+D53</f>
        <v>344</v>
      </c>
      <c r="E65">
        <f t="shared" si="8"/>
        <v>670</v>
      </c>
      <c r="F65">
        <f t="shared" si="8"/>
        <v>1018</v>
      </c>
      <c r="G65">
        <f t="shared" si="8"/>
        <v>1707</v>
      </c>
      <c r="H65">
        <f t="shared" si="8"/>
        <v>2549</v>
      </c>
      <c r="I65">
        <f t="shared" si="8"/>
        <v>3367</v>
      </c>
      <c r="J65">
        <f t="shared" ref="J65:M65" si="9">J47+J48+J53</f>
        <v>6380</v>
      </c>
      <c r="K65">
        <f t="shared" si="9"/>
        <v>8450</v>
      </c>
      <c r="L65">
        <f t="shared" si="9"/>
        <v>12660</v>
      </c>
      <c r="M65">
        <f t="shared" si="9"/>
        <v>16870</v>
      </c>
      <c r="N65">
        <f t="shared" ref="N65:O65" si="10">N47+N48+N53</f>
        <v>20990</v>
      </c>
      <c r="O65">
        <f t="shared" si="10"/>
        <v>25350</v>
      </c>
      <c r="P65">
        <f t="shared" ref="P65:Q65" si="11">P47+P48+P53</f>
        <v>29760</v>
      </c>
      <c r="Q65">
        <f t="shared" si="11"/>
        <v>34290</v>
      </c>
    </row>
    <row r="66" spans="2:17" x14ac:dyDescent="0.2">
      <c r="B66" t="s">
        <v>239</v>
      </c>
      <c r="C66">
        <f>C49+C50</f>
        <v>208.4</v>
      </c>
      <c r="D66">
        <f t="shared" ref="D66:I66" si="12">D49+D50</f>
        <v>395</v>
      </c>
      <c r="E66">
        <f t="shared" si="12"/>
        <v>759</v>
      </c>
      <c r="F66">
        <f t="shared" si="12"/>
        <v>1119</v>
      </c>
      <c r="G66">
        <f t="shared" si="12"/>
        <v>1833</v>
      </c>
      <c r="H66">
        <f t="shared" si="12"/>
        <v>2710</v>
      </c>
      <c r="I66">
        <f t="shared" si="12"/>
        <v>3590</v>
      </c>
      <c r="J66">
        <f t="shared" ref="J66:M66" si="13">J49+J50</f>
        <v>5460</v>
      </c>
      <c r="K66">
        <f t="shared" si="13"/>
        <v>7220</v>
      </c>
      <c r="L66">
        <f t="shared" si="13"/>
        <v>10820</v>
      </c>
      <c r="M66">
        <f t="shared" si="13"/>
        <v>14510</v>
      </c>
      <c r="N66">
        <f t="shared" ref="N66:O66" si="14">N49+N50</f>
        <v>17880</v>
      </c>
      <c r="O66">
        <f t="shared" si="14"/>
        <v>21510</v>
      </c>
      <c r="P66">
        <f t="shared" ref="P66:Q66" si="15">P49+P50</f>
        <v>25100</v>
      </c>
      <c r="Q66">
        <f t="shared" si="15"/>
        <v>28900</v>
      </c>
    </row>
    <row r="67" spans="2:17" x14ac:dyDescent="0.2">
      <c r="B67" t="s">
        <v>192</v>
      </c>
      <c r="C67">
        <f>C52</f>
        <v>936</v>
      </c>
      <c r="D67">
        <f t="shared" ref="D67:I67" si="16">D52</f>
        <v>1780</v>
      </c>
      <c r="E67">
        <f t="shared" si="16"/>
        <v>3120</v>
      </c>
      <c r="F67">
        <f t="shared" si="16"/>
        <v>4600</v>
      </c>
      <c r="G67">
        <f t="shared" si="16"/>
        <v>7400</v>
      </c>
      <c r="H67">
        <f t="shared" si="16"/>
        <v>10900</v>
      </c>
      <c r="I67">
        <f t="shared" si="16"/>
        <v>14000</v>
      </c>
      <c r="J67">
        <f t="shared" ref="J67:M67" si="17">J52</f>
        <v>41800</v>
      </c>
      <c r="K67">
        <f t="shared" si="17"/>
        <v>53700</v>
      </c>
      <c r="L67">
        <f t="shared" si="17"/>
        <v>80600</v>
      </c>
      <c r="M67">
        <f t="shared" si="17"/>
        <v>107000</v>
      </c>
      <c r="N67">
        <f t="shared" ref="N67:O67" si="18">N52</f>
        <v>132000</v>
      </c>
      <c r="O67">
        <f t="shared" si="18"/>
        <v>162000</v>
      </c>
      <c r="P67">
        <f t="shared" ref="P67:Q67" si="19">P52</f>
        <v>188000</v>
      </c>
      <c r="Q67">
        <f t="shared" si="19"/>
        <v>217000</v>
      </c>
    </row>
    <row r="76" spans="2:17" x14ac:dyDescent="0.2">
      <c r="B76" t="s">
        <v>303</v>
      </c>
    </row>
    <row r="78" spans="2:17" x14ac:dyDescent="0.2">
      <c r="B78" t="s">
        <v>40</v>
      </c>
    </row>
    <row r="80" spans="2:17" x14ac:dyDescent="0.2">
      <c r="B80" t="s">
        <v>92</v>
      </c>
      <c r="C80">
        <f>1.28/100</f>
        <v>1.2800000000000001E-2</v>
      </c>
      <c r="F80" t="s">
        <v>358</v>
      </c>
      <c r="I80" t="s">
        <v>315</v>
      </c>
      <c r="J80">
        <v>265</v>
      </c>
      <c r="L80" t="s">
        <v>363</v>
      </c>
      <c r="M80">
        <v>0.5</v>
      </c>
    </row>
    <row r="81" spans="2:17" x14ac:dyDescent="0.2">
      <c r="B81" t="s">
        <v>304</v>
      </c>
      <c r="C81">
        <f>0.018/100</f>
        <v>1.7999999999999998E-4</v>
      </c>
      <c r="D81" t="s">
        <v>306</v>
      </c>
      <c r="F81" t="s">
        <v>359</v>
      </c>
      <c r="I81" t="s">
        <v>315</v>
      </c>
      <c r="J81">
        <v>28</v>
      </c>
      <c r="L81" t="s">
        <v>364</v>
      </c>
      <c r="M81">
        <v>90</v>
      </c>
      <c r="N81" t="s">
        <v>365</v>
      </c>
      <c r="O81" t="s">
        <v>310</v>
      </c>
    </row>
    <row r="84" spans="2:17" x14ac:dyDescent="0.2">
      <c r="B84" t="s">
        <v>308</v>
      </c>
      <c r="F84" t="s">
        <v>315</v>
      </c>
      <c r="G84">
        <v>265</v>
      </c>
    </row>
    <row r="85" spans="2:17" x14ac:dyDescent="0.2">
      <c r="B85" t="s">
        <v>309</v>
      </c>
      <c r="C85">
        <v>40</v>
      </c>
      <c r="D85" t="s">
        <v>310</v>
      </c>
    </row>
    <row r="87" spans="2:17" x14ac:dyDescent="0.2">
      <c r="B87" t="s">
        <v>312</v>
      </c>
      <c r="C87">
        <f>'Wetland Flow'!C3</f>
        <v>1.875</v>
      </c>
      <c r="D87">
        <f>'Wetland Flow'!D3</f>
        <v>3.75</v>
      </c>
      <c r="E87">
        <f>'Wetland Flow'!E3</f>
        <v>7.5</v>
      </c>
      <c r="F87">
        <f>'Wetland Flow'!F3</f>
        <v>11.25</v>
      </c>
      <c r="G87">
        <f>'Wetland Flow'!G3</f>
        <v>18.75</v>
      </c>
      <c r="H87">
        <f>'Wetland Flow'!H3</f>
        <v>28.125</v>
      </c>
      <c r="I87">
        <f>'Wetland Flow'!I3</f>
        <v>37.5</v>
      </c>
      <c r="J87">
        <f>'Wetland Flow'!J3</f>
        <v>56.25</v>
      </c>
      <c r="K87">
        <f>'Wetland Flow'!K3</f>
        <v>75</v>
      </c>
      <c r="L87">
        <f>'Wetland Flow'!L3</f>
        <v>112.5</v>
      </c>
      <c r="M87">
        <f>'Wetland Flow'!M3</f>
        <v>150</v>
      </c>
      <c r="N87">
        <f>'Wetland Flow'!N3</f>
        <v>187.5</v>
      </c>
      <c r="O87">
        <f>'Wetland Flow'!O3</f>
        <v>225</v>
      </c>
      <c r="P87">
        <f>'Wetland Flow'!P3</f>
        <v>300</v>
      </c>
      <c r="Q87">
        <f>'Wetland Flow'!Q3</f>
        <v>375</v>
      </c>
    </row>
    <row r="89" spans="2:17" x14ac:dyDescent="0.2">
      <c r="B89" t="s">
        <v>311</v>
      </c>
      <c r="C89">
        <f>C87*$C$85</f>
        <v>75</v>
      </c>
      <c r="D89">
        <f t="shared" ref="D89:Q89" si="20">D87*$C$85</f>
        <v>150</v>
      </c>
      <c r="E89">
        <f t="shared" si="20"/>
        <v>300</v>
      </c>
      <c r="F89">
        <f t="shared" si="20"/>
        <v>450</v>
      </c>
      <c r="G89">
        <f t="shared" si="20"/>
        <v>750</v>
      </c>
      <c r="H89">
        <f t="shared" si="20"/>
        <v>1125</v>
      </c>
      <c r="I89">
        <f t="shared" si="20"/>
        <v>1500</v>
      </c>
      <c r="J89">
        <f t="shared" si="20"/>
        <v>2250</v>
      </c>
      <c r="K89">
        <f t="shared" si="20"/>
        <v>3000</v>
      </c>
      <c r="L89">
        <f t="shared" si="20"/>
        <v>4500</v>
      </c>
      <c r="M89">
        <f t="shared" si="20"/>
        <v>6000</v>
      </c>
      <c r="N89">
        <f t="shared" si="20"/>
        <v>7500</v>
      </c>
      <c r="O89">
        <f t="shared" si="20"/>
        <v>9000</v>
      </c>
      <c r="P89">
        <f t="shared" si="20"/>
        <v>12000</v>
      </c>
      <c r="Q89">
        <f t="shared" si="20"/>
        <v>15000</v>
      </c>
    </row>
    <row r="91" spans="2:17" x14ac:dyDescent="0.2">
      <c r="B91" t="s">
        <v>313</v>
      </c>
      <c r="C91">
        <f>C89*$C$81</f>
        <v>1.3499999999999998E-2</v>
      </c>
      <c r="D91">
        <f t="shared" ref="D91:P91" si="21">D89*$C$81</f>
        <v>2.6999999999999996E-2</v>
      </c>
      <c r="E91">
        <f t="shared" si="21"/>
        <v>5.3999999999999992E-2</v>
      </c>
      <c r="F91">
        <f t="shared" si="21"/>
        <v>8.0999999999999989E-2</v>
      </c>
      <c r="G91">
        <f t="shared" si="21"/>
        <v>0.13499999999999998</v>
      </c>
      <c r="H91">
        <f t="shared" si="21"/>
        <v>0.20249999999999999</v>
      </c>
      <c r="I91">
        <f t="shared" si="21"/>
        <v>0.26999999999999996</v>
      </c>
      <c r="J91">
        <f t="shared" si="21"/>
        <v>0.40499999999999997</v>
      </c>
      <c r="K91">
        <f t="shared" si="21"/>
        <v>0.53999999999999992</v>
      </c>
      <c r="L91">
        <f t="shared" si="21"/>
        <v>0.80999999999999994</v>
      </c>
      <c r="M91">
        <f t="shared" si="21"/>
        <v>1.0799999999999998</v>
      </c>
      <c r="N91">
        <f t="shared" si="21"/>
        <v>1.3499999999999999</v>
      </c>
      <c r="O91">
        <f t="shared" si="21"/>
        <v>1.6199999999999999</v>
      </c>
      <c r="P91">
        <f t="shared" si="21"/>
        <v>2.1599999999999997</v>
      </c>
      <c r="Q91">
        <f>Q89*$C$81</f>
        <v>2.6999999999999997</v>
      </c>
    </row>
    <row r="92" spans="2:17" x14ac:dyDescent="0.2">
      <c r="B92" t="s">
        <v>314</v>
      </c>
      <c r="C92">
        <f>C91*365.25</f>
        <v>4.9308749999999995</v>
      </c>
      <c r="D92">
        <f t="shared" ref="D92:Q92" si="22">D91*365.25</f>
        <v>9.8617499999999989</v>
      </c>
      <c r="E92">
        <f t="shared" si="22"/>
        <v>19.723499999999998</v>
      </c>
      <c r="F92">
        <f t="shared" si="22"/>
        <v>29.585249999999995</v>
      </c>
      <c r="G92">
        <f t="shared" si="22"/>
        <v>49.308749999999996</v>
      </c>
      <c r="H92">
        <f t="shared" si="22"/>
        <v>73.963124999999991</v>
      </c>
      <c r="I92">
        <f t="shared" si="22"/>
        <v>98.617499999999993</v>
      </c>
      <c r="J92">
        <f t="shared" si="22"/>
        <v>147.92624999999998</v>
      </c>
      <c r="K92">
        <f t="shared" si="22"/>
        <v>197.23499999999999</v>
      </c>
      <c r="L92">
        <f t="shared" si="22"/>
        <v>295.85249999999996</v>
      </c>
      <c r="M92">
        <f t="shared" si="22"/>
        <v>394.46999999999997</v>
      </c>
      <c r="N92">
        <f t="shared" si="22"/>
        <v>493.08749999999998</v>
      </c>
      <c r="O92">
        <f t="shared" si="22"/>
        <v>591.70499999999993</v>
      </c>
      <c r="P92">
        <f t="shared" si="22"/>
        <v>788.93999999999994</v>
      </c>
      <c r="Q92">
        <f t="shared" si="22"/>
        <v>986.17499999999995</v>
      </c>
    </row>
    <row r="94" spans="2:17" x14ac:dyDescent="0.2">
      <c r="B94" t="s">
        <v>316</v>
      </c>
      <c r="C94">
        <f>(C92*$J$80)/1000</f>
        <v>1.3066818749999998</v>
      </c>
      <c r="D94">
        <f t="shared" ref="D94:Q94" si="23">(D92*$J$80)/1000</f>
        <v>2.6133637499999995</v>
      </c>
      <c r="E94">
        <f t="shared" si="23"/>
        <v>5.2267274999999991</v>
      </c>
      <c r="F94">
        <f t="shared" si="23"/>
        <v>7.8400912499999986</v>
      </c>
      <c r="G94">
        <f t="shared" si="23"/>
        <v>13.066818749999998</v>
      </c>
      <c r="H94">
        <f t="shared" si="23"/>
        <v>19.600228124999997</v>
      </c>
      <c r="I94">
        <f t="shared" si="23"/>
        <v>26.133637499999995</v>
      </c>
      <c r="J94">
        <f t="shared" si="23"/>
        <v>39.200456249999995</v>
      </c>
      <c r="K94">
        <f t="shared" si="23"/>
        <v>52.267274999999991</v>
      </c>
      <c r="L94">
        <f t="shared" si="23"/>
        <v>78.40091249999999</v>
      </c>
      <c r="M94">
        <f t="shared" si="23"/>
        <v>104.53454999999998</v>
      </c>
      <c r="N94">
        <f t="shared" si="23"/>
        <v>130.66818749999999</v>
      </c>
      <c r="O94">
        <f t="shared" si="23"/>
        <v>156.80182499999998</v>
      </c>
      <c r="P94">
        <f t="shared" si="23"/>
        <v>209.06909999999996</v>
      </c>
      <c r="Q94">
        <f t="shared" si="23"/>
        <v>261.33637499999998</v>
      </c>
    </row>
    <row r="97" spans="2:17" x14ac:dyDescent="0.2">
      <c r="B97" t="s">
        <v>360</v>
      </c>
      <c r="C97">
        <f>$M$81*$M$80*C87</f>
        <v>84.375</v>
      </c>
      <c r="D97">
        <f>$M$81*$M$80*D87</f>
        <v>168.75</v>
      </c>
      <c r="E97">
        <f t="shared" ref="E97:Q97" si="24">$M$81*$M$80*E87</f>
        <v>337.5</v>
      </c>
      <c r="F97">
        <f t="shared" si="24"/>
        <v>506.25</v>
      </c>
      <c r="G97">
        <f t="shared" si="24"/>
        <v>843.75</v>
      </c>
      <c r="H97">
        <f>$M$81*$M$80*H87</f>
        <v>1265.625</v>
      </c>
      <c r="I97">
        <f>$M$81*$M$80*I87</f>
        <v>1687.5</v>
      </c>
      <c r="J97">
        <f t="shared" si="24"/>
        <v>2531.25</v>
      </c>
      <c r="K97">
        <f t="shared" si="24"/>
        <v>3375</v>
      </c>
      <c r="L97">
        <f t="shared" si="24"/>
        <v>5062.5</v>
      </c>
      <c r="M97">
        <f t="shared" si="24"/>
        <v>6750</v>
      </c>
      <c r="N97">
        <f t="shared" si="24"/>
        <v>8437.5</v>
      </c>
      <c r="O97">
        <f t="shared" si="24"/>
        <v>10125</v>
      </c>
      <c r="P97">
        <f t="shared" si="24"/>
        <v>13500</v>
      </c>
      <c r="Q97">
        <f t="shared" si="24"/>
        <v>16875</v>
      </c>
    </row>
    <row r="99" spans="2:17" x14ac:dyDescent="0.2">
      <c r="B99" t="s">
        <v>362</v>
      </c>
      <c r="C99">
        <f>C97*$C$80</f>
        <v>1.08</v>
      </c>
      <c r="D99">
        <f t="shared" ref="D99:Q99" si="25">D97*$C$80</f>
        <v>2.16</v>
      </c>
      <c r="E99">
        <f t="shared" si="25"/>
        <v>4.32</v>
      </c>
      <c r="F99">
        <f t="shared" si="25"/>
        <v>6.48</v>
      </c>
      <c r="G99">
        <f t="shared" si="25"/>
        <v>10.8</v>
      </c>
      <c r="H99">
        <f t="shared" si="25"/>
        <v>16.2</v>
      </c>
      <c r="I99">
        <f>I97*$C$80</f>
        <v>21.6</v>
      </c>
      <c r="J99">
        <f t="shared" si="25"/>
        <v>32.4</v>
      </c>
      <c r="K99">
        <f t="shared" si="25"/>
        <v>43.2</v>
      </c>
      <c r="L99">
        <f t="shared" si="25"/>
        <v>64.8</v>
      </c>
      <c r="M99">
        <f t="shared" si="25"/>
        <v>86.4</v>
      </c>
      <c r="N99">
        <f t="shared" si="25"/>
        <v>108</v>
      </c>
      <c r="O99">
        <f t="shared" si="25"/>
        <v>129.6</v>
      </c>
      <c r="P99">
        <f t="shared" si="25"/>
        <v>172.8</v>
      </c>
      <c r="Q99">
        <f t="shared" si="25"/>
        <v>216</v>
      </c>
    </row>
    <row r="100" spans="2:17" x14ac:dyDescent="0.2">
      <c r="B100" t="s">
        <v>361</v>
      </c>
      <c r="C100">
        <f>C99*365.25</f>
        <v>394.47</v>
      </c>
      <c r="D100">
        <f t="shared" ref="D100:P100" si="26">D99*365.25</f>
        <v>788.94</v>
      </c>
      <c r="E100">
        <f t="shared" si="26"/>
        <v>1577.88</v>
      </c>
      <c r="F100">
        <f t="shared" si="26"/>
        <v>2366.8200000000002</v>
      </c>
      <c r="G100">
        <f t="shared" si="26"/>
        <v>3944.7000000000003</v>
      </c>
      <c r="H100">
        <f>H99*365.25</f>
        <v>5917.05</v>
      </c>
      <c r="I100">
        <f t="shared" si="26"/>
        <v>7889.4000000000005</v>
      </c>
      <c r="J100">
        <f t="shared" si="26"/>
        <v>11834.1</v>
      </c>
      <c r="K100">
        <f t="shared" si="26"/>
        <v>15778.800000000001</v>
      </c>
      <c r="L100">
        <f t="shared" si="26"/>
        <v>23668.2</v>
      </c>
      <c r="M100">
        <f t="shared" si="26"/>
        <v>31557.600000000002</v>
      </c>
      <c r="N100">
        <f t="shared" si="26"/>
        <v>39447</v>
      </c>
      <c r="O100">
        <f t="shared" si="26"/>
        <v>47336.4</v>
      </c>
      <c r="P100">
        <f t="shared" si="26"/>
        <v>63115.200000000004</v>
      </c>
      <c r="Q100">
        <f>Q99*365.25</f>
        <v>78894</v>
      </c>
    </row>
    <row r="102" spans="2:17" x14ac:dyDescent="0.2">
      <c r="B102" t="s">
        <v>316</v>
      </c>
      <c r="C102">
        <f>(C100*$J$81)/1000</f>
        <v>11.045159999999999</v>
      </c>
      <c r="D102">
        <f t="shared" ref="D102:Q102" si="27">(D100*$J$81)/1000</f>
        <v>22.090319999999998</v>
      </c>
      <c r="E102">
        <f t="shared" si="27"/>
        <v>44.180639999999997</v>
      </c>
      <c r="F102">
        <f t="shared" si="27"/>
        <v>66.270960000000002</v>
      </c>
      <c r="G102">
        <f t="shared" si="27"/>
        <v>110.4516</v>
      </c>
      <c r="H102">
        <f t="shared" si="27"/>
        <v>165.67740000000001</v>
      </c>
      <c r="I102">
        <f t="shared" si="27"/>
        <v>220.9032</v>
      </c>
      <c r="J102">
        <f t="shared" si="27"/>
        <v>331.35480000000001</v>
      </c>
      <c r="K102">
        <f t="shared" si="27"/>
        <v>441.8064</v>
      </c>
      <c r="L102">
        <f t="shared" si="27"/>
        <v>662.70960000000002</v>
      </c>
      <c r="M102">
        <f t="shared" si="27"/>
        <v>883.61279999999999</v>
      </c>
      <c r="N102">
        <f t="shared" si="27"/>
        <v>1104.5160000000001</v>
      </c>
      <c r="O102">
        <f t="shared" si="27"/>
        <v>1325.4192</v>
      </c>
      <c r="P102">
        <f t="shared" si="27"/>
        <v>1767.2256</v>
      </c>
      <c r="Q102">
        <f t="shared" si="27"/>
        <v>2209.0320000000002</v>
      </c>
    </row>
    <row r="105" spans="2:17" x14ac:dyDescent="0.2">
      <c r="B105" t="s">
        <v>346</v>
      </c>
      <c r="C105">
        <f>C102+C94</f>
        <v>12.351841874999998</v>
      </c>
      <c r="D105">
        <f t="shared" ref="D105:Q105" si="28">D102+D94</f>
        <v>24.703683749999996</v>
      </c>
      <c r="E105">
        <f t="shared" si="28"/>
        <v>49.407367499999992</v>
      </c>
      <c r="F105">
        <f t="shared" si="28"/>
        <v>74.111051250000003</v>
      </c>
      <c r="G105">
        <f t="shared" si="28"/>
        <v>123.51841875</v>
      </c>
      <c r="H105">
        <f t="shared" si="28"/>
        <v>185.27762812500001</v>
      </c>
      <c r="I105">
        <f t="shared" si="28"/>
        <v>247.03683749999999</v>
      </c>
      <c r="J105">
        <f t="shared" si="28"/>
        <v>370.55525625000001</v>
      </c>
      <c r="K105">
        <f t="shared" si="28"/>
        <v>494.07367499999998</v>
      </c>
      <c r="L105">
        <f t="shared" si="28"/>
        <v>741.11051250000003</v>
      </c>
      <c r="M105">
        <f t="shared" si="28"/>
        <v>988.14734999999996</v>
      </c>
      <c r="N105">
        <f t="shared" si="28"/>
        <v>1235.1841875</v>
      </c>
      <c r="O105">
        <f t="shared" si="28"/>
        <v>1482.2210250000001</v>
      </c>
      <c r="P105">
        <f t="shared" si="28"/>
        <v>1976.2946999999999</v>
      </c>
      <c r="Q105">
        <f t="shared" si="28"/>
        <v>2470.368375</v>
      </c>
    </row>
    <row r="107" spans="2:17" x14ac:dyDescent="0.2">
      <c r="B107" t="s">
        <v>321</v>
      </c>
    </row>
    <row r="108" spans="2:17" x14ac:dyDescent="0.2">
      <c r="C108" t="s">
        <v>328</v>
      </c>
      <c r="H108" t="s">
        <v>329</v>
      </c>
    </row>
    <row r="109" spans="2:17" x14ac:dyDescent="0.2">
      <c r="B109" t="s">
        <v>322</v>
      </c>
      <c r="C109">
        <v>12</v>
      </c>
      <c r="D109" t="s">
        <v>323</v>
      </c>
      <c r="H109" t="s">
        <v>322</v>
      </c>
      <c r="I109">
        <v>12</v>
      </c>
      <c r="J109" t="s">
        <v>323</v>
      </c>
    </row>
    <row r="110" spans="2:17" x14ac:dyDescent="0.2">
      <c r="B110" t="s">
        <v>324</v>
      </c>
      <c r="C110">
        <v>1</v>
      </c>
      <c r="D110" t="s">
        <v>323</v>
      </c>
      <c r="H110" t="s">
        <v>324</v>
      </c>
      <c r="I110">
        <v>1</v>
      </c>
      <c r="J110" t="s">
        <v>323</v>
      </c>
    </row>
    <row r="112" spans="2:17" x14ac:dyDescent="0.2">
      <c r="B112" t="s">
        <v>332</v>
      </c>
    </row>
    <row r="113" spans="2:17" x14ac:dyDescent="0.2">
      <c r="B113" t="s">
        <v>333</v>
      </c>
      <c r="D113" t="s">
        <v>334</v>
      </c>
    </row>
    <row r="115" spans="2:17" x14ac:dyDescent="0.2">
      <c r="B115" t="s">
        <v>335</v>
      </c>
    </row>
    <row r="116" spans="2:17" x14ac:dyDescent="0.2">
      <c r="B116" t="s">
        <v>336</v>
      </c>
      <c r="C116" t="s">
        <v>338</v>
      </c>
    </row>
    <row r="117" spans="2:17" x14ac:dyDescent="0.2">
      <c r="B117" t="s">
        <v>173</v>
      </c>
      <c r="C117">
        <v>0.66700000000000004</v>
      </c>
      <c r="D117" t="s">
        <v>337</v>
      </c>
    </row>
    <row r="118" spans="2:17" x14ac:dyDescent="0.2">
      <c r="B118" t="s">
        <v>174</v>
      </c>
      <c r="C118">
        <v>0.63800000000000001</v>
      </c>
      <c r="D118" t="s">
        <v>337</v>
      </c>
    </row>
    <row r="119" spans="2:17" x14ac:dyDescent="0.2">
      <c r="B119" t="s">
        <v>175</v>
      </c>
      <c r="C119">
        <v>0.626</v>
      </c>
      <c r="D119" t="s">
        <v>337</v>
      </c>
    </row>
    <row r="122" spans="2:17" x14ac:dyDescent="0.2">
      <c r="B122" t="s">
        <v>339</v>
      </c>
      <c r="I122" s="4"/>
    </row>
    <row r="123" spans="2:17" x14ac:dyDescent="0.2">
      <c r="C123">
        <f>(C109+C110)*40</f>
        <v>520</v>
      </c>
      <c r="D123" t="s">
        <v>340</v>
      </c>
    </row>
    <row r="124" spans="2:17" x14ac:dyDescent="0.2">
      <c r="C124" t="s">
        <v>318</v>
      </c>
    </row>
    <row r="126" spans="2:17" x14ac:dyDescent="0.2">
      <c r="C126" t="s">
        <v>228</v>
      </c>
      <c r="D126" t="s">
        <v>229</v>
      </c>
      <c r="E126" t="s">
        <v>230</v>
      </c>
      <c r="F126" t="s">
        <v>231</v>
      </c>
      <c r="G126" t="s">
        <v>232</v>
      </c>
      <c r="H126" t="s">
        <v>233</v>
      </c>
      <c r="I126" t="s">
        <v>234</v>
      </c>
      <c r="J126" t="s">
        <v>235</v>
      </c>
      <c r="K126" t="s">
        <v>240</v>
      </c>
      <c r="L126" t="s">
        <v>241</v>
      </c>
      <c r="M126" t="s">
        <v>242</v>
      </c>
      <c r="N126" t="s">
        <v>243</v>
      </c>
      <c r="O126" t="s">
        <v>299</v>
      </c>
      <c r="P126" t="s">
        <v>300</v>
      </c>
      <c r="Q126" t="s">
        <v>301</v>
      </c>
    </row>
    <row r="127" spans="2:17" x14ac:dyDescent="0.2">
      <c r="B127" t="s">
        <v>95</v>
      </c>
      <c r="C127">
        <f>C123*C118</f>
        <v>331.76</v>
      </c>
      <c r="D127">
        <f>C127</f>
        <v>331.76</v>
      </c>
      <c r="E127">
        <f>D127</f>
        <v>331.76</v>
      </c>
      <c r="F127">
        <f t="shared" ref="F127:Q127" si="29">E127</f>
        <v>331.76</v>
      </c>
      <c r="G127">
        <f t="shared" si="29"/>
        <v>331.76</v>
      </c>
      <c r="H127">
        <f t="shared" si="29"/>
        <v>331.76</v>
      </c>
      <c r="I127">
        <f t="shared" si="29"/>
        <v>331.76</v>
      </c>
      <c r="J127">
        <f t="shared" si="29"/>
        <v>331.76</v>
      </c>
      <c r="K127">
        <f t="shared" si="29"/>
        <v>331.76</v>
      </c>
      <c r="L127">
        <f t="shared" si="29"/>
        <v>331.76</v>
      </c>
      <c r="M127">
        <f t="shared" si="29"/>
        <v>331.76</v>
      </c>
      <c r="N127">
        <f t="shared" si="29"/>
        <v>331.76</v>
      </c>
      <c r="O127">
        <f t="shared" si="29"/>
        <v>331.76</v>
      </c>
      <c r="P127">
        <f t="shared" si="29"/>
        <v>331.76</v>
      </c>
      <c r="Q127">
        <f t="shared" si="29"/>
        <v>331.76</v>
      </c>
    </row>
    <row r="130" spans="2:34" x14ac:dyDescent="0.2">
      <c r="B130" t="s">
        <v>347</v>
      </c>
    </row>
    <row r="131" spans="2:34" x14ac:dyDescent="0.2">
      <c r="B131" t="s">
        <v>348</v>
      </c>
      <c r="C131" t="s">
        <v>30</v>
      </c>
      <c r="E131" t="s">
        <v>349</v>
      </c>
      <c r="T131">
        <v>3.2128571428571431</v>
      </c>
      <c r="U131">
        <v>6.4757142857142851</v>
      </c>
      <c r="V131">
        <v>12.837142857142856</v>
      </c>
      <c r="W131">
        <v>19.421428571428571</v>
      </c>
      <c r="X131">
        <v>32.50714285714286</v>
      </c>
      <c r="Y131">
        <v>48.428571428571431</v>
      </c>
      <c r="Z131">
        <v>64.428571428571431</v>
      </c>
      <c r="AA131">
        <v>127.97142857142856</v>
      </c>
      <c r="AB131">
        <v>170.85714285714286</v>
      </c>
      <c r="AC131">
        <v>255.87142857142857</v>
      </c>
      <c r="AD131">
        <v>340.92857142857144</v>
      </c>
      <c r="AE131">
        <v>424.85714285714283</v>
      </c>
      <c r="AF131">
        <v>510.71428571428572</v>
      </c>
      <c r="AG131">
        <v>597.28571428571433</v>
      </c>
      <c r="AH131">
        <v>687.14285714285711</v>
      </c>
    </row>
    <row r="132" spans="2:34" x14ac:dyDescent="0.2">
      <c r="B132" t="s">
        <v>30</v>
      </c>
      <c r="C132">
        <f>C46*0.2</f>
        <v>2.92</v>
      </c>
      <c r="D132">
        <f t="shared" ref="D132:Q132" si="30">D46*0.2</f>
        <v>5.88</v>
      </c>
      <c r="E132">
        <f t="shared" si="30"/>
        <v>11.66</v>
      </c>
      <c r="F132">
        <f t="shared" si="30"/>
        <v>17.600000000000001</v>
      </c>
      <c r="G132">
        <f t="shared" si="30"/>
        <v>29.400000000000002</v>
      </c>
      <c r="H132">
        <f t="shared" si="30"/>
        <v>44</v>
      </c>
      <c r="I132">
        <f t="shared" si="30"/>
        <v>58.6</v>
      </c>
      <c r="J132">
        <f t="shared" si="30"/>
        <v>87.800000000000011</v>
      </c>
      <c r="K132">
        <f t="shared" si="30"/>
        <v>117</v>
      </c>
      <c r="L132">
        <f t="shared" si="30"/>
        <v>175.60000000000002</v>
      </c>
      <c r="M132">
        <f t="shared" si="30"/>
        <v>234</v>
      </c>
      <c r="N132">
        <f t="shared" si="30"/>
        <v>292</v>
      </c>
      <c r="O132">
        <f t="shared" si="30"/>
        <v>350</v>
      </c>
      <c r="P132">
        <f t="shared" si="30"/>
        <v>410</v>
      </c>
      <c r="Q132">
        <f t="shared" si="30"/>
        <v>470</v>
      </c>
      <c r="T132">
        <v>6.3255370935898329E-3</v>
      </c>
      <c r="U132">
        <v>6.3255370935898329E-3</v>
      </c>
      <c r="V132">
        <v>6.3255370935898329E-3</v>
      </c>
      <c r="W132">
        <v>6.3255370935898329E-3</v>
      </c>
      <c r="X132">
        <v>6.3255370935898329E-3</v>
      </c>
      <c r="Y132">
        <v>6.3255370935898329E-3</v>
      </c>
      <c r="Z132">
        <v>6.3255370935898329E-3</v>
      </c>
      <c r="AA132">
        <v>6.3255370935898329E-3</v>
      </c>
      <c r="AB132">
        <v>6.3255370935898329E-3</v>
      </c>
      <c r="AC132">
        <v>6.3255370935898329E-3</v>
      </c>
      <c r="AD132">
        <v>6.3255370935898329E-3</v>
      </c>
      <c r="AE132">
        <v>6.3255370935898329E-3</v>
      </c>
      <c r="AF132">
        <v>6.3255370935898329E-3</v>
      </c>
      <c r="AG132">
        <v>6.3255370935898329E-3</v>
      </c>
      <c r="AH132">
        <v>6.3255370935898329E-3</v>
      </c>
    </row>
    <row r="133" spans="2:34" x14ac:dyDescent="0.2">
      <c r="B133" t="s">
        <v>350</v>
      </c>
      <c r="C133">
        <f>C48*0.2</f>
        <v>9.82</v>
      </c>
      <c r="D133">
        <f t="shared" ref="D133:Q133" si="31">D48*0.2</f>
        <v>19.8</v>
      </c>
      <c r="E133">
        <f t="shared" si="31"/>
        <v>39.200000000000003</v>
      </c>
      <c r="F133">
        <f t="shared" si="31"/>
        <v>59.400000000000006</v>
      </c>
      <c r="G133">
        <f t="shared" si="31"/>
        <v>99.600000000000009</v>
      </c>
      <c r="H133">
        <f t="shared" si="31"/>
        <v>148</v>
      </c>
      <c r="I133">
        <f t="shared" si="31"/>
        <v>197.4</v>
      </c>
      <c r="J133">
        <f t="shared" si="31"/>
        <v>406</v>
      </c>
      <c r="K133">
        <f t="shared" si="31"/>
        <v>542</v>
      </c>
      <c r="L133">
        <f t="shared" si="31"/>
        <v>810</v>
      </c>
      <c r="M133">
        <f t="shared" si="31"/>
        <v>1080</v>
      </c>
      <c r="N133">
        <f t="shared" si="31"/>
        <v>1344</v>
      </c>
      <c r="O133">
        <f t="shared" si="31"/>
        <v>1620</v>
      </c>
      <c r="P133">
        <f t="shared" si="31"/>
        <v>1896</v>
      </c>
      <c r="Q133">
        <f t="shared" si="31"/>
        <v>2180</v>
      </c>
    </row>
    <row r="134" spans="2:34" x14ac:dyDescent="0.2">
      <c r="B134" t="s">
        <v>366</v>
      </c>
      <c r="C134">
        <f>C47*0.15</f>
        <v>9.75</v>
      </c>
      <c r="D134">
        <f t="shared" ref="D134:Q134" si="32">D47*0.15</f>
        <v>19.649999999999999</v>
      </c>
      <c r="E134">
        <f t="shared" si="32"/>
        <v>39</v>
      </c>
      <c r="F134">
        <f t="shared" si="32"/>
        <v>58.949999999999996</v>
      </c>
      <c r="G134">
        <f t="shared" si="32"/>
        <v>98.55</v>
      </c>
      <c r="H134">
        <f t="shared" si="32"/>
        <v>147</v>
      </c>
      <c r="I134">
        <f t="shared" si="32"/>
        <v>195</v>
      </c>
      <c r="J134">
        <f t="shared" si="32"/>
        <v>402</v>
      </c>
      <c r="K134">
        <f t="shared" si="32"/>
        <v>537</v>
      </c>
      <c r="L134">
        <f t="shared" si="32"/>
        <v>805.5</v>
      </c>
      <c r="M134">
        <f t="shared" si="32"/>
        <v>1072.5</v>
      </c>
      <c r="N134">
        <f t="shared" si="32"/>
        <v>1338</v>
      </c>
      <c r="O134">
        <f t="shared" si="32"/>
        <v>1605</v>
      </c>
      <c r="P134">
        <f t="shared" si="32"/>
        <v>1875</v>
      </c>
      <c r="Q134">
        <f t="shared" si="32"/>
        <v>2160</v>
      </c>
      <c r="T134">
        <f>T131+T132</f>
        <v>3.219182679950733</v>
      </c>
      <c r="U134">
        <f t="shared" ref="U134:AH134" si="33">U131+U132</f>
        <v>6.4820398228078746</v>
      </c>
      <c r="V134">
        <f t="shared" si="33"/>
        <v>12.843468394236446</v>
      </c>
      <c r="W134">
        <f t="shared" si="33"/>
        <v>19.427754108522162</v>
      </c>
      <c r="X134">
        <f t="shared" si="33"/>
        <v>32.513468394236448</v>
      </c>
      <c r="Y134">
        <f t="shared" si="33"/>
        <v>48.434896965665018</v>
      </c>
      <c r="Z134">
        <f t="shared" si="33"/>
        <v>64.434896965665018</v>
      </c>
      <c r="AA134">
        <f t="shared" si="33"/>
        <v>127.97775410852215</v>
      </c>
      <c r="AB134">
        <f t="shared" si="33"/>
        <v>170.86346839423646</v>
      </c>
      <c r="AC134">
        <f t="shared" si="33"/>
        <v>255.87775410852217</v>
      </c>
      <c r="AD134">
        <f t="shared" si="33"/>
        <v>340.93489696566502</v>
      </c>
      <c r="AE134">
        <f t="shared" si="33"/>
        <v>424.86346839423641</v>
      </c>
      <c r="AF134">
        <f t="shared" si="33"/>
        <v>510.7206112513793</v>
      </c>
      <c r="AG134">
        <f t="shared" si="33"/>
        <v>597.29203982280796</v>
      </c>
      <c r="AH134">
        <f t="shared" si="33"/>
        <v>687.14918267995074</v>
      </c>
    </row>
    <row r="135" spans="2:34" x14ac:dyDescent="0.2">
      <c r="T135">
        <v>3.219182679950733</v>
      </c>
      <c r="U135">
        <v>6.4820398228078746</v>
      </c>
      <c r="V135">
        <v>12.843468394236446</v>
      </c>
      <c r="W135">
        <v>19.427754108522162</v>
      </c>
      <c r="X135">
        <v>32.513468394236448</v>
      </c>
      <c r="Y135">
        <v>48.434896965665018</v>
      </c>
      <c r="Z135">
        <v>64.434896965665018</v>
      </c>
      <c r="AA135">
        <v>127.97775410852215</v>
      </c>
      <c r="AB135">
        <v>170.86346839423646</v>
      </c>
      <c r="AC135">
        <v>255.87775410852217</v>
      </c>
      <c r="AD135">
        <v>340.93489696566502</v>
      </c>
      <c r="AE135">
        <v>424.86346839423641</v>
      </c>
      <c r="AF135">
        <v>510.7206112513793</v>
      </c>
      <c r="AG135">
        <v>597.29203982280796</v>
      </c>
      <c r="AH135">
        <v>687.14918267995074</v>
      </c>
    </row>
    <row r="136" spans="2:34" x14ac:dyDescent="0.2">
      <c r="B136" t="s">
        <v>258</v>
      </c>
      <c r="C136">
        <f>SUM(C132:C134)</f>
        <v>22.490000000000002</v>
      </c>
      <c r="D136">
        <f t="shared" ref="D136:Q136" si="34">SUM(D132:D134)</f>
        <v>45.33</v>
      </c>
      <c r="E136">
        <f t="shared" si="34"/>
        <v>89.86</v>
      </c>
      <c r="F136">
        <f t="shared" si="34"/>
        <v>135.94999999999999</v>
      </c>
      <c r="G136">
        <f t="shared" si="34"/>
        <v>227.55</v>
      </c>
      <c r="H136">
        <f t="shared" si="34"/>
        <v>339</v>
      </c>
      <c r="I136">
        <f t="shared" si="34"/>
        <v>451</v>
      </c>
      <c r="J136">
        <f t="shared" si="34"/>
        <v>895.8</v>
      </c>
      <c r="K136">
        <f t="shared" si="34"/>
        <v>1196</v>
      </c>
      <c r="L136">
        <f t="shared" si="34"/>
        <v>1791.1</v>
      </c>
      <c r="M136">
        <f t="shared" si="34"/>
        <v>2386.5</v>
      </c>
      <c r="N136">
        <f t="shared" si="34"/>
        <v>2974</v>
      </c>
      <c r="O136">
        <f t="shared" si="34"/>
        <v>3575</v>
      </c>
      <c r="P136">
        <f t="shared" si="34"/>
        <v>4181</v>
      </c>
      <c r="Q136">
        <f t="shared" si="34"/>
        <v>4810</v>
      </c>
    </row>
    <row r="138" spans="2:34" x14ac:dyDescent="0.2">
      <c r="B138" t="s">
        <v>353</v>
      </c>
    </row>
    <row r="139" spans="2:34" x14ac:dyDescent="0.2">
      <c r="B139">
        <v>5</v>
      </c>
      <c r="C139">
        <f>C$136/$B139</f>
        <v>4.4980000000000002</v>
      </c>
      <c r="D139">
        <f t="shared" ref="D139:Q139" si="35">D$136/$B139</f>
        <v>9.0659999999999989</v>
      </c>
      <c r="E139">
        <f t="shared" si="35"/>
        <v>17.972000000000001</v>
      </c>
      <c r="F139">
        <f t="shared" si="35"/>
        <v>27.189999999999998</v>
      </c>
      <c r="G139">
        <f t="shared" si="35"/>
        <v>45.510000000000005</v>
      </c>
      <c r="H139">
        <f t="shared" si="35"/>
        <v>67.8</v>
      </c>
      <c r="I139">
        <f t="shared" si="35"/>
        <v>90.2</v>
      </c>
      <c r="J139">
        <f t="shared" si="35"/>
        <v>179.16</v>
      </c>
      <c r="K139">
        <f t="shared" si="35"/>
        <v>239.2</v>
      </c>
      <c r="L139">
        <f t="shared" si="35"/>
        <v>358.21999999999997</v>
      </c>
      <c r="M139">
        <f t="shared" si="35"/>
        <v>477.3</v>
      </c>
      <c r="N139">
        <f t="shared" si="35"/>
        <v>594.79999999999995</v>
      </c>
      <c r="O139">
        <f t="shared" si="35"/>
        <v>715</v>
      </c>
      <c r="P139">
        <f t="shared" si="35"/>
        <v>836.2</v>
      </c>
      <c r="Q139">
        <f t="shared" si="35"/>
        <v>962</v>
      </c>
    </row>
    <row r="140" spans="2:34" x14ac:dyDescent="0.2">
      <c r="B140">
        <v>6</v>
      </c>
      <c r="C140">
        <f t="shared" ref="C140:Q144" si="36">C$136/$B140</f>
        <v>3.7483333333333335</v>
      </c>
      <c r="D140">
        <f t="shared" si="36"/>
        <v>7.5549999999999997</v>
      </c>
      <c r="E140">
        <f t="shared" si="36"/>
        <v>14.976666666666667</v>
      </c>
      <c r="F140">
        <f t="shared" si="36"/>
        <v>22.658333333333331</v>
      </c>
      <c r="G140">
        <f t="shared" si="36"/>
        <v>37.925000000000004</v>
      </c>
      <c r="H140">
        <f t="shared" si="36"/>
        <v>56.5</v>
      </c>
      <c r="I140">
        <f t="shared" si="36"/>
        <v>75.166666666666671</v>
      </c>
      <c r="J140">
        <f t="shared" si="36"/>
        <v>149.29999999999998</v>
      </c>
      <c r="K140">
        <f t="shared" si="36"/>
        <v>199.33333333333334</v>
      </c>
      <c r="L140">
        <f t="shared" si="36"/>
        <v>298.51666666666665</v>
      </c>
      <c r="M140">
        <f t="shared" si="36"/>
        <v>397.75</v>
      </c>
      <c r="N140">
        <f t="shared" si="36"/>
        <v>495.66666666666669</v>
      </c>
      <c r="O140">
        <f t="shared" si="36"/>
        <v>595.83333333333337</v>
      </c>
      <c r="P140">
        <f t="shared" si="36"/>
        <v>696.83333333333337</v>
      </c>
      <c r="Q140">
        <f t="shared" si="36"/>
        <v>801.66666666666663</v>
      </c>
    </row>
    <row r="141" spans="2:34" x14ac:dyDescent="0.2">
      <c r="B141">
        <v>7</v>
      </c>
      <c r="C141">
        <f>C$136/$B141</f>
        <v>3.2128571428571431</v>
      </c>
      <c r="D141">
        <f t="shared" si="36"/>
        <v>6.4757142857142851</v>
      </c>
      <c r="E141">
        <f t="shared" si="36"/>
        <v>12.837142857142856</v>
      </c>
      <c r="F141">
        <f t="shared" si="36"/>
        <v>19.421428571428571</v>
      </c>
      <c r="G141">
        <f t="shared" si="36"/>
        <v>32.50714285714286</v>
      </c>
      <c r="H141">
        <f t="shared" si="36"/>
        <v>48.428571428571431</v>
      </c>
      <c r="I141">
        <f t="shared" si="36"/>
        <v>64.428571428571431</v>
      </c>
      <c r="J141">
        <f t="shared" si="36"/>
        <v>127.97142857142856</v>
      </c>
      <c r="K141">
        <f t="shared" si="36"/>
        <v>170.85714285714286</v>
      </c>
      <c r="L141">
        <f t="shared" si="36"/>
        <v>255.87142857142857</v>
      </c>
      <c r="M141">
        <f t="shared" si="36"/>
        <v>340.92857142857144</v>
      </c>
      <c r="N141">
        <f t="shared" si="36"/>
        <v>424.85714285714283</v>
      </c>
      <c r="O141">
        <f t="shared" si="36"/>
        <v>510.71428571428572</v>
      </c>
      <c r="P141">
        <f t="shared" si="36"/>
        <v>597.28571428571433</v>
      </c>
      <c r="Q141">
        <f t="shared" si="36"/>
        <v>687.14285714285711</v>
      </c>
    </row>
    <row r="142" spans="2:34" x14ac:dyDescent="0.2">
      <c r="B142">
        <v>8</v>
      </c>
      <c r="C142">
        <f t="shared" si="36"/>
        <v>2.8112500000000002</v>
      </c>
      <c r="D142">
        <f t="shared" si="36"/>
        <v>5.6662499999999998</v>
      </c>
      <c r="E142">
        <f t="shared" si="36"/>
        <v>11.2325</v>
      </c>
      <c r="F142">
        <f t="shared" si="36"/>
        <v>16.993749999999999</v>
      </c>
      <c r="G142">
        <f t="shared" si="36"/>
        <v>28.443750000000001</v>
      </c>
      <c r="H142">
        <f t="shared" si="36"/>
        <v>42.375</v>
      </c>
      <c r="I142">
        <f t="shared" si="36"/>
        <v>56.375</v>
      </c>
      <c r="J142">
        <f t="shared" si="36"/>
        <v>111.97499999999999</v>
      </c>
      <c r="K142">
        <f t="shared" si="36"/>
        <v>149.5</v>
      </c>
      <c r="L142">
        <f t="shared" si="36"/>
        <v>223.88749999999999</v>
      </c>
      <c r="M142">
        <f t="shared" si="36"/>
        <v>298.3125</v>
      </c>
      <c r="N142">
        <f t="shared" si="36"/>
        <v>371.75</v>
      </c>
      <c r="O142">
        <f t="shared" si="36"/>
        <v>446.875</v>
      </c>
      <c r="P142">
        <f t="shared" si="36"/>
        <v>522.625</v>
      </c>
      <c r="Q142">
        <f t="shared" si="36"/>
        <v>601.25</v>
      </c>
    </row>
    <row r="143" spans="2:34" x14ac:dyDescent="0.2">
      <c r="B143">
        <v>9</v>
      </c>
      <c r="C143">
        <f t="shared" si="36"/>
        <v>2.4988888888888892</v>
      </c>
      <c r="D143">
        <f t="shared" si="36"/>
        <v>5.0366666666666662</v>
      </c>
      <c r="E143">
        <f t="shared" si="36"/>
        <v>9.9844444444444438</v>
      </c>
      <c r="F143">
        <f t="shared" si="36"/>
        <v>15.105555555555554</v>
      </c>
      <c r="G143">
        <f t="shared" si="36"/>
        <v>25.283333333333335</v>
      </c>
      <c r="H143">
        <f t="shared" si="36"/>
        <v>37.666666666666664</v>
      </c>
      <c r="I143">
        <f t="shared" si="36"/>
        <v>50.111111111111114</v>
      </c>
      <c r="J143">
        <f t="shared" si="36"/>
        <v>99.533333333333331</v>
      </c>
      <c r="K143">
        <f t="shared" si="36"/>
        <v>132.88888888888889</v>
      </c>
      <c r="L143">
        <f t="shared" si="36"/>
        <v>199.01111111111109</v>
      </c>
      <c r="M143">
        <f t="shared" si="36"/>
        <v>265.16666666666669</v>
      </c>
      <c r="N143">
        <f t="shared" si="36"/>
        <v>330.44444444444446</v>
      </c>
      <c r="O143">
        <f t="shared" si="36"/>
        <v>397.22222222222223</v>
      </c>
      <c r="P143">
        <f t="shared" si="36"/>
        <v>464.55555555555554</v>
      </c>
      <c r="Q143">
        <f t="shared" si="36"/>
        <v>534.44444444444446</v>
      </c>
    </row>
    <row r="144" spans="2:34" x14ac:dyDescent="0.2">
      <c r="B144">
        <v>10</v>
      </c>
      <c r="C144">
        <f t="shared" si="36"/>
        <v>2.2490000000000001</v>
      </c>
      <c r="D144">
        <f t="shared" si="36"/>
        <v>4.5329999999999995</v>
      </c>
      <c r="E144">
        <f t="shared" si="36"/>
        <v>8.9860000000000007</v>
      </c>
      <c r="F144">
        <f t="shared" si="36"/>
        <v>13.594999999999999</v>
      </c>
      <c r="G144">
        <f t="shared" si="36"/>
        <v>22.755000000000003</v>
      </c>
      <c r="H144">
        <f t="shared" si="36"/>
        <v>33.9</v>
      </c>
      <c r="I144">
        <f t="shared" si="36"/>
        <v>45.1</v>
      </c>
      <c r="J144">
        <f t="shared" si="36"/>
        <v>89.58</v>
      </c>
      <c r="K144">
        <f t="shared" si="36"/>
        <v>119.6</v>
      </c>
      <c r="L144">
        <f t="shared" si="36"/>
        <v>179.10999999999999</v>
      </c>
      <c r="M144">
        <f t="shared" si="36"/>
        <v>238.65</v>
      </c>
      <c r="N144">
        <f t="shared" si="36"/>
        <v>297.39999999999998</v>
      </c>
      <c r="O144">
        <f t="shared" si="36"/>
        <v>357.5</v>
      </c>
      <c r="P144">
        <f t="shared" si="36"/>
        <v>418.1</v>
      </c>
      <c r="Q144">
        <f t="shared" si="36"/>
        <v>481</v>
      </c>
    </row>
    <row r="146" spans="2:19" x14ac:dyDescent="0.2">
      <c r="B146" t="s">
        <v>416</v>
      </c>
    </row>
    <row r="148" spans="2:19" x14ac:dyDescent="0.2">
      <c r="B148" t="s">
        <v>425</v>
      </c>
    </row>
    <row r="149" spans="2:19" ht="15" x14ac:dyDescent="0.25">
      <c r="B149" t="s">
        <v>426</v>
      </c>
      <c r="C149" s="38" t="s">
        <v>427</v>
      </c>
      <c r="D149" s="39">
        <v>100</v>
      </c>
      <c r="E149" t="s">
        <v>365</v>
      </c>
      <c r="G149" t="s">
        <v>430</v>
      </c>
      <c r="H149">
        <v>1.8</v>
      </c>
    </row>
    <row r="150" spans="2:19" ht="15" x14ac:dyDescent="0.25">
      <c r="C150" s="38" t="s">
        <v>428</v>
      </c>
      <c r="D150" s="40">
        <v>25</v>
      </c>
      <c r="E150" t="s">
        <v>365</v>
      </c>
    </row>
    <row r="151" spans="2:19" ht="15.75" thickBot="1" x14ac:dyDescent="0.3">
      <c r="C151" s="41" t="s">
        <v>429</v>
      </c>
      <c r="D151" s="42">
        <v>15</v>
      </c>
      <c r="E151" t="s">
        <v>365</v>
      </c>
      <c r="G151" t="s">
        <v>432</v>
      </c>
      <c r="H151">
        <v>0</v>
      </c>
      <c r="K151" t="s">
        <v>433</v>
      </c>
    </row>
    <row r="153" spans="2:19" x14ac:dyDescent="0.2">
      <c r="B153" t="s">
        <v>434</v>
      </c>
      <c r="C153">
        <f>C89</f>
        <v>75</v>
      </c>
      <c r="D153">
        <f t="shared" ref="D153:Q153" si="37">D89</f>
        <v>150</v>
      </c>
      <c r="E153">
        <f t="shared" si="37"/>
        <v>300</v>
      </c>
      <c r="F153">
        <f t="shared" si="37"/>
        <v>450</v>
      </c>
      <c r="G153">
        <f t="shared" si="37"/>
        <v>750</v>
      </c>
      <c r="H153">
        <f t="shared" si="37"/>
        <v>1125</v>
      </c>
      <c r="I153">
        <f t="shared" si="37"/>
        <v>1500</v>
      </c>
      <c r="J153">
        <f t="shared" si="37"/>
        <v>2250</v>
      </c>
      <c r="K153">
        <f t="shared" si="37"/>
        <v>3000</v>
      </c>
      <c r="L153">
        <f t="shared" si="37"/>
        <v>4500</v>
      </c>
      <c r="M153">
        <f t="shared" si="37"/>
        <v>6000</v>
      </c>
      <c r="N153">
        <f t="shared" si="37"/>
        <v>7500</v>
      </c>
      <c r="O153">
        <f t="shared" si="37"/>
        <v>9000</v>
      </c>
      <c r="P153">
        <f t="shared" si="37"/>
        <v>12000</v>
      </c>
      <c r="Q153">
        <f t="shared" si="37"/>
        <v>15000</v>
      </c>
    </row>
    <row r="154" spans="2:19" x14ac:dyDescent="0.2">
      <c r="B154" t="s">
        <v>431</v>
      </c>
      <c r="C154">
        <f>'Wetland Flow'!C25</f>
        <v>41.550000000000004</v>
      </c>
      <c r="D154">
        <f>'Wetland Flow'!D25</f>
        <v>83.100000000000009</v>
      </c>
      <c r="E154">
        <f>'Wetland Flow'!E25</f>
        <v>166.20000000000002</v>
      </c>
      <c r="F154">
        <f>'Wetland Flow'!F25</f>
        <v>249.3</v>
      </c>
      <c r="G154">
        <f>'Wetland Flow'!G25</f>
        <v>415.50000000000006</v>
      </c>
      <c r="H154">
        <f>'Wetland Flow'!H25</f>
        <v>623.25</v>
      </c>
      <c r="I154">
        <f>'Wetland Flow'!I25</f>
        <v>831.00000000000011</v>
      </c>
      <c r="J154">
        <f>'Wetland Flow'!J25</f>
        <v>1246.5</v>
      </c>
      <c r="K154">
        <f>'Wetland Flow'!K25</f>
        <v>1662.0000000000002</v>
      </c>
      <c r="L154">
        <f>'Wetland Flow'!L25</f>
        <v>2493</v>
      </c>
      <c r="M154">
        <f>'Wetland Flow'!M25</f>
        <v>3324.0000000000005</v>
      </c>
      <c r="N154">
        <f>'Wetland Flow'!N25</f>
        <v>4155</v>
      </c>
      <c r="O154">
        <f>'Wetland Flow'!O25</f>
        <v>4986</v>
      </c>
      <c r="P154">
        <f>'Wetland Flow'!P25</f>
        <v>6648.0000000000009</v>
      </c>
      <c r="Q154">
        <f>'Wetland Flow'!Q25</f>
        <v>8310</v>
      </c>
    </row>
    <row r="155" spans="2:19" x14ac:dyDescent="0.2">
      <c r="B155" t="s">
        <v>435</v>
      </c>
      <c r="C155">
        <f>(C154/1000)*365.25</f>
        <v>15.176137500000001</v>
      </c>
      <c r="D155">
        <f t="shared" ref="D155:Q155" si="38">(D154/1000)*365.25</f>
        <v>30.352275000000002</v>
      </c>
      <c r="E155">
        <f t="shared" si="38"/>
        <v>60.704550000000005</v>
      </c>
      <c r="F155">
        <f t="shared" si="38"/>
        <v>91.056825000000003</v>
      </c>
      <c r="G155">
        <f t="shared" si="38"/>
        <v>151.76137500000002</v>
      </c>
      <c r="H155">
        <f t="shared" si="38"/>
        <v>227.64206249999998</v>
      </c>
      <c r="I155">
        <f t="shared" si="38"/>
        <v>303.52275000000003</v>
      </c>
      <c r="J155">
        <f t="shared" si="38"/>
        <v>455.28412499999996</v>
      </c>
      <c r="K155">
        <f t="shared" si="38"/>
        <v>607.04550000000006</v>
      </c>
      <c r="L155">
        <f t="shared" si="38"/>
        <v>910.56824999999992</v>
      </c>
      <c r="M155">
        <f t="shared" si="38"/>
        <v>1214.0910000000001</v>
      </c>
      <c r="N155">
        <f t="shared" si="38"/>
        <v>1517.61375</v>
      </c>
      <c r="O155">
        <f t="shared" si="38"/>
        <v>1821.1364999999998</v>
      </c>
      <c r="P155">
        <f t="shared" si="38"/>
        <v>2428.1820000000002</v>
      </c>
      <c r="Q155">
        <f t="shared" si="38"/>
        <v>3035.2275</v>
      </c>
    </row>
    <row r="157" spans="2:19" x14ac:dyDescent="0.2">
      <c r="B157" t="s">
        <v>436</v>
      </c>
      <c r="C157">
        <f>((($D$150*$H$149)/1000)*C87)*365.25</f>
        <v>30.817968749999999</v>
      </c>
      <c r="D157">
        <f t="shared" ref="D157:Q157" si="39">((($D$150*$H$149)/1000)*D87)*365.25</f>
        <v>61.635937499999997</v>
      </c>
      <c r="E157">
        <f t="shared" si="39"/>
        <v>123.27187499999999</v>
      </c>
      <c r="F157">
        <f t="shared" si="39"/>
        <v>184.90781250000001</v>
      </c>
      <c r="G157">
        <f t="shared" si="39"/>
        <v>308.1796875</v>
      </c>
      <c r="H157">
        <f t="shared" si="39"/>
        <v>462.26953125</v>
      </c>
      <c r="I157">
        <f t="shared" si="39"/>
        <v>616.359375</v>
      </c>
      <c r="J157">
        <f t="shared" si="39"/>
        <v>924.5390625</v>
      </c>
      <c r="K157">
        <f t="shared" si="39"/>
        <v>1232.71875</v>
      </c>
      <c r="L157">
        <f t="shared" si="39"/>
        <v>1849.078125</v>
      </c>
      <c r="M157">
        <f t="shared" si="39"/>
        <v>2465.4375</v>
      </c>
      <c r="N157">
        <f t="shared" si="39"/>
        <v>3081.796875</v>
      </c>
      <c r="O157">
        <f t="shared" si="39"/>
        <v>3698.15625</v>
      </c>
      <c r="P157">
        <f t="shared" si="39"/>
        <v>4930.875</v>
      </c>
      <c r="Q157">
        <f t="shared" si="39"/>
        <v>6163.59375</v>
      </c>
    </row>
    <row r="158" spans="2:19" ht="12.75" customHeight="1" x14ac:dyDescent="0.2"/>
    <row r="159" spans="2:19" ht="15" x14ac:dyDescent="0.25">
      <c r="B159" s="1" t="s">
        <v>411</v>
      </c>
    </row>
    <row r="160" spans="2:19" x14ac:dyDescent="0.2">
      <c r="B160" t="s">
        <v>421</v>
      </c>
      <c r="C160">
        <f>C157*Conversions!$D$71</f>
        <v>0.77044921875000005</v>
      </c>
      <c r="D160">
        <f>D157*Conversions!$D$71</f>
        <v>1.5408984375000001</v>
      </c>
      <c r="E160">
        <f>E157*Conversions!$D$71</f>
        <v>3.0817968750000002</v>
      </c>
      <c r="F160">
        <f>F157*Conversions!$D$71</f>
        <v>4.6226953125000003</v>
      </c>
      <c r="G160">
        <f>G157*Conversions!$D$71</f>
        <v>7.7044921875000005</v>
      </c>
      <c r="H160">
        <f>H157*Conversions!$D$71</f>
        <v>11.55673828125</v>
      </c>
      <c r="I160">
        <f>I157*Conversions!$D$71</f>
        <v>15.408984375000001</v>
      </c>
      <c r="J160">
        <f>J157*Conversions!$D$71</f>
        <v>23.113476562500001</v>
      </c>
      <c r="K160">
        <f>K157*Conversions!$D$71</f>
        <v>30.817968750000002</v>
      </c>
      <c r="L160">
        <f>L157*Conversions!$D$71</f>
        <v>46.226953125000001</v>
      </c>
      <c r="M160">
        <f>M157*Conversions!$D$71</f>
        <v>61.635937500000004</v>
      </c>
      <c r="N160">
        <f>N157*Conversions!$D$71</f>
        <v>77.044921875</v>
      </c>
      <c r="O160">
        <f>O157*Conversions!$D$71</f>
        <v>92.453906250000003</v>
      </c>
      <c r="P160">
        <f>P157*Conversions!$D$71</f>
        <v>123.27187500000001</v>
      </c>
      <c r="Q160">
        <f>Q157*Conversions!$D$71</f>
        <v>154.08984375</v>
      </c>
      <c r="S160">
        <f>C160*J81</f>
        <v>21.572578125</v>
      </c>
    </row>
    <row r="161" spans="2:19" x14ac:dyDescent="0.2">
      <c r="B161" t="s">
        <v>422</v>
      </c>
      <c r="C161">
        <f>Conversions!$D$75*'VF '!C155</f>
        <v>3.7940343750000001E-2</v>
      </c>
      <c r="D161">
        <f>Conversions!$D$75*'VF '!D155</f>
        <v>7.5880687500000002E-2</v>
      </c>
      <c r="E161">
        <f>Conversions!$D$75*'VF '!E155</f>
        <v>0.151761375</v>
      </c>
      <c r="F161">
        <f>Conversions!$D$75*'VF '!F155</f>
        <v>0.22764206250000002</v>
      </c>
      <c r="G161">
        <f>Conversions!$D$75*'VF '!G155</f>
        <v>0.37940343750000005</v>
      </c>
      <c r="H161">
        <f>Conversions!$D$75*'VF '!H155</f>
        <v>0.56910515624999991</v>
      </c>
      <c r="I161">
        <f>Conversions!$D$75*'VF '!I155</f>
        <v>0.7588068750000001</v>
      </c>
      <c r="J161">
        <f>Conversions!$D$75*'VF '!J155</f>
        <v>1.1382103124999998</v>
      </c>
      <c r="K161">
        <f>Conversions!$D$75*'VF '!K155</f>
        <v>1.5176137500000002</v>
      </c>
      <c r="L161">
        <f>Conversions!$D$75*'VF '!L155</f>
        <v>2.2764206249999996</v>
      </c>
      <c r="M161">
        <f>Conversions!$D$75*'VF '!M155</f>
        <v>3.0352275000000004</v>
      </c>
      <c r="N161">
        <f>Conversions!$D$75*'VF '!N155</f>
        <v>3.7940343749999998</v>
      </c>
      <c r="O161">
        <f>Conversions!$D$75*'VF '!O155</f>
        <v>4.5528412499999993</v>
      </c>
      <c r="P161">
        <f>Conversions!$D$75*'VF '!P155</f>
        <v>6.0704550000000008</v>
      </c>
      <c r="Q161">
        <f>Conversions!$D$75*'VF '!Q155</f>
        <v>7.5880687499999997</v>
      </c>
      <c r="S161">
        <f>C161*J80</f>
        <v>10.054191093750001</v>
      </c>
    </row>
    <row r="163" spans="2:19" x14ac:dyDescent="0.2">
      <c r="B163" t="s">
        <v>420</v>
      </c>
      <c r="C163">
        <f>C160*$J$81+$J$80*C161</f>
        <v>31.626769218749999</v>
      </c>
      <c r="D163">
        <f t="shared" ref="D163:P163" si="40">D160*$J$81+$J$80*D161</f>
        <v>63.253538437499998</v>
      </c>
      <c r="E163">
        <f t="shared" si="40"/>
        <v>126.507076875</v>
      </c>
      <c r="F163">
        <f t="shared" si="40"/>
        <v>189.76061531250002</v>
      </c>
      <c r="G163">
        <f t="shared" si="40"/>
        <v>316.26769218750002</v>
      </c>
      <c r="H163">
        <f t="shared" si="40"/>
        <v>474.40153828124994</v>
      </c>
      <c r="I163">
        <f t="shared" si="40"/>
        <v>632.53538437500004</v>
      </c>
      <c r="J163">
        <f t="shared" si="40"/>
        <v>948.80307656249988</v>
      </c>
      <c r="K163">
        <f t="shared" si="40"/>
        <v>1265.0707687500001</v>
      </c>
      <c r="L163">
        <f t="shared" si="40"/>
        <v>1897.6061531249998</v>
      </c>
      <c r="M163">
        <f t="shared" si="40"/>
        <v>2530.1415375000001</v>
      </c>
      <c r="N163">
        <f t="shared" si="40"/>
        <v>3162.6769218750001</v>
      </c>
      <c r="O163">
        <f t="shared" si="40"/>
        <v>3795.2123062499995</v>
      </c>
      <c r="P163">
        <f t="shared" si="40"/>
        <v>5060.2830750000003</v>
      </c>
      <c r="Q163">
        <f>Q160*$J$81+$J$80*Q161</f>
        <v>6325.3538437500001</v>
      </c>
      <c r="S163">
        <f>S160/5</f>
        <v>4.3145156250000003</v>
      </c>
    </row>
    <row r="164" spans="2:19" x14ac:dyDescent="0.2">
      <c r="S164">
        <f>S161/5</f>
        <v>2.01083821875</v>
      </c>
    </row>
    <row r="165" spans="2:19" x14ac:dyDescent="0.2">
      <c r="B165" t="s">
        <v>419</v>
      </c>
    </row>
    <row r="167" spans="2:19" x14ac:dyDescent="0.2">
      <c r="B167" t="s">
        <v>417</v>
      </c>
      <c r="C167">
        <f>C157*Conversions!$C$71</f>
        <v>0</v>
      </c>
      <c r="D167">
        <f>D157*Conversions!$C$71</f>
        <v>0</v>
      </c>
      <c r="E167">
        <f>E157*Conversions!$C$71</f>
        <v>0</v>
      </c>
      <c r="F167">
        <f>F157*Conversions!$C$71</f>
        <v>0</v>
      </c>
      <c r="G167">
        <f>G157*Conversions!$C$71</f>
        <v>0</v>
      </c>
      <c r="H167">
        <f>H157*Conversions!$C$71</f>
        <v>0</v>
      </c>
      <c r="I167">
        <f>I157*Conversions!$C$71</f>
        <v>0</v>
      </c>
      <c r="J167">
        <f>J157*Conversions!$C$71</f>
        <v>0</v>
      </c>
      <c r="K167">
        <f>K157*Conversions!$C$71</f>
        <v>0</v>
      </c>
      <c r="L167">
        <f>L157*Conversions!$C$71</f>
        <v>0</v>
      </c>
      <c r="M167">
        <f>M157*Conversions!$C$71</f>
        <v>0</v>
      </c>
      <c r="N167">
        <f>N157*Conversions!$C$71</f>
        <v>0</v>
      </c>
      <c r="O167">
        <f>O157*Conversions!$C$71</f>
        <v>0</v>
      </c>
      <c r="P167">
        <f>P157*Conversions!$C$71</f>
        <v>0</v>
      </c>
      <c r="Q167">
        <f>Q157*Conversions!$C$71</f>
        <v>0</v>
      </c>
    </row>
    <row r="168" spans="2:19" x14ac:dyDescent="0.2">
      <c r="B168" t="s">
        <v>418</v>
      </c>
      <c r="C168">
        <f>Conversions!$C$75*'VF '!C155</f>
        <v>7.5880687500000004E-3</v>
      </c>
      <c r="D168">
        <f>Conversions!$C$75*'VF '!D155</f>
        <v>1.5176137500000001E-2</v>
      </c>
      <c r="E168">
        <f>Conversions!$C$75*'VF '!E155</f>
        <v>3.0352275000000001E-2</v>
      </c>
      <c r="F168">
        <f>Conversions!$C$75*'VF '!F155</f>
        <v>4.5528412500000004E-2</v>
      </c>
      <c r="G168">
        <f>Conversions!$C$75*'VF '!G155</f>
        <v>7.5880687500000016E-2</v>
      </c>
      <c r="H168">
        <f>Conversions!$C$75*'VF '!H155</f>
        <v>0.11382103125</v>
      </c>
      <c r="I168">
        <f>Conversions!$C$75*'VF '!I155</f>
        <v>0.15176137500000003</v>
      </c>
      <c r="J168">
        <f>Conversions!$C$75*'VF '!J155</f>
        <v>0.22764206249999999</v>
      </c>
      <c r="K168">
        <f>Conversions!$C$75*'VF '!K155</f>
        <v>0.30352275000000006</v>
      </c>
      <c r="L168">
        <f>Conversions!$C$75*'VF '!L155</f>
        <v>0.45528412499999998</v>
      </c>
      <c r="M168">
        <f>Conversions!$C$75*'VF '!M155</f>
        <v>0.60704550000000013</v>
      </c>
      <c r="N168">
        <f>Conversions!$C$75*'VF '!N155</f>
        <v>0.75880687499999999</v>
      </c>
      <c r="O168">
        <f>Conversions!$C$75*'VF '!O155</f>
        <v>0.91056824999999997</v>
      </c>
      <c r="P168">
        <f>Conversions!$C$75*'VF '!P155</f>
        <v>1.2140910000000003</v>
      </c>
      <c r="Q168">
        <f>Conversions!$C$75*'VF '!Q155</f>
        <v>1.51761375</v>
      </c>
    </row>
    <row r="170" spans="2:19" x14ac:dyDescent="0.2">
      <c r="B170" t="s">
        <v>420</v>
      </c>
      <c r="C170">
        <f>C167*$J$81+$J$80*C168</f>
        <v>2.01083821875</v>
      </c>
      <c r="D170">
        <f t="shared" ref="D170:Q170" si="41">D167*$J$81+$J$80*D168</f>
        <v>4.0216764375</v>
      </c>
      <c r="E170">
        <f t="shared" si="41"/>
        <v>8.0433528750000001</v>
      </c>
      <c r="F170">
        <f t="shared" si="41"/>
        <v>12.065029312500002</v>
      </c>
      <c r="G170">
        <f t="shared" si="41"/>
        <v>20.108382187500006</v>
      </c>
      <c r="H170">
        <f t="shared" si="41"/>
        <v>30.162573281249998</v>
      </c>
      <c r="I170">
        <f t="shared" si="41"/>
        <v>40.216764375000011</v>
      </c>
      <c r="J170">
        <f t="shared" si="41"/>
        <v>60.325146562499995</v>
      </c>
      <c r="K170">
        <f t="shared" si="41"/>
        <v>80.433528750000022</v>
      </c>
      <c r="L170">
        <f t="shared" si="41"/>
        <v>120.65029312499999</v>
      </c>
      <c r="M170">
        <f t="shared" si="41"/>
        <v>160.86705750000004</v>
      </c>
      <c r="N170">
        <f t="shared" si="41"/>
        <v>201.08382187499998</v>
      </c>
      <c r="O170">
        <f t="shared" si="41"/>
        <v>241.30058624999998</v>
      </c>
      <c r="P170">
        <f t="shared" si="41"/>
        <v>321.73411500000009</v>
      </c>
      <c r="Q170">
        <f t="shared" si="41"/>
        <v>402.16764374999997</v>
      </c>
    </row>
    <row r="172" spans="2:19" x14ac:dyDescent="0.2">
      <c r="B172" t="s">
        <v>423</v>
      </c>
    </row>
    <row r="174" spans="2:19" x14ac:dyDescent="0.2">
      <c r="B174" t="s">
        <v>417</v>
      </c>
      <c r="C174">
        <f>C157*Conversions!$E$71</f>
        <v>1.5408984375000001</v>
      </c>
      <c r="D174">
        <f>D157*Conversions!$E$71</f>
        <v>3.0817968750000002</v>
      </c>
      <c r="E174">
        <f>E157*Conversions!$E$71</f>
        <v>6.1635937500000004</v>
      </c>
      <c r="F174">
        <f>F157*Conversions!$E$71</f>
        <v>9.2453906250000006</v>
      </c>
      <c r="G174">
        <f>G157*Conversions!$E$71</f>
        <v>15.408984375000001</v>
      </c>
      <c r="H174">
        <f>H157*Conversions!$E$71</f>
        <v>23.113476562500001</v>
      </c>
      <c r="I174">
        <f>I157*Conversions!$E$71</f>
        <v>30.817968750000002</v>
      </c>
      <c r="J174">
        <f>J157*Conversions!$E$71</f>
        <v>46.226953125000001</v>
      </c>
      <c r="K174">
        <f>K157*Conversions!$E$71</f>
        <v>61.635937500000004</v>
      </c>
      <c r="L174">
        <f>L157*Conversions!$E$71</f>
        <v>92.453906250000003</v>
      </c>
      <c r="M174">
        <f>M157*Conversions!$E$71</f>
        <v>123.27187500000001</v>
      </c>
      <c r="N174">
        <f>N157*Conversions!$E$71</f>
        <v>154.08984375</v>
      </c>
      <c r="O174">
        <f>O157*Conversions!$E$71</f>
        <v>184.90781250000001</v>
      </c>
      <c r="P174">
        <f>P157*Conversions!$E$71</f>
        <v>246.54375000000002</v>
      </c>
      <c r="Q174">
        <f>Q157*Conversions!$E$71</f>
        <v>308.1796875</v>
      </c>
    </row>
    <row r="175" spans="2:19" x14ac:dyDescent="0.2">
      <c r="B175" t="s">
        <v>418</v>
      </c>
      <c r="C175">
        <f>Conversions!$E$75*'VF '!C155</f>
        <v>7.5880687500000002E-2</v>
      </c>
      <c r="D175">
        <f>Conversions!$E$75*'VF '!D155</f>
        <v>0.151761375</v>
      </c>
      <c r="E175">
        <f>Conversions!$E$75*'VF '!E155</f>
        <v>0.30352275000000001</v>
      </c>
      <c r="F175">
        <f>Conversions!$E$75*'VF '!F155</f>
        <v>0.45528412500000004</v>
      </c>
      <c r="G175">
        <f>Conversions!$E$75*'VF '!G155</f>
        <v>0.7588068750000001</v>
      </c>
      <c r="H175">
        <f>Conversions!$E$75*'VF '!H155</f>
        <v>1.1382103124999998</v>
      </c>
      <c r="I175">
        <f>Conversions!$E$75*'VF '!I155</f>
        <v>1.5176137500000002</v>
      </c>
      <c r="J175">
        <f>Conversions!$E$75*'VF '!J155</f>
        <v>2.2764206249999996</v>
      </c>
      <c r="K175">
        <f>Conversions!$E$75*'VF '!K155</f>
        <v>3.0352275000000004</v>
      </c>
      <c r="L175">
        <f>Conversions!$E$75*'VF '!L155</f>
        <v>4.5528412499999993</v>
      </c>
      <c r="M175">
        <f>Conversions!$E$75*'VF '!M155</f>
        <v>6.0704550000000008</v>
      </c>
      <c r="N175">
        <f>Conversions!$E$75*'VF '!N155</f>
        <v>7.5880687499999997</v>
      </c>
      <c r="O175">
        <f>Conversions!$E$75*'VF '!O155</f>
        <v>9.1056824999999986</v>
      </c>
      <c r="P175">
        <f>Conversions!$E$75*'VF '!P155</f>
        <v>12.140910000000002</v>
      </c>
      <c r="Q175">
        <f>Conversions!$E$75*'VF '!Q155</f>
        <v>15.176137499999999</v>
      </c>
    </row>
    <row r="177" spans="2:33" x14ac:dyDescent="0.2">
      <c r="B177" t="s">
        <v>420</v>
      </c>
      <c r="C177">
        <f>C174*$J$81+$J$80*C175</f>
        <v>63.253538437499998</v>
      </c>
      <c r="D177">
        <f t="shared" ref="D177:Q177" si="42">D174*$J$81+$J$80*D175</f>
        <v>126.507076875</v>
      </c>
      <c r="E177">
        <f t="shared" si="42"/>
        <v>253.01415374999999</v>
      </c>
      <c r="F177">
        <f t="shared" si="42"/>
        <v>379.52123062500004</v>
      </c>
      <c r="G177">
        <f t="shared" si="42"/>
        <v>632.53538437500004</v>
      </c>
      <c r="H177">
        <f t="shared" si="42"/>
        <v>948.80307656249988</v>
      </c>
      <c r="I177">
        <f t="shared" si="42"/>
        <v>1265.0707687500001</v>
      </c>
      <c r="J177">
        <f t="shared" si="42"/>
        <v>1897.6061531249998</v>
      </c>
      <c r="K177">
        <f t="shared" si="42"/>
        <v>2530.1415375000001</v>
      </c>
      <c r="L177">
        <f t="shared" si="42"/>
        <v>3795.2123062499995</v>
      </c>
      <c r="M177">
        <f t="shared" si="42"/>
        <v>5060.2830750000003</v>
      </c>
      <c r="N177">
        <f t="shared" si="42"/>
        <v>6325.3538437500001</v>
      </c>
      <c r="O177">
        <f t="shared" si="42"/>
        <v>7590.4246124999991</v>
      </c>
      <c r="P177">
        <f t="shared" si="42"/>
        <v>10120.566150000001</v>
      </c>
      <c r="Q177">
        <f t="shared" si="42"/>
        <v>12650.7076875</v>
      </c>
    </row>
    <row r="179" spans="2:33" x14ac:dyDescent="0.2">
      <c r="B179" t="s">
        <v>411</v>
      </c>
      <c r="C179">
        <f>C163</f>
        <v>31.626769218749999</v>
      </c>
      <c r="D179">
        <f t="shared" ref="D179:P179" si="43">D163</f>
        <v>63.253538437499998</v>
      </c>
      <c r="E179">
        <f t="shared" si="43"/>
        <v>126.507076875</v>
      </c>
      <c r="F179">
        <f t="shared" si="43"/>
        <v>189.76061531250002</v>
      </c>
      <c r="G179">
        <f t="shared" si="43"/>
        <v>316.26769218750002</v>
      </c>
      <c r="H179">
        <f t="shared" si="43"/>
        <v>474.40153828124994</v>
      </c>
      <c r="I179">
        <f t="shared" si="43"/>
        <v>632.53538437500004</v>
      </c>
      <c r="J179">
        <f t="shared" si="43"/>
        <v>948.80307656249988</v>
      </c>
      <c r="K179">
        <f t="shared" si="43"/>
        <v>1265.0707687500001</v>
      </c>
      <c r="L179">
        <f t="shared" si="43"/>
        <v>1897.6061531249998</v>
      </c>
      <c r="M179">
        <f t="shared" si="43"/>
        <v>2530.1415375000001</v>
      </c>
      <c r="N179">
        <f t="shared" si="43"/>
        <v>3162.6769218750001</v>
      </c>
      <c r="O179">
        <f t="shared" si="43"/>
        <v>3795.2123062499995</v>
      </c>
      <c r="P179">
        <f t="shared" si="43"/>
        <v>5060.2830750000003</v>
      </c>
      <c r="Q179">
        <f>Q163</f>
        <v>6325.3538437500001</v>
      </c>
    </row>
    <row r="180" spans="2:33" x14ac:dyDescent="0.2">
      <c r="B180" t="s">
        <v>155</v>
      </c>
      <c r="C180">
        <f>C170</f>
        <v>2.01083821875</v>
      </c>
      <c r="D180">
        <f t="shared" ref="D180:Q180" si="44">D170</f>
        <v>4.0216764375</v>
      </c>
      <c r="E180">
        <f t="shared" si="44"/>
        <v>8.0433528750000001</v>
      </c>
      <c r="F180">
        <f t="shared" si="44"/>
        <v>12.065029312500002</v>
      </c>
      <c r="G180">
        <f t="shared" si="44"/>
        <v>20.108382187500006</v>
      </c>
      <c r="H180">
        <f t="shared" si="44"/>
        <v>30.162573281249998</v>
      </c>
      <c r="I180">
        <f t="shared" si="44"/>
        <v>40.216764375000011</v>
      </c>
      <c r="J180">
        <f t="shared" si="44"/>
        <v>60.325146562499995</v>
      </c>
      <c r="K180">
        <f t="shared" si="44"/>
        <v>80.433528750000022</v>
      </c>
      <c r="L180">
        <f t="shared" si="44"/>
        <v>120.65029312499999</v>
      </c>
      <c r="M180">
        <f t="shared" si="44"/>
        <v>160.86705750000004</v>
      </c>
      <c r="N180">
        <f t="shared" si="44"/>
        <v>201.08382187499998</v>
      </c>
      <c r="O180">
        <f t="shared" si="44"/>
        <v>241.30058624999998</v>
      </c>
      <c r="P180">
        <f t="shared" si="44"/>
        <v>321.73411500000009</v>
      </c>
      <c r="Q180">
        <f t="shared" si="44"/>
        <v>402.16764374999997</v>
      </c>
    </row>
    <row r="181" spans="2:33" x14ac:dyDescent="0.2">
      <c r="B181" t="s">
        <v>156</v>
      </c>
      <c r="C181">
        <f>C177</f>
        <v>63.253538437499998</v>
      </c>
      <c r="D181">
        <f t="shared" ref="D181:Q181" si="45">D177</f>
        <v>126.507076875</v>
      </c>
      <c r="E181">
        <f t="shared" si="45"/>
        <v>253.01415374999999</v>
      </c>
      <c r="F181">
        <f t="shared" si="45"/>
        <v>379.52123062500004</v>
      </c>
      <c r="G181">
        <f t="shared" si="45"/>
        <v>632.53538437500004</v>
      </c>
      <c r="H181">
        <f t="shared" si="45"/>
        <v>948.80307656249988</v>
      </c>
      <c r="I181">
        <f t="shared" si="45"/>
        <v>1265.0707687500001</v>
      </c>
      <c r="J181">
        <f t="shared" si="45"/>
        <v>1897.6061531249998</v>
      </c>
      <c r="K181">
        <f t="shared" si="45"/>
        <v>2530.1415375000001</v>
      </c>
      <c r="L181">
        <f t="shared" si="45"/>
        <v>3795.2123062499995</v>
      </c>
      <c r="M181">
        <f t="shared" si="45"/>
        <v>5060.2830750000003</v>
      </c>
      <c r="N181">
        <f t="shared" si="45"/>
        <v>6325.3538437500001</v>
      </c>
      <c r="O181">
        <f t="shared" si="45"/>
        <v>7590.4246124999991</v>
      </c>
      <c r="P181">
        <f t="shared" si="45"/>
        <v>10120.566150000001</v>
      </c>
      <c r="Q181">
        <f t="shared" si="45"/>
        <v>12650.7076875</v>
      </c>
    </row>
    <row r="183" spans="2:33" x14ac:dyDescent="0.2">
      <c r="B183" t="s">
        <v>303</v>
      </c>
    </row>
    <row r="185" spans="2:33" x14ac:dyDescent="0.2">
      <c r="B185" t="s">
        <v>322</v>
      </c>
      <c r="C185">
        <f t="shared" ref="C185:Q185" si="46">C127*12/13</f>
        <v>306.24</v>
      </c>
      <c r="D185">
        <f t="shared" si="46"/>
        <v>306.24</v>
      </c>
      <c r="E185">
        <f t="shared" si="46"/>
        <v>306.24</v>
      </c>
      <c r="F185">
        <f t="shared" si="46"/>
        <v>306.24</v>
      </c>
      <c r="G185">
        <f t="shared" si="46"/>
        <v>306.24</v>
      </c>
      <c r="H185">
        <f t="shared" si="46"/>
        <v>306.24</v>
      </c>
      <c r="I185">
        <f t="shared" si="46"/>
        <v>306.24</v>
      </c>
      <c r="J185">
        <f t="shared" si="46"/>
        <v>306.24</v>
      </c>
      <c r="K185">
        <f t="shared" si="46"/>
        <v>306.24</v>
      </c>
      <c r="L185">
        <f t="shared" si="46"/>
        <v>306.24</v>
      </c>
      <c r="M185">
        <f t="shared" si="46"/>
        <v>306.24</v>
      </c>
      <c r="N185">
        <f t="shared" si="46"/>
        <v>306.24</v>
      </c>
      <c r="O185">
        <f t="shared" si="46"/>
        <v>306.24</v>
      </c>
      <c r="P185">
        <f t="shared" si="46"/>
        <v>306.24</v>
      </c>
      <c r="Q185">
        <f t="shared" si="46"/>
        <v>306.24</v>
      </c>
    </row>
    <row r="186" spans="2:33" x14ac:dyDescent="0.2">
      <c r="B186" t="s">
        <v>324</v>
      </c>
      <c r="C186">
        <f t="shared" ref="C186:Q186" si="47">C127-C185</f>
        <v>25.519999999999982</v>
      </c>
      <c r="D186">
        <f t="shared" si="47"/>
        <v>25.519999999999982</v>
      </c>
      <c r="E186">
        <f t="shared" si="47"/>
        <v>25.519999999999982</v>
      </c>
      <c r="F186">
        <f t="shared" si="47"/>
        <v>25.519999999999982</v>
      </c>
      <c r="G186">
        <f t="shared" si="47"/>
        <v>25.519999999999982</v>
      </c>
      <c r="H186">
        <f t="shared" si="47"/>
        <v>25.519999999999982</v>
      </c>
      <c r="I186">
        <f t="shared" si="47"/>
        <v>25.519999999999982</v>
      </c>
      <c r="J186">
        <f t="shared" si="47"/>
        <v>25.519999999999982</v>
      </c>
      <c r="K186">
        <f t="shared" si="47"/>
        <v>25.519999999999982</v>
      </c>
      <c r="L186">
        <f t="shared" si="47"/>
        <v>25.519999999999982</v>
      </c>
      <c r="M186">
        <f t="shared" si="47"/>
        <v>25.519999999999982</v>
      </c>
      <c r="N186">
        <f t="shared" si="47"/>
        <v>25.519999999999982</v>
      </c>
      <c r="O186">
        <f t="shared" si="47"/>
        <v>25.519999999999982</v>
      </c>
      <c r="P186">
        <f t="shared" si="47"/>
        <v>25.519999999999982</v>
      </c>
      <c r="Q186">
        <f t="shared" si="47"/>
        <v>25.519999999999982</v>
      </c>
    </row>
    <row r="187" spans="2:33" x14ac:dyDescent="0.2">
      <c r="B187" t="s">
        <v>346</v>
      </c>
      <c r="C187">
        <f t="shared" ref="C187:Q187" si="48">C105</f>
        <v>12.351841874999998</v>
      </c>
      <c r="D187">
        <f t="shared" si="48"/>
        <v>24.703683749999996</v>
      </c>
      <c r="E187">
        <f t="shared" si="48"/>
        <v>49.407367499999992</v>
      </c>
      <c r="F187">
        <f t="shared" si="48"/>
        <v>74.111051250000003</v>
      </c>
      <c r="G187">
        <f t="shared" si="48"/>
        <v>123.51841875</v>
      </c>
      <c r="H187">
        <f t="shared" si="48"/>
        <v>185.27762812500001</v>
      </c>
      <c r="I187">
        <f t="shared" si="48"/>
        <v>247.03683749999999</v>
      </c>
      <c r="J187">
        <f t="shared" si="48"/>
        <v>370.55525625000001</v>
      </c>
      <c r="K187">
        <f t="shared" si="48"/>
        <v>494.07367499999998</v>
      </c>
      <c r="L187">
        <f t="shared" si="48"/>
        <v>741.11051250000003</v>
      </c>
      <c r="M187">
        <f t="shared" si="48"/>
        <v>988.14734999999996</v>
      </c>
      <c r="N187">
        <f t="shared" si="48"/>
        <v>1235.1841875</v>
      </c>
      <c r="O187">
        <f t="shared" si="48"/>
        <v>1482.2210250000001</v>
      </c>
      <c r="P187">
        <f t="shared" si="48"/>
        <v>1976.2946999999999</v>
      </c>
      <c r="Q187">
        <f t="shared" si="48"/>
        <v>2470.368375</v>
      </c>
    </row>
    <row r="188" spans="2:33" x14ac:dyDescent="0.2">
      <c r="B188" t="s">
        <v>347</v>
      </c>
      <c r="C188">
        <f t="shared" ref="C188:Q188" si="49">C141</f>
        <v>3.2128571428571431</v>
      </c>
      <c r="D188">
        <f t="shared" si="49"/>
        <v>6.4757142857142851</v>
      </c>
      <c r="E188">
        <f t="shared" si="49"/>
        <v>12.837142857142856</v>
      </c>
      <c r="F188">
        <f t="shared" si="49"/>
        <v>19.421428571428571</v>
      </c>
      <c r="G188">
        <f t="shared" si="49"/>
        <v>32.50714285714286</v>
      </c>
      <c r="H188">
        <f t="shared" si="49"/>
        <v>48.428571428571431</v>
      </c>
      <c r="I188">
        <f t="shared" si="49"/>
        <v>64.428571428571431</v>
      </c>
      <c r="J188">
        <f t="shared" si="49"/>
        <v>127.97142857142856</v>
      </c>
      <c r="K188">
        <f t="shared" si="49"/>
        <v>170.85714285714286</v>
      </c>
      <c r="L188">
        <f t="shared" si="49"/>
        <v>255.87142857142857</v>
      </c>
      <c r="M188">
        <f t="shared" si="49"/>
        <v>340.92857142857144</v>
      </c>
      <c r="N188">
        <f t="shared" si="49"/>
        <v>424.85714285714283</v>
      </c>
      <c r="O188">
        <f t="shared" si="49"/>
        <v>510.71428571428572</v>
      </c>
      <c r="P188">
        <f t="shared" si="49"/>
        <v>597.28571428571433</v>
      </c>
      <c r="Q188">
        <f t="shared" si="49"/>
        <v>687.14285714285711</v>
      </c>
      <c r="S188">
        <f>C186+C188</f>
        <v>28.732857142857124</v>
      </c>
      <c r="T188">
        <f t="shared" ref="T188:AG188" si="50">D186+D188</f>
        <v>31.995714285714268</v>
      </c>
      <c r="U188">
        <f t="shared" si="50"/>
        <v>38.35714285714284</v>
      </c>
      <c r="V188">
        <f t="shared" si="50"/>
        <v>44.941428571428553</v>
      </c>
      <c r="W188">
        <f t="shared" si="50"/>
        <v>58.027142857142842</v>
      </c>
      <c r="X188">
        <f t="shared" si="50"/>
        <v>73.948571428571412</v>
      </c>
      <c r="Y188">
        <f t="shared" si="50"/>
        <v>89.948571428571412</v>
      </c>
      <c r="Z188">
        <f t="shared" si="50"/>
        <v>153.49142857142854</v>
      </c>
      <c r="AA188">
        <f t="shared" si="50"/>
        <v>196.37714285714284</v>
      </c>
      <c r="AB188">
        <f t="shared" si="50"/>
        <v>281.39142857142855</v>
      </c>
      <c r="AC188">
        <f t="shared" si="50"/>
        <v>366.44857142857143</v>
      </c>
      <c r="AD188">
        <f t="shared" si="50"/>
        <v>450.37714285714281</v>
      </c>
      <c r="AE188">
        <f t="shared" si="50"/>
        <v>536.23428571428576</v>
      </c>
      <c r="AF188">
        <f t="shared" si="50"/>
        <v>622.80571428571432</v>
      </c>
      <c r="AG188">
        <f t="shared" si="50"/>
        <v>712.66285714285709</v>
      </c>
    </row>
    <row r="189" spans="2:33" x14ac:dyDescent="0.2">
      <c r="B189" t="s">
        <v>424</v>
      </c>
      <c r="C189">
        <f>C179</f>
        <v>31.626769218749999</v>
      </c>
      <c r="D189">
        <f t="shared" ref="D189:Q189" si="51">D179</f>
        <v>63.253538437499998</v>
      </c>
      <c r="E189">
        <f t="shared" si="51"/>
        <v>126.507076875</v>
      </c>
      <c r="F189">
        <f t="shared" si="51"/>
        <v>189.76061531250002</v>
      </c>
      <c r="G189">
        <f t="shared" si="51"/>
        <v>316.26769218750002</v>
      </c>
      <c r="H189">
        <f t="shared" si="51"/>
        <v>474.40153828124994</v>
      </c>
      <c r="I189">
        <f t="shared" si="51"/>
        <v>632.53538437500004</v>
      </c>
      <c r="J189">
        <f t="shared" si="51"/>
        <v>948.80307656249988</v>
      </c>
      <c r="K189">
        <f t="shared" si="51"/>
        <v>1265.0707687500001</v>
      </c>
      <c r="L189">
        <f t="shared" si="51"/>
        <v>1897.6061531249998</v>
      </c>
      <c r="M189">
        <f t="shared" si="51"/>
        <v>2530.1415375000001</v>
      </c>
      <c r="N189">
        <f t="shared" si="51"/>
        <v>3162.6769218750001</v>
      </c>
      <c r="O189">
        <f t="shared" si="51"/>
        <v>3795.2123062499995</v>
      </c>
      <c r="P189">
        <f t="shared" si="51"/>
        <v>5060.2830750000003</v>
      </c>
      <c r="Q189">
        <f t="shared" si="51"/>
        <v>6325.3538437500001</v>
      </c>
    </row>
    <row r="191" spans="2:33" x14ac:dyDescent="0.2">
      <c r="B191" t="s">
        <v>258</v>
      </c>
      <c r="C191">
        <f>SUM(C185:C189)</f>
        <v>378.95146823660713</v>
      </c>
      <c r="D191">
        <f t="shared" ref="D191:Q191" si="52">SUM(D185:D189)</f>
        <v>426.19293647321422</v>
      </c>
      <c r="E191">
        <f t="shared" si="52"/>
        <v>520.5115872321428</v>
      </c>
      <c r="F191">
        <f t="shared" si="52"/>
        <v>615.05309513392854</v>
      </c>
      <c r="G191">
        <f t="shared" si="52"/>
        <v>804.05325379464284</v>
      </c>
      <c r="H191">
        <f t="shared" si="52"/>
        <v>1039.8677378348214</v>
      </c>
      <c r="I191">
        <f t="shared" si="52"/>
        <v>1275.7607933035715</v>
      </c>
      <c r="J191">
        <f t="shared" si="52"/>
        <v>1779.0897613839284</v>
      </c>
      <c r="K191">
        <f t="shared" si="52"/>
        <v>2261.7615866071428</v>
      </c>
      <c r="L191">
        <f t="shared" si="52"/>
        <v>3226.3480941964285</v>
      </c>
      <c r="M191">
        <f t="shared" si="52"/>
        <v>4190.9774589285717</v>
      </c>
      <c r="N191">
        <f t="shared" si="52"/>
        <v>5154.4782522321429</v>
      </c>
      <c r="O191">
        <f t="shared" si="52"/>
        <v>6119.9076169642849</v>
      </c>
      <c r="P191">
        <f t="shared" si="52"/>
        <v>7965.6234892857137</v>
      </c>
      <c r="Q191">
        <f t="shared" si="52"/>
        <v>9814.6250758928581</v>
      </c>
    </row>
    <row r="193" spans="2:17" x14ac:dyDescent="0.2">
      <c r="B193" t="s">
        <v>290</v>
      </c>
    </row>
    <row r="195" spans="2:17" x14ac:dyDescent="0.2">
      <c r="C195" t="s">
        <v>228</v>
      </c>
      <c r="D195" t="s">
        <v>229</v>
      </c>
      <c r="E195" t="s">
        <v>230</v>
      </c>
      <c r="F195" t="s">
        <v>231</v>
      </c>
      <c r="G195" t="s">
        <v>232</v>
      </c>
      <c r="H195" t="s">
        <v>233</v>
      </c>
      <c r="I195" t="s">
        <v>234</v>
      </c>
      <c r="J195" t="s">
        <v>235</v>
      </c>
      <c r="K195" t="s">
        <v>240</v>
      </c>
      <c r="L195" t="s">
        <v>241</v>
      </c>
      <c r="M195" t="s">
        <v>242</v>
      </c>
      <c r="N195" t="s">
        <v>243</v>
      </c>
      <c r="O195" t="s">
        <v>299</v>
      </c>
      <c r="P195" t="s">
        <v>300</v>
      </c>
      <c r="Q195" t="s">
        <v>301</v>
      </c>
    </row>
    <row r="199" spans="2:17" x14ac:dyDescent="0.2">
      <c r="B199" t="s">
        <v>342</v>
      </c>
    </row>
    <row r="201" spans="2:17" x14ac:dyDescent="0.2">
      <c r="B201" t="s">
        <v>343</v>
      </c>
      <c r="C201">
        <f t="shared" ref="C201:Q201" si="53">C55</f>
        <v>1330</v>
      </c>
      <c r="D201">
        <f t="shared" si="53"/>
        <v>2540</v>
      </c>
      <c r="E201">
        <f t="shared" si="53"/>
        <v>4610</v>
      </c>
      <c r="F201">
        <f t="shared" si="53"/>
        <v>6810</v>
      </c>
      <c r="G201">
        <f t="shared" si="53"/>
        <v>11100</v>
      </c>
      <c r="H201">
        <f t="shared" si="53"/>
        <v>16400</v>
      </c>
      <c r="I201">
        <f t="shared" si="53"/>
        <v>21200</v>
      </c>
      <c r="J201">
        <f t="shared" si="53"/>
        <v>54000</v>
      </c>
      <c r="K201">
        <f t="shared" si="53"/>
        <v>69900</v>
      </c>
      <c r="L201">
        <f t="shared" si="53"/>
        <v>105000</v>
      </c>
      <c r="M201">
        <f t="shared" si="53"/>
        <v>140000</v>
      </c>
      <c r="N201">
        <f t="shared" si="53"/>
        <v>172000</v>
      </c>
      <c r="O201">
        <f t="shared" si="53"/>
        <v>211000</v>
      </c>
      <c r="P201">
        <f t="shared" si="53"/>
        <v>244000</v>
      </c>
      <c r="Q201">
        <f t="shared" si="53"/>
        <v>283000</v>
      </c>
    </row>
    <row r="202" spans="2:17" x14ac:dyDescent="0.2">
      <c r="B202" t="s">
        <v>103</v>
      </c>
      <c r="C202">
        <f>C191*25</f>
        <v>9473.7867059151777</v>
      </c>
      <c r="D202">
        <f>D191*25</f>
        <v>10654.823411830355</v>
      </c>
      <c r="E202">
        <f t="shared" ref="E202:P202" si="54">E191*25</f>
        <v>13012.789680803569</v>
      </c>
      <c r="F202">
        <f t="shared" si="54"/>
        <v>15376.327378348213</v>
      </c>
      <c r="G202">
        <f t="shared" si="54"/>
        <v>20101.33134486607</v>
      </c>
      <c r="H202">
        <f t="shared" si="54"/>
        <v>25996.693445870533</v>
      </c>
      <c r="I202">
        <f t="shared" si="54"/>
        <v>31894.019832589289</v>
      </c>
      <c r="J202">
        <f t="shared" si="54"/>
        <v>44477.24403459821</v>
      </c>
      <c r="K202">
        <f t="shared" si="54"/>
        <v>56544.03966517857</v>
      </c>
      <c r="L202">
        <f t="shared" si="54"/>
        <v>80658.702354910711</v>
      </c>
      <c r="M202">
        <f t="shared" si="54"/>
        <v>104774.43647321429</v>
      </c>
      <c r="N202">
        <f t="shared" si="54"/>
        <v>128861.95630580357</v>
      </c>
      <c r="O202">
        <f t="shared" si="54"/>
        <v>152997.69042410713</v>
      </c>
      <c r="P202">
        <f t="shared" si="54"/>
        <v>199140.58723214283</v>
      </c>
      <c r="Q202">
        <f>Q191*25</f>
        <v>245365.62689732146</v>
      </c>
    </row>
    <row r="204" spans="2:17" x14ac:dyDescent="0.2">
      <c r="C204">
        <f>SUM(C201:C202)</f>
        <v>10803.786705915178</v>
      </c>
      <c r="D204">
        <f t="shared" ref="D204:Q204" si="55">SUM(D201:D202)</f>
        <v>13194.823411830355</v>
      </c>
      <c r="E204">
        <f t="shared" si="55"/>
        <v>17622.789680803569</v>
      </c>
      <c r="F204">
        <f t="shared" si="55"/>
        <v>22186.327378348215</v>
      </c>
      <c r="G204">
        <f t="shared" si="55"/>
        <v>31201.33134486607</v>
      </c>
      <c r="H204">
        <f t="shared" si="55"/>
        <v>42396.693445870536</v>
      </c>
      <c r="I204">
        <f t="shared" si="55"/>
        <v>53094.019832589285</v>
      </c>
      <c r="J204">
        <f t="shared" si="55"/>
        <v>98477.244034598203</v>
      </c>
      <c r="K204">
        <f t="shared" si="55"/>
        <v>126444.03966517857</v>
      </c>
      <c r="L204">
        <f t="shared" si="55"/>
        <v>185658.70235491073</v>
      </c>
      <c r="M204">
        <f t="shared" si="55"/>
        <v>244774.4364732143</v>
      </c>
      <c r="N204">
        <f t="shared" si="55"/>
        <v>300861.95630580356</v>
      </c>
      <c r="O204">
        <f t="shared" si="55"/>
        <v>363997.69042410713</v>
      </c>
      <c r="P204">
        <f t="shared" si="55"/>
        <v>443140.5872321428</v>
      </c>
      <c r="Q204">
        <f t="shared" si="55"/>
        <v>528365.62689732143</v>
      </c>
    </row>
    <row r="245" spans="3:17" x14ac:dyDescent="0.2">
      <c r="C245">
        <f t="shared" ref="C245:Q245" si="56">C187</f>
        <v>12.351841874999998</v>
      </c>
      <c r="D245">
        <f t="shared" si="56"/>
        <v>24.703683749999996</v>
      </c>
      <c r="E245">
        <f t="shared" si="56"/>
        <v>49.407367499999992</v>
      </c>
      <c r="F245">
        <f t="shared" si="56"/>
        <v>74.111051250000003</v>
      </c>
      <c r="G245">
        <f t="shared" si="56"/>
        <v>123.51841875</v>
      </c>
      <c r="H245">
        <f t="shared" si="56"/>
        <v>185.27762812500001</v>
      </c>
      <c r="I245">
        <f t="shared" si="56"/>
        <v>247.03683749999999</v>
      </c>
      <c r="J245">
        <f t="shared" si="56"/>
        <v>370.55525625000001</v>
      </c>
      <c r="K245">
        <f t="shared" si="56"/>
        <v>494.07367499999998</v>
      </c>
      <c r="L245">
        <f t="shared" si="56"/>
        <v>741.11051250000003</v>
      </c>
      <c r="M245">
        <f t="shared" si="56"/>
        <v>988.14734999999996</v>
      </c>
      <c r="N245">
        <f t="shared" si="56"/>
        <v>1235.1841875</v>
      </c>
      <c r="O245">
        <f t="shared" si="56"/>
        <v>1482.2210250000001</v>
      </c>
      <c r="P245">
        <f t="shared" si="56"/>
        <v>1976.2946999999999</v>
      </c>
      <c r="Q245">
        <f t="shared" si="56"/>
        <v>2470.368375</v>
      </c>
    </row>
    <row r="246" spans="3:17" x14ac:dyDescent="0.2">
      <c r="C246">
        <v>2.8953351514442966E-2</v>
      </c>
      <c r="D246">
        <v>5.7906703028885932E-2</v>
      </c>
      <c r="E246">
        <v>0.11581340605777186</v>
      </c>
      <c r="F246">
        <v>0.17372010908665778</v>
      </c>
      <c r="G246">
        <v>0.28953351514442965</v>
      </c>
      <c r="H246">
        <v>0.43430027271664445</v>
      </c>
      <c r="I246">
        <v>0.57906703028885931</v>
      </c>
      <c r="J246">
        <v>0.86860054543328891</v>
      </c>
      <c r="K246">
        <v>1.1581340605777186</v>
      </c>
      <c r="L246">
        <v>1.7372010908665778</v>
      </c>
      <c r="M246">
        <v>2.3162681211554372</v>
      </c>
      <c r="N246">
        <v>2.8953351514442964</v>
      </c>
      <c r="O246">
        <v>3.4744021817331556</v>
      </c>
      <c r="P246">
        <v>4.6325362423108745</v>
      </c>
      <c r="Q246">
        <v>5.7906703028885929</v>
      </c>
    </row>
    <row r="248" spans="3:17" x14ac:dyDescent="0.2">
      <c r="C248">
        <f>C245+C246</f>
        <v>12.380795226514442</v>
      </c>
      <c r="D248">
        <f t="shared" ref="D248:Q248" si="57">D245+D246</f>
        <v>24.761590453028884</v>
      </c>
      <c r="E248">
        <f t="shared" si="57"/>
        <v>49.523180906057767</v>
      </c>
      <c r="F248">
        <f t="shared" si="57"/>
        <v>74.284771359086662</v>
      </c>
      <c r="G248">
        <f t="shared" si="57"/>
        <v>123.80795226514442</v>
      </c>
      <c r="H248">
        <f t="shared" si="57"/>
        <v>185.71192839771666</v>
      </c>
      <c r="I248">
        <f t="shared" si="57"/>
        <v>247.61590453028884</v>
      </c>
      <c r="J248">
        <f t="shared" si="57"/>
        <v>371.42385679543332</v>
      </c>
      <c r="K248">
        <f t="shared" si="57"/>
        <v>495.23180906057769</v>
      </c>
      <c r="L248">
        <f t="shared" si="57"/>
        <v>742.84771359086665</v>
      </c>
      <c r="M248">
        <f t="shared" si="57"/>
        <v>990.46361812115538</v>
      </c>
      <c r="N248">
        <f t="shared" si="57"/>
        <v>1238.0795226514442</v>
      </c>
      <c r="O248">
        <f t="shared" si="57"/>
        <v>1485.6954271817333</v>
      </c>
      <c r="P248">
        <f t="shared" si="57"/>
        <v>1980.9272362423108</v>
      </c>
      <c r="Q248">
        <f t="shared" si="57"/>
        <v>2476.1590453028884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251F3-F968-484B-962B-BAB162C97625}">
  <dimension ref="B1:AZ164"/>
  <sheetViews>
    <sheetView zoomScale="80" zoomScaleNormal="80" workbookViewId="0">
      <selection activeCell="N37" sqref="N37"/>
    </sheetView>
  </sheetViews>
  <sheetFormatPr defaultRowHeight="14.25" x14ac:dyDescent="0.2"/>
  <cols>
    <col min="10" max="10" width="7.25" customWidth="1"/>
    <col min="11" max="11" width="5.375" customWidth="1"/>
    <col min="13" max="13" width="10" bestFit="1" customWidth="1"/>
  </cols>
  <sheetData>
    <row r="1" spans="2:52" x14ac:dyDescent="0.2">
      <c r="F1" t="s">
        <v>66</v>
      </c>
    </row>
    <row r="2" spans="2:52" x14ac:dyDescent="0.2">
      <c r="B2" t="s">
        <v>61</v>
      </c>
      <c r="F2" t="s">
        <v>64</v>
      </c>
      <c r="W2" t="s">
        <v>224</v>
      </c>
      <c r="AM2" t="s">
        <v>236</v>
      </c>
    </row>
    <row r="3" spans="2:52" x14ac:dyDescent="0.2">
      <c r="F3" t="s">
        <v>65</v>
      </c>
    </row>
    <row r="4" spans="2:52" ht="33" customHeight="1" x14ac:dyDescent="0.2">
      <c r="C4" t="s">
        <v>62</v>
      </c>
      <c r="F4" s="107" t="s">
        <v>63</v>
      </c>
      <c r="G4" s="107"/>
      <c r="H4" s="107"/>
      <c r="I4" s="107"/>
    </row>
    <row r="5" spans="2:52" ht="15" thickBot="1" x14ac:dyDescent="0.25">
      <c r="B5" s="16" t="s">
        <v>48</v>
      </c>
      <c r="C5" s="17" t="s">
        <v>49</v>
      </c>
      <c r="D5" s="17" t="s">
        <v>50</v>
      </c>
      <c r="F5" t="s">
        <v>31</v>
      </c>
      <c r="G5" t="s">
        <v>54</v>
      </c>
      <c r="H5" t="s">
        <v>53</v>
      </c>
      <c r="I5" t="s">
        <v>33</v>
      </c>
      <c r="J5" t="s">
        <v>283</v>
      </c>
      <c r="L5" t="s">
        <v>67</v>
      </c>
      <c r="M5" t="s">
        <v>68</v>
      </c>
      <c r="N5" t="s">
        <v>69</v>
      </c>
      <c r="O5" t="s">
        <v>30</v>
      </c>
      <c r="P5" t="s">
        <v>42</v>
      </c>
      <c r="Q5" t="s">
        <v>15</v>
      </c>
      <c r="R5" t="s">
        <v>10</v>
      </c>
      <c r="W5" t="s">
        <v>48</v>
      </c>
      <c r="Y5" t="s">
        <v>31</v>
      </c>
      <c r="Z5" t="s">
        <v>54</v>
      </c>
      <c r="AA5" t="s">
        <v>33</v>
      </c>
      <c r="AC5" t="s">
        <v>68</v>
      </c>
      <c r="AD5" t="s">
        <v>69</v>
      </c>
      <c r="AE5" t="s">
        <v>30</v>
      </c>
      <c r="AF5" t="s">
        <v>42</v>
      </c>
      <c r="AG5" t="s">
        <v>15</v>
      </c>
      <c r="AH5" t="s">
        <v>10</v>
      </c>
      <c r="AI5" t="s">
        <v>133</v>
      </c>
      <c r="AJ5" t="s">
        <v>146</v>
      </c>
      <c r="AM5" t="s">
        <v>89</v>
      </c>
      <c r="AN5" t="s">
        <v>223</v>
      </c>
      <c r="AO5" t="s">
        <v>30</v>
      </c>
      <c r="AP5" t="s">
        <v>222</v>
      </c>
      <c r="AQ5" t="s">
        <v>202</v>
      </c>
      <c r="AR5" t="s">
        <v>55</v>
      </c>
      <c r="AS5" t="s">
        <v>146</v>
      </c>
      <c r="AT5" t="s">
        <v>133</v>
      </c>
      <c r="AU5" t="s">
        <v>207</v>
      </c>
      <c r="AV5" t="s">
        <v>220</v>
      </c>
      <c r="AX5" t="s">
        <v>225</v>
      </c>
      <c r="AZ5" t="s">
        <v>226</v>
      </c>
    </row>
    <row r="6" spans="2:52" ht="15" x14ac:dyDescent="0.25">
      <c r="B6" s="88">
        <v>5</v>
      </c>
      <c r="C6" t="s">
        <v>51</v>
      </c>
      <c r="D6" s="1">
        <v>12</v>
      </c>
      <c r="F6" s="4">
        <v>0.65600000000000003</v>
      </c>
      <c r="G6" s="4">
        <v>2.44</v>
      </c>
      <c r="H6" s="4">
        <v>0.129</v>
      </c>
      <c r="I6" s="4">
        <f>SUM(F6:H6)</f>
        <v>3.2250000000000001</v>
      </c>
      <c r="J6" s="4">
        <f>SUM(F6:H6)-I6</f>
        <v>0</v>
      </c>
      <c r="L6" s="5">
        <f t="shared" ref="L6:L8" si="0">0.7923*D6+10.495</f>
        <v>20.002600000000001</v>
      </c>
      <c r="M6" s="5">
        <f>($M$17/('Septic Tank - British '!$T$22))*('Septic Tank - British '!$R$8+'Septic Tank - British '!T22)</f>
        <v>148.03305882352942</v>
      </c>
      <c r="N6" s="5">
        <f t="shared" ref="N6:N8" si="1">0.87*D6+9.2</f>
        <v>19.64</v>
      </c>
      <c r="O6" s="5">
        <f t="shared" ref="O6:O8" si="2">0.176*D6+12.867</f>
        <v>14.979000000000001</v>
      </c>
      <c r="P6" s="5">
        <v>1480</v>
      </c>
      <c r="Q6" s="5">
        <f>($Q$17/('Septic Tank - British '!$W$22+'Septic Tank - British '!$Q$15))*('Septic Tank - British '!$Q$7+'Septic Tank - British '!W22)</f>
        <v>1247.9374506716692</v>
      </c>
      <c r="R6" s="5">
        <v>347</v>
      </c>
      <c r="T6" s="1"/>
      <c r="W6" s="105">
        <v>5</v>
      </c>
      <c r="X6" t="s">
        <v>51</v>
      </c>
      <c r="Y6">
        <f>AA6-Z6</f>
        <v>3.11</v>
      </c>
      <c r="Z6">
        <v>1.56</v>
      </c>
      <c r="AA6">
        <v>4.67</v>
      </c>
      <c r="AC6">
        <v>71</v>
      </c>
      <c r="AD6">
        <v>18.7</v>
      </c>
      <c r="AE6">
        <v>9.76</v>
      </c>
      <c r="AF6">
        <v>1050</v>
      </c>
      <c r="AG6">
        <v>511</v>
      </c>
      <c r="AH6">
        <v>2980</v>
      </c>
      <c r="AI6">
        <v>31.6</v>
      </c>
      <c r="AJ6">
        <v>0</v>
      </c>
      <c r="AM6">
        <v>5</v>
      </c>
      <c r="AO6">
        <v>8.9600000000000009</v>
      </c>
      <c r="AP6">
        <v>47.6</v>
      </c>
      <c r="AQ6">
        <v>51.5</v>
      </c>
      <c r="AR6">
        <v>156</v>
      </c>
      <c r="AS6">
        <v>55.4</v>
      </c>
      <c r="AT6">
        <v>18.899999999999999</v>
      </c>
      <c r="AU6">
        <v>203</v>
      </c>
      <c r="AV6">
        <v>14.4</v>
      </c>
      <c r="AX6">
        <f>SUM(AO6:AV6)</f>
        <v>555.75999999999988</v>
      </c>
    </row>
    <row r="7" spans="2:52" ht="15" x14ac:dyDescent="0.25">
      <c r="B7" s="89"/>
      <c r="C7" t="s">
        <v>51</v>
      </c>
      <c r="D7" s="1">
        <v>20</v>
      </c>
      <c r="F7" s="4">
        <v>0.65600000000000003</v>
      </c>
      <c r="G7" s="4">
        <v>2.44</v>
      </c>
      <c r="H7" s="4">
        <v>0.17399999999999999</v>
      </c>
      <c r="I7" s="4">
        <f>SUM(F7:H7)</f>
        <v>3.27</v>
      </c>
      <c r="J7" s="4">
        <f t="shared" ref="J7:J15" si="3">SUM(F7:H7)-I7</f>
        <v>0</v>
      </c>
      <c r="L7" s="5">
        <f t="shared" si="0"/>
        <v>26.341000000000001</v>
      </c>
      <c r="M7" s="5">
        <f>($M$17/('Septic Tank - British '!$T$22))*('Septic Tank - British '!$R$8+'Septic Tank - British '!T23)</f>
        <v>178.66058823529411</v>
      </c>
      <c r="N7" s="5">
        <f t="shared" si="1"/>
        <v>26.599999999999998</v>
      </c>
      <c r="O7" s="5">
        <f t="shared" si="2"/>
        <v>16.387</v>
      </c>
      <c r="P7" s="5">
        <f t="shared" ref="P7:P8" si="4">21*D7+1060</f>
        <v>1480</v>
      </c>
      <c r="Q7" s="5">
        <f>($Q$17/('Septic Tank - British '!$W$22+'Septic Tank - British '!$Q$15))*('Septic Tank - British '!$Q$7+'Septic Tank - British '!W23)</f>
        <v>1247.9374506716692</v>
      </c>
      <c r="R7" s="5">
        <v>347</v>
      </c>
      <c r="T7" s="1"/>
      <c r="W7" s="105"/>
      <c r="X7" t="s">
        <v>39</v>
      </c>
      <c r="Y7">
        <f>AA7-Z7</f>
        <v>5.77</v>
      </c>
      <c r="Z7">
        <v>1.56</v>
      </c>
      <c r="AA7">
        <v>7.33</v>
      </c>
      <c r="AC7">
        <v>7.1</v>
      </c>
      <c r="AD7">
        <v>18.7</v>
      </c>
      <c r="AE7">
        <v>9.76</v>
      </c>
      <c r="AF7">
        <v>1050</v>
      </c>
      <c r="AG7">
        <f>2730+511</f>
        <v>3241</v>
      </c>
      <c r="AH7">
        <v>2980</v>
      </c>
      <c r="AI7">
        <v>31.6</v>
      </c>
      <c r="AJ7">
        <v>0</v>
      </c>
      <c r="AM7">
        <v>10</v>
      </c>
      <c r="AO7">
        <v>15.9</v>
      </c>
      <c r="AP7">
        <v>95.3</v>
      </c>
      <c r="AQ7">
        <v>72.599999999999994</v>
      </c>
      <c r="AR7">
        <v>193</v>
      </c>
      <c r="AS7">
        <v>77.400000000000006</v>
      </c>
      <c r="AT7">
        <v>31.5</v>
      </c>
      <c r="AU7">
        <v>273</v>
      </c>
      <c r="AV7">
        <v>19.2</v>
      </c>
      <c r="AX7">
        <f>SUM(AO7:AV7)</f>
        <v>777.90000000000009</v>
      </c>
      <c r="AZ7">
        <v>752</v>
      </c>
    </row>
    <row r="8" spans="2:52" ht="15" x14ac:dyDescent="0.25">
      <c r="B8" s="89"/>
      <c r="C8" t="s">
        <v>51</v>
      </c>
      <c r="D8" s="1">
        <v>30</v>
      </c>
      <c r="F8" s="4">
        <v>0.65600000000000003</v>
      </c>
      <c r="G8" s="4">
        <v>2.73</v>
      </c>
      <c r="H8" s="4">
        <v>0.23</v>
      </c>
      <c r="I8" s="4">
        <f>SUM(F8:H8)</f>
        <v>3.6160000000000001</v>
      </c>
      <c r="J8" s="4">
        <f t="shared" si="3"/>
        <v>0</v>
      </c>
      <c r="L8" s="5">
        <f t="shared" si="0"/>
        <v>34.263999999999996</v>
      </c>
      <c r="M8" s="5">
        <f>($M$17/('Septic Tank - British '!$T$22))*('Septic Tank - British '!$R$8+'Septic Tank - British '!T24)</f>
        <v>216.94500000000002</v>
      </c>
      <c r="N8" s="5">
        <f t="shared" si="1"/>
        <v>35.299999999999997</v>
      </c>
      <c r="O8" s="5">
        <f t="shared" si="2"/>
        <v>18.146999999999998</v>
      </c>
      <c r="P8" s="5">
        <f t="shared" si="4"/>
        <v>1690</v>
      </c>
      <c r="Q8" s="5">
        <f>($Q$17/('Septic Tank - British '!$W$22+'Septic Tank - British '!$Q$15))*('Septic Tank - British '!$Q$7+'Septic Tank - British '!W24)</f>
        <v>1349.8641104150613</v>
      </c>
      <c r="R8" s="5">
        <v>347</v>
      </c>
      <c r="T8" s="1"/>
      <c r="AM8">
        <v>20</v>
      </c>
      <c r="AO8">
        <v>28</v>
      </c>
      <c r="AP8">
        <v>183</v>
      </c>
      <c r="AQ8">
        <v>102</v>
      </c>
      <c r="AR8">
        <v>322</v>
      </c>
      <c r="AS8">
        <v>121</v>
      </c>
      <c r="AT8">
        <v>53.6</v>
      </c>
      <c r="AU8">
        <v>369</v>
      </c>
      <c r="AV8">
        <v>29.1</v>
      </c>
      <c r="AX8">
        <f>SUM(AO8:AV8)</f>
        <v>1207.6999999999998</v>
      </c>
      <c r="AZ8">
        <v>1170</v>
      </c>
    </row>
    <row r="9" spans="2:52" ht="15" x14ac:dyDescent="0.25">
      <c r="B9" s="89"/>
      <c r="C9" t="s">
        <v>51</v>
      </c>
      <c r="D9" s="1">
        <v>40</v>
      </c>
      <c r="F9" s="4">
        <v>0.65600000000000003</v>
      </c>
      <c r="G9" s="4">
        <v>3.06</v>
      </c>
      <c r="H9" s="4">
        <v>0.28599999999999998</v>
      </c>
      <c r="I9" s="4">
        <f t="shared" ref="I9:I15" si="5">SUM(F9:H9)</f>
        <v>4.0019999999999998</v>
      </c>
      <c r="J9" s="4">
        <f t="shared" si="3"/>
        <v>0</v>
      </c>
      <c r="L9" s="5">
        <f>0.7923*D9+10.495</f>
        <v>42.186999999999998</v>
      </c>
      <c r="M9" s="5">
        <f>($M$17/('Septic Tank - British '!$T$22))*('Septic Tank - British '!$R$8+'Septic Tank - British '!T25)</f>
        <v>255.2294117647059</v>
      </c>
      <c r="N9" s="5">
        <f>0.87*D9+9.2</f>
        <v>44</v>
      </c>
      <c r="O9" s="5">
        <f>0.176*D9+12.867</f>
        <v>19.907</v>
      </c>
      <c r="P9" s="5">
        <f>21*D9+1060</f>
        <v>1900</v>
      </c>
      <c r="Q9" s="5">
        <f>($Q$17/('Septic Tank - British '!$W$22+'Septic Tank - British '!$Q$15))*('Septic Tank - British '!$Q$7+'Septic Tank - British '!W25)</f>
        <v>1451.7907701584538</v>
      </c>
      <c r="R9" s="5">
        <v>347</v>
      </c>
      <c r="T9" s="1"/>
      <c r="W9" s="105">
        <v>10</v>
      </c>
      <c r="X9" t="s">
        <v>51</v>
      </c>
      <c r="Y9">
        <f>AA9-Z9</f>
        <v>4.9799999999999995</v>
      </c>
      <c r="Z9">
        <v>1.87</v>
      </c>
      <c r="AA9">
        <v>6.85</v>
      </c>
      <c r="AC9">
        <v>115</v>
      </c>
      <c r="AD9">
        <v>31.6</v>
      </c>
      <c r="AE9">
        <f>14.7+1.28</f>
        <v>15.979999999999999</v>
      </c>
      <c r="AF9">
        <v>1260</v>
      </c>
      <c r="AG9">
        <v>613</v>
      </c>
      <c r="AH9">
        <v>4740</v>
      </c>
      <c r="AI9">
        <v>87.8</v>
      </c>
      <c r="AJ9">
        <v>0</v>
      </c>
      <c r="AM9">
        <v>30</v>
      </c>
      <c r="AO9">
        <v>40.799999999999997</v>
      </c>
      <c r="AP9">
        <v>279</v>
      </c>
      <c r="AQ9">
        <v>125</v>
      </c>
      <c r="AR9">
        <v>439</v>
      </c>
      <c r="AS9">
        <v>129</v>
      </c>
      <c r="AT9">
        <v>53.6</v>
      </c>
      <c r="AU9">
        <v>445</v>
      </c>
      <c r="AV9">
        <v>37.799999999999997</v>
      </c>
      <c r="AX9">
        <f>SUM(AO9:AV9)</f>
        <v>1549.1999999999998</v>
      </c>
      <c r="AZ9">
        <v>1490</v>
      </c>
    </row>
    <row r="10" spans="2:52" ht="15" x14ac:dyDescent="0.25">
      <c r="B10" s="89"/>
      <c r="C10" t="s">
        <v>51</v>
      </c>
      <c r="D10" s="1">
        <v>50</v>
      </c>
      <c r="F10" s="4">
        <v>0.65600000000000003</v>
      </c>
      <c r="G10" s="4">
        <v>3.38</v>
      </c>
      <c r="H10" s="4">
        <v>0.34100000000000003</v>
      </c>
      <c r="I10" s="4">
        <f t="shared" si="5"/>
        <v>4.3769999999999998</v>
      </c>
      <c r="J10" s="4">
        <f t="shared" si="3"/>
        <v>0</v>
      </c>
      <c r="L10" s="5">
        <v>50.1</v>
      </c>
      <c r="M10" s="5">
        <f>($M$17/('Septic Tank - British '!$T$22))*('Septic Tank - British '!$R$8+'Septic Tank - British '!T26)</f>
        <v>293.51382352941175</v>
      </c>
      <c r="N10" s="5">
        <v>52.7</v>
      </c>
      <c r="O10" s="5">
        <v>21.7</v>
      </c>
      <c r="P10" s="5">
        <v>2110</v>
      </c>
      <c r="Q10" s="5">
        <f>($Q$17/('Septic Tank - British '!$W$22+'Septic Tank - British '!$Q$15))*('Septic Tank - British '!$Q$7+'Septic Tank - British '!W26)</f>
        <v>1553.7174299018457</v>
      </c>
      <c r="R10" s="5">
        <v>347</v>
      </c>
      <c r="T10" s="1"/>
      <c r="W10" s="105"/>
      <c r="X10" t="s">
        <v>39</v>
      </c>
      <c r="Y10">
        <f>AA10-Z10</f>
        <v>9.23</v>
      </c>
      <c r="Z10">
        <v>1.87</v>
      </c>
      <c r="AA10">
        <v>11.1</v>
      </c>
      <c r="AC10">
        <v>12.1</v>
      </c>
      <c r="AD10">
        <v>31.6</v>
      </c>
      <c r="AE10">
        <f>14.7+1.28</f>
        <v>15.979999999999999</v>
      </c>
      <c r="AF10">
        <v>1260</v>
      </c>
      <c r="AG10">
        <v>4390</v>
      </c>
      <c r="AH10">
        <v>4740</v>
      </c>
      <c r="AI10">
        <v>87.8</v>
      </c>
      <c r="AJ10">
        <v>0</v>
      </c>
      <c r="AM10">
        <v>50</v>
      </c>
      <c r="AO10">
        <v>64.5</v>
      </c>
      <c r="AP10">
        <v>461</v>
      </c>
      <c r="AQ10">
        <v>161</v>
      </c>
      <c r="AR10">
        <v>661</v>
      </c>
      <c r="AS10">
        <v>194</v>
      </c>
      <c r="AT10">
        <v>53.6</v>
      </c>
      <c r="AU10">
        <v>563</v>
      </c>
      <c r="AV10">
        <v>53</v>
      </c>
      <c r="AX10">
        <f>SUM(AO10:AV10)</f>
        <v>2211.1</v>
      </c>
      <c r="AZ10">
        <v>2130</v>
      </c>
    </row>
    <row r="11" spans="2:52" ht="15" x14ac:dyDescent="0.25">
      <c r="B11" s="89"/>
      <c r="C11" t="s">
        <v>51</v>
      </c>
      <c r="D11" s="1">
        <v>60</v>
      </c>
      <c r="F11" s="4">
        <v>0.65600000000000003</v>
      </c>
      <c r="G11" s="4">
        <v>3.67</v>
      </c>
      <c r="H11" s="4">
        <v>0.39800000000000002</v>
      </c>
      <c r="I11" s="4">
        <f t="shared" si="5"/>
        <v>4.7239999999999993</v>
      </c>
      <c r="J11" s="4">
        <f t="shared" si="3"/>
        <v>0</v>
      </c>
      <c r="L11" s="5">
        <v>58</v>
      </c>
      <c r="M11" s="5">
        <f>($M$17/('Septic Tank - British '!$T$22))*('Septic Tank - British '!$R$8+'Septic Tank - British '!T27)</f>
        <v>331.79823529411766</v>
      </c>
      <c r="N11" s="5">
        <v>61.4</v>
      </c>
      <c r="O11" s="5">
        <v>23.4</v>
      </c>
      <c r="P11" s="5">
        <v>2320</v>
      </c>
      <c r="Q11" s="5">
        <f>($Q$17/('Septic Tank - British '!$W$22+'Septic Tank - British '!$Q$15))*('Septic Tank - British '!$Q$7+'Septic Tank - British '!W27)</f>
        <v>1655.6440896452382</v>
      </c>
      <c r="R11" s="5">
        <v>347</v>
      </c>
      <c r="T11" s="1"/>
    </row>
    <row r="12" spans="2:52" ht="15" x14ac:dyDescent="0.25">
      <c r="B12" s="89"/>
      <c r="C12" t="s">
        <v>51</v>
      </c>
      <c r="D12" s="1">
        <v>70</v>
      </c>
      <c r="F12" s="4">
        <v>0.65600000000000003</v>
      </c>
      <c r="G12" s="4">
        <v>3.99</v>
      </c>
      <c r="H12" s="4">
        <v>0.45400000000000001</v>
      </c>
      <c r="I12" s="4">
        <f t="shared" si="5"/>
        <v>5.0999999999999996</v>
      </c>
      <c r="J12" s="4">
        <f t="shared" si="3"/>
        <v>0</v>
      </c>
      <c r="L12" s="5">
        <v>66</v>
      </c>
      <c r="M12" s="5">
        <f>($M$17/('Septic Tank - British '!$T$22))*('Septic Tank - British '!$R$8+'Septic Tank - British '!T28)</f>
        <v>370.08264705882357</v>
      </c>
      <c r="N12" s="5">
        <v>70.099999999999994</v>
      </c>
      <c r="O12" s="5">
        <v>25.2</v>
      </c>
      <c r="P12" s="5">
        <v>2530</v>
      </c>
      <c r="Q12" s="5">
        <f>($Q$17/('Septic Tank - British '!$W$22+'Septic Tank - British '!$Q$15))*('Septic Tank - British '!$Q$7+'Septic Tank - British '!W28)</f>
        <v>1757.5707493886302</v>
      </c>
      <c r="R12" s="5">
        <v>347</v>
      </c>
      <c r="T12" s="1"/>
      <c r="W12" s="105">
        <v>20</v>
      </c>
      <c r="X12" t="s">
        <v>51</v>
      </c>
      <c r="Y12">
        <f>AA12-Z12</f>
        <v>8.66</v>
      </c>
      <c r="Z12">
        <v>2.34</v>
      </c>
      <c r="AA12">
        <v>11</v>
      </c>
      <c r="AC12">
        <v>275</v>
      </c>
      <c r="AD12">
        <v>22.9</v>
      </c>
      <c r="AE12">
        <f>27.3+1.6</f>
        <v>28.900000000000002</v>
      </c>
      <c r="AF12">
        <v>1580</v>
      </c>
      <c r="AG12">
        <v>767</v>
      </c>
      <c r="AH12">
        <v>8160</v>
      </c>
      <c r="AI12">
        <v>180</v>
      </c>
      <c r="AJ12">
        <v>0</v>
      </c>
    </row>
    <row r="13" spans="2:52" ht="15" x14ac:dyDescent="0.25">
      <c r="B13" s="89"/>
      <c r="C13" t="s">
        <v>51</v>
      </c>
      <c r="D13" s="1">
        <v>80</v>
      </c>
      <c r="F13" s="4">
        <v>0.65600000000000003</v>
      </c>
      <c r="G13" s="4">
        <v>4.28</v>
      </c>
      <c r="H13" s="4">
        <v>0.51</v>
      </c>
      <c r="I13" s="4">
        <f t="shared" si="5"/>
        <v>5.4459999999999997</v>
      </c>
      <c r="J13" s="4">
        <f t="shared" si="3"/>
        <v>0</v>
      </c>
      <c r="L13" s="5">
        <v>73.900000000000006</v>
      </c>
      <c r="M13" s="5">
        <f>($M$17/('Septic Tank - British '!$T$22))*('Septic Tank - British '!$R$8+'Septic Tank - British '!T29)</f>
        <v>408.36705882352942</v>
      </c>
      <c r="N13" s="5">
        <v>78.8</v>
      </c>
      <c r="O13" s="5">
        <v>26.9</v>
      </c>
      <c r="P13" s="5">
        <v>2740</v>
      </c>
      <c r="Q13" s="5">
        <f>($Q$17/('Septic Tank - British '!$W$22+'Septic Tank - British '!$Q$15))*('Septic Tank - British '!$Q$7+'Septic Tank - British '!W29)</f>
        <v>1859.4974091320225</v>
      </c>
      <c r="R13" s="5">
        <v>347</v>
      </c>
      <c r="T13" s="1"/>
      <c r="W13" s="105"/>
      <c r="X13" t="s">
        <v>39</v>
      </c>
      <c r="Y13">
        <f>AA13-Z13</f>
        <v>18.635000000000002</v>
      </c>
      <c r="Z13">
        <v>2.34</v>
      </c>
      <c r="AA13" s="3">
        <v>20.975000000000001</v>
      </c>
      <c r="AC13">
        <v>36.200000000000003</v>
      </c>
      <c r="AD13">
        <v>22.9</v>
      </c>
      <c r="AE13">
        <f>27.3+1.6</f>
        <v>28.900000000000002</v>
      </c>
      <c r="AF13">
        <v>1580</v>
      </c>
      <c r="AG13">
        <f>767+10200</f>
        <v>10967</v>
      </c>
      <c r="AH13">
        <v>8160</v>
      </c>
      <c r="AI13">
        <v>180</v>
      </c>
      <c r="AJ13">
        <v>0</v>
      </c>
    </row>
    <row r="14" spans="2:52" ht="15" x14ac:dyDescent="0.25">
      <c r="B14" s="89"/>
      <c r="C14" t="s">
        <v>51</v>
      </c>
      <c r="D14" s="1">
        <v>90</v>
      </c>
      <c r="F14" s="4">
        <v>0.65600000000000003</v>
      </c>
      <c r="G14" s="4">
        <v>4.6100000000000003</v>
      </c>
      <c r="H14" s="4">
        <v>0.56599999999999995</v>
      </c>
      <c r="I14" s="4">
        <f t="shared" si="5"/>
        <v>5.8319999999999999</v>
      </c>
      <c r="J14" s="4">
        <f t="shared" si="3"/>
        <v>0</v>
      </c>
      <c r="L14" s="5">
        <v>81.8</v>
      </c>
      <c r="M14" s="5">
        <f>($M$17/('Septic Tank - British '!$T$22))*('Septic Tank - British '!$R$8+'Septic Tank - British '!T30)</f>
        <v>446.65147058823533</v>
      </c>
      <c r="N14" s="5">
        <v>87.5</v>
      </c>
      <c r="O14" s="5">
        <v>28.7</v>
      </c>
      <c r="P14" s="5">
        <v>2950</v>
      </c>
      <c r="Q14" s="5">
        <f>($Q$17/('Septic Tank - British '!$W$22+'Septic Tank - British '!$Q$15))*('Septic Tank - British '!$Q$7+'Septic Tank - British '!W30)</f>
        <v>1961.4240688754146</v>
      </c>
      <c r="R14" s="5">
        <v>347</v>
      </c>
      <c r="T14" s="1"/>
    </row>
    <row r="15" spans="2:52" ht="15" x14ac:dyDescent="0.25">
      <c r="B15" s="89"/>
      <c r="C15" t="s">
        <v>51</v>
      </c>
      <c r="D15" s="1">
        <v>100</v>
      </c>
      <c r="F15" s="4">
        <v>0.65600000000000003</v>
      </c>
      <c r="G15" s="4">
        <v>4.93</v>
      </c>
      <c r="H15" s="4">
        <v>0.622</v>
      </c>
      <c r="I15" s="4">
        <f t="shared" si="5"/>
        <v>6.2079999999999993</v>
      </c>
      <c r="J15" s="4">
        <f t="shared" si="3"/>
        <v>0</v>
      </c>
      <c r="L15" s="5">
        <v>89.7</v>
      </c>
      <c r="M15" s="5">
        <f>($M$17/('Septic Tank - British '!$T$22))*('Septic Tank - British '!$R$8+'Septic Tank - British '!T31)</f>
        <v>484.93588235294118</v>
      </c>
      <c r="N15" s="5">
        <v>96.2</v>
      </c>
      <c r="O15" s="5">
        <v>30.5</v>
      </c>
      <c r="P15" s="5">
        <v>3160</v>
      </c>
      <c r="Q15" s="5">
        <f>($Q$17/('Septic Tank - British '!$W$22+'Septic Tank - British '!$Q$15))*('Septic Tank - British '!$Q$7+'Septic Tank - British '!W31)</f>
        <v>2063.3507286188069</v>
      </c>
      <c r="R15" s="5">
        <v>347</v>
      </c>
      <c r="T15" s="1"/>
      <c r="W15">
        <v>30</v>
      </c>
      <c r="X15" t="s">
        <v>52</v>
      </c>
      <c r="Y15">
        <f>AA15-Z15</f>
        <v>24.33</v>
      </c>
      <c r="Z15">
        <v>1.87</v>
      </c>
      <c r="AA15">
        <v>26.2</v>
      </c>
      <c r="AC15">
        <v>0</v>
      </c>
      <c r="AD15">
        <v>0</v>
      </c>
      <c r="AE15">
        <f>20.4+1.28</f>
        <v>21.68</v>
      </c>
      <c r="AF15">
        <v>1260</v>
      </c>
      <c r="AG15">
        <f>3010+613</f>
        <v>3623</v>
      </c>
      <c r="AH15">
        <v>21200</v>
      </c>
      <c r="AI15">
        <v>110</v>
      </c>
      <c r="AJ15">
        <v>0</v>
      </c>
    </row>
    <row r="16" spans="2:52" x14ac:dyDescent="0.2">
      <c r="B16" s="89"/>
    </row>
    <row r="17" spans="2:36" ht="15" x14ac:dyDescent="0.25">
      <c r="B17" s="89"/>
      <c r="C17" t="s">
        <v>39</v>
      </c>
      <c r="D17" s="1">
        <v>12</v>
      </c>
      <c r="F17">
        <v>1.47</v>
      </c>
      <c r="G17">
        <v>2.44</v>
      </c>
      <c r="H17">
        <v>0.129</v>
      </c>
      <c r="I17" s="4">
        <f>SUM(F17:H17)</f>
        <v>4.0389999999999997</v>
      </c>
      <c r="J17" s="4">
        <f>SUM(F17:H17)-I17</f>
        <v>0</v>
      </c>
      <c r="L17" s="5">
        <f t="shared" ref="L17" si="6">0.7923*D17+10.495</f>
        <v>20.002600000000001</v>
      </c>
      <c r="M17" s="5">
        <f t="shared" ref="M17" si="7">3.914*D17+39.81</f>
        <v>86.778000000000006</v>
      </c>
      <c r="N17" s="5">
        <f t="shared" ref="N17" si="8">0.87*D17+9.2</f>
        <v>19.64</v>
      </c>
      <c r="O17" s="3">
        <f t="shared" ref="O17" si="9">0.176*D17+12.867</f>
        <v>14.979000000000001</v>
      </c>
      <c r="P17">
        <v>1480</v>
      </c>
      <c r="Q17" s="5">
        <v>2086.84</v>
      </c>
      <c r="R17">
        <v>347</v>
      </c>
      <c r="S17" s="5"/>
      <c r="W17">
        <v>50</v>
      </c>
      <c r="X17" t="s">
        <v>52</v>
      </c>
      <c r="Y17">
        <f>AA17-Z17</f>
        <v>31.309999999999995</v>
      </c>
      <c r="Z17">
        <v>2.4900000000000002</v>
      </c>
      <c r="AA17">
        <v>33.799999999999997</v>
      </c>
      <c r="AC17">
        <v>0</v>
      </c>
      <c r="AD17">
        <v>0</v>
      </c>
      <c r="AE17">
        <f>32.8+1.71</f>
        <v>34.51</v>
      </c>
      <c r="AF17">
        <v>1680</v>
      </c>
      <c r="AG17">
        <f>4250+818</f>
        <v>5068</v>
      </c>
      <c r="AH17">
        <v>26900</v>
      </c>
      <c r="AI17">
        <v>132</v>
      </c>
      <c r="AJ17">
        <v>0</v>
      </c>
    </row>
    <row r="18" spans="2:36" ht="15" x14ac:dyDescent="0.25">
      <c r="B18" s="89"/>
      <c r="C18" t="s">
        <v>39</v>
      </c>
      <c r="D18" s="1">
        <v>20</v>
      </c>
      <c r="F18">
        <v>1.47</v>
      </c>
      <c r="G18">
        <v>2.44</v>
      </c>
      <c r="H18">
        <v>0.17399999999999999</v>
      </c>
      <c r="I18" s="4">
        <f>SUM(F18:H18)</f>
        <v>4.0840000000000005</v>
      </c>
      <c r="J18" s="4">
        <f t="shared" ref="J18:J26" si="10">SUM(F18:H18)-I18</f>
        <v>0</v>
      </c>
      <c r="L18" s="5">
        <f t="shared" ref="L18:L19" si="11">0.7923*D18+10.495</f>
        <v>26.341000000000001</v>
      </c>
      <c r="M18" s="5">
        <f t="shared" ref="M18:M19" si="12">3.914*D18+39.81</f>
        <v>118.09</v>
      </c>
      <c r="N18" s="5">
        <f t="shared" ref="N18:N19" si="13">0.87*D18+9.2</f>
        <v>26.599999999999998</v>
      </c>
      <c r="O18" s="3">
        <f t="shared" ref="O18:O19" si="14">0.176*D18+12.867</f>
        <v>16.387</v>
      </c>
      <c r="P18">
        <f t="shared" ref="P18:P19" si="15">21*D18+1060</f>
        <v>1480</v>
      </c>
      <c r="Q18" s="5">
        <f t="shared" ref="Q18:Q19" si="16">10.057*D18+1885.7</f>
        <v>2086.84</v>
      </c>
      <c r="R18">
        <v>347</v>
      </c>
      <c r="S18" s="5"/>
    </row>
    <row r="19" spans="2:36" ht="15" x14ac:dyDescent="0.25">
      <c r="B19" s="89"/>
      <c r="C19" t="s">
        <v>39</v>
      </c>
      <c r="D19" s="1">
        <v>30</v>
      </c>
      <c r="F19">
        <v>1.47</v>
      </c>
      <c r="G19">
        <v>2.73</v>
      </c>
      <c r="H19">
        <v>0.23</v>
      </c>
      <c r="I19" s="4">
        <f>SUM(F19:H19)</f>
        <v>4.4300000000000006</v>
      </c>
      <c r="J19" s="4">
        <f t="shared" si="10"/>
        <v>0</v>
      </c>
      <c r="L19" s="5">
        <f t="shared" si="11"/>
        <v>34.263999999999996</v>
      </c>
      <c r="M19" s="5">
        <f t="shared" si="12"/>
        <v>157.23000000000002</v>
      </c>
      <c r="N19" s="5">
        <f t="shared" si="13"/>
        <v>35.299999999999997</v>
      </c>
      <c r="O19" s="3">
        <f t="shared" si="14"/>
        <v>18.146999999999998</v>
      </c>
      <c r="P19">
        <f t="shared" si="15"/>
        <v>1690</v>
      </c>
      <c r="Q19" s="5">
        <f t="shared" si="16"/>
        <v>2187.41</v>
      </c>
      <c r="R19">
        <v>347</v>
      </c>
      <c r="S19" s="5"/>
      <c r="W19">
        <v>75</v>
      </c>
      <c r="X19" t="s">
        <v>52</v>
      </c>
      <c r="Y19">
        <f>AA19-Z19</f>
        <v>45.800000000000004</v>
      </c>
      <c r="Z19">
        <v>2.8</v>
      </c>
      <c r="AA19">
        <v>48.6</v>
      </c>
      <c r="AC19">
        <v>0</v>
      </c>
      <c r="AD19">
        <v>0</v>
      </c>
      <c r="AE19">
        <f>66+1.92</f>
        <v>67.92</v>
      </c>
      <c r="AF19">
        <v>1890</v>
      </c>
      <c r="AG19">
        <f>18300+920</f>
        <v>19220</v>
      </c>
      <c r="AH19">
        <v>27200</v>
      </c>
      <c r="AI19">
        <v>180</v>
      </c>
      <c r="AJ19">
        <v>111</v>
      </c>
    </row>
    <row r="20" spans="2:36" ht="15" x14ac:dyDescent="0.25">
      <c r="B20" s="89"/>
      <c r="C20" t="s">
        <v>39</v>
      </c>
      <c r="D20" s="1">
        <v>40</v>
      </c>
      <c r="F20">
        <v>1.47</v>
      </c>
      <c r="G20">
        <v>3.06</v>
      </c>
      <c r="H20">
        <v>0.28599999999999998</v>
      </c>
      <c r="I20" s="4">
        <f t="shared" ref="I20:I26" si="17">SUM(F20:H20)</f>
        <v>4.8159999999999998</v>
      </c>
      <c r="J20" s="4">
        <f t="shared" si="10"/>
        <v>0</v>
      </c>
      <c r="L20" s="5">
        <f>0.7923*D20+10.495</f>
        <v>42.186999999999998</v>
      </c>
      <c r="M20" s="5">
        <f>3.914*D20+39.81</f>
        <v>196.37</v>
      </c>
      <c r="N20" s="5">
        <f>0.87*D20+9.2</f>
        <v>44</v>
      </c>
      <c r="O20" s="3">
        <f>0.176*D20+12.867</f>
        <v>19.907</v>
      </c>
      <c r="P20">
        <f>21*D20+1060</f>
        <v>1900</v>
      </c>
      <c r="Q20" s="5">
        <f>10.057*D20+1885.7</f>
        <v>2287.98</v>
      </c>
      <c r="R20">
        <v>347</v>
      </c>
      <c r="S20" s="5"/>
    </row>
    <row r="21" spans="2:36" ht="15" x14ac:dyDescent="0.25">
      <c r="B21" s="89"/>
      <c r="C21" t="s">
        <v>39</v>
      </c>
      <c r="D21" s="1">
        <v>50</v>
      </c>
      <c r="F21">
        <v>1.47</v>
      </c>
      <c r="G21">
        <v>3.38</v>
      </c>
      <c r="H21">
        <v>0.34100000000000003</v>
      </c>
      <c r="I21" s="4">
        <f t="shared" si="17"/>
        <v>5.1909999999999998</v>
      </c>
      <c r="J21" s="4">
        <f t="shared" si="10"/>
        <v>0</v>
      </c>
      <c r="L21" s="5">
        <v>50.1</v>
      </c>
      <c r="M21">
        <f>229</f>
        <v>229</v>
      </c>
      <c r="N21" s="5">
        <v>52.7</v>
      </c>
      <c r="O21">
        <v>21.7</v>
      </c>
      <c r="P21">
        <v>2110</v>
      </c>
      <c r="Q21">
        <v>2400</v>
      </c>
      <c r="R21">
        <v>347</v>
      </c>
      <c r="S21" s="5"/>
      <c r="W21">
        <v>100</v>
      </c>
      <c r="X21" t="s">
        <v>52</v>
      </c>
      <c r="Y21">
        <f>AA21-Z21</f>
        <v>52.5</v>
      </c>
      <c r="Z21">
        <v>2.8</v>
      </c>
      <c r="AA21">
        <v>55.3</v>
      </c>
      <c r="AC21">
        <v>0</v>
      </c>
      <c r="AD21">
        <v>0</v>
      </c>
      <c r="AE21">
        <f>78.8+1.92</f>
        <v>80.72</v>
      </c>
      <c r="AF21">
        <v>1890</v>
      </c>
      <c r="AG21">
        <f>21700+920</f>
        <v>22620</v>
      </c>
      <c r="AH21">
        <v>30200</v>
      </c>
      <c r="AI21">
        <v>240</v>
      </c>
      <c r="AJ21">
        <v>275</v>
      </c>
    </row>
    <row r="22" spans="2:36" ht="15" x14ac:dyDescent="0.25">
      <c r="B22" s="89"/>
      <c r="C22" t="s">
        <v>39</v>
      </c>
      <c r="D22" s="1">
        <v>60</v>
      </c>
      <c r="F22">
        <v>1.47</v>
      </c>
      <c r="G22">
        <v>3.67</v>
      </c>
      <c r="H22">
        <v>0.39800000000000002</v>
      </c>
      <c r="I22" s="4">
        <f t="shared" si="17"/>
        <v>5.5379999999999994</v>
      </c>
      <c r="J22" s="4">
        <f t="shared" si="10"/>
        <v>0</v>
      </c>
      <c r="L22">
        <v>58</v>
      </c>
      <c r="M22">
        <f>268</f>
        <v>268</v>
      </c>
      <c r="N22" s="5">
        <v>61.4</v>
      </c>
      <c r="O22">
        <v>23.4</v>
      </c>
      <c r="P22">
        <v>2320</v>
      </c>
      <c r="Q22">
        <v>2480</v>
      </c>
      <c r="R22">
        <v>347</v>
      </c>
      <c r="S22" s="5"/>
    </row>
    <row r="23" spans="2:36" ht="15" x14ac:dyDescent="0.25">
      <c r="B23" s="89"/>
      <c r="C23" t="s">
        <v>39</v>
      </c>
      <c r="D23" s="1">
        <v>70</v>
      </c>
      <c r="F23">
        <v>1.47</v>
      </c>
      <c r="G23">
        <v>3.99</v>
      </c>
      <c r="H23">
        <v>0.45400000000000001</v>
      </c>
      <c r="I23" s="4">
        <f t="shared" si="17"/>
        <v>5.9139999999999997</v>
      </c>
      <c r="J23" s="4">
        <f t="shared" si="10"/>
        <v>0</v>
      </c>
      <c r="L23">
        <v>66</v>
      </c>
      <c r="M23">
        <v>305</v>
      </c>
      <c r="N23" s="5">
        <v>70.099999999999994</v>
      </c>
      <c r="O23">
        <v>25.2</v>
      </c>
      <c r="P23">
        <v>2530</v>
      </c>
      <c r="Q23">
        <v>2590</v>
      </c>
      <c r="R23">
        <v>347</v>
      </c>
      <c r="S23" s="5"/>
    </row>
    <row r="24" spans="2:36" ht="15" x14ac:dyDescent="0.25">
      <c r="B24" s="89"/>
      <c r="C24" t="s">
        <v>39</v>
      </c>
      <c r="D24" s="1">
        <v>80</v>
      </c>
      <c r="F24">
        <v>1.47</v>
      </c>
      <c r="G24">
        <v>4.28</v>
      </c>
      <c r="H24">
        <v>0.51</v>
      </c>
      <c r="I24" s="4">
        <f t="shared" si="17"/>
        <v>6.26</v>
      </c>
      <c r="J24" s="4">
        <f t="shared" si="10"/>
        <v>0</v>
      </c>
      <c r="L24" s="5">
        <v>73.900000000000006</v>
      </c>
      <c r="M24">
        <v>343</v>
      </c>
      <c r="N24" s="5">
        <v>78.8</v>
      </c>
      <c r="O24">
        <v>26.9</v>
      </c>
      <c r="P24">
        <v>2740</v>
      </c>
      <c r="Q24">
        <v>2680</v>
      </c>
      <c r="R24">
        <v>347</v>
      </c>
      <c r="S24" s="5"/>
    </row>
    <row r="25" spans="2:36" ht="15" x14ac:dyDescent="0.25">
      <c r="B25" s="89"/>
      <c r="C25" t="s">
        <v>39</v>
      </c>
      <c r="D25" s="1">
        <v>90</v>
      </c>
      <c r="F25">
        <v>1.47</v>
      </c>
      <c r="G25">
        <v>4.6100000000000003</v>
      </c>
      <c r="H25">
        <v>0.56599999999999995</v>
      </c>
      <c r="I25" s="4">
        <f t="shared" si="17"/>
        <v>6.6459999999999999</v>
      </c>
      <c r="J25" s="4">
        <f t="shared" si="10"/>
        <v>0</v>
      </c>
      <c r="L25" s="5">
        <v>81.8</v>
      </c>
      <c r="M25">
        <v>381</v>
      </c>
      <c r="N25" s="5">
        <v>87.5</v>
      </c>
      <c r="O25">
        <v>28.7</v>
      </c>
      <c r="P25">
        <v>2950</v>
      </c>
      <c r="Q25">
        <v>2790</v>
      </c>
      <c r="R25">
        <v>347</v>
      </c>
      <c r="S25" s="5"/>
    </row>
    <row r="26" spans="2:36" ht="15" x14ac:dyDescent="0.25">
      <c r="B26" s="89"/>
      <c r="C26" t="s">
        <v>39</v>
      </c>
      <c r="D26" s="1">
        <v>100</v>
      </c>
      <c r="F26">
        <v>1.47</v>
      </c>
      <c r="G26">
        <v>4.93</v>
      </c>
      <c r="H26">
        <v>0.622</v>
      </c>
      <c r="I26" s="4">
        <f t="shared" si="17"/>
        <v>7.0219999999999994</v>
      </c>
      <c r="J26" s="4">
        <f t="shared" si="10"/>
        <v>0</v>
      </c>
      <c r="L26" s="5">
        <v>89.7</v>
      </c>
      <c r="M26">
        <v>419</v>
      </c>
      <c r="N26" s="5">
        <v>96.2</v>
      </c>
      <c r="O26">
        <v>30.5</v>
      </c>
      <c r="P26">
        <v>3160</v>
      </c>
      <c r="Q26">
        <v>2900</v>
      </c>
      <c r="R26">
        <v>347</v>
      </c>
      <c r="S26" s="5"/>
      <c r="X26">
        <v>5</v>
      </c>
      <c r="AA26">
        <v>4.67</v>
      </c>
    </row>
    <row r="27" spans="2:36" x14ac:dyDescent="0.2">
      <c r="B27" s="18"/>
      <c r="N27" s="5"/>
      <c r="X27">
        <v>5</v>
      </c>
      <c r="Y27">
        <v>7.33</v>
      </c>
      <c r="AA27">
        <v>6.85</v>
      </c>
    </row>
    <row r="28" spans="2:36" ht="15" x14ac:dyDescent="0.25">
      <c r="B28" s="88">
        <v>10</v>
      </c>
      <c r="C28" t="s">
        <v>52</v>
      </c>
      <c r="D28" s="1">
        <v>12</v>
      </c>
      <c r="F28" s="4">
        <f>1.46+0.125</f>
        <v>1.585</v>
      </c>
      <c r="G28">
        <v>2.5299999999999998</v>
      </c>
      <c r="H28" s="4">
        <v>0.19600000000000001</v>
      </c>
      <c r="I28" s="4">
        <f>SUM(F28:H28)</f>
        <v>4.3109999999999999</v>
      </c>
      <c r="J28" s="4">
        <f>SUM(F28:H28)-I28</f>
        <v>0</v>
      </c>
      <c r="L28" s="5">
        <v>29.6</v>
      </c>
      <c r="M28" s="5">
        <f>(131/'Septic Tank - British '!$AG$22)*('Septic Tank - British '!$AE$8+'Septic Tank - British '!AG22)</f>
        <v>255.95384615384611</v>
      </c>
      <c r="N28" s="5">
        <v>30.1</v>
      </c>
      <c r="O28" s="5">
        <v>19.399999999999999</v>
      </c>
      <c r="P28" s="5">
        <v>1480</v>
      </c>
      <c r="Q28" s="5">
        <v>2070</v>
      </c>
      <c r="R28" s="5">
        <v>445</v>
      </c>
      <c r="T28" s="5"/>
      <c r="X28">
        <v>10</v>
      </c>
      <c r="AA28">
        <v>11</v>
      </c>
    </row>
    <row r="29" spans="2:36" ht="15" x14ac:dyDescent="0.25">
      <c r="B29" s="89"/>
      <c r="C29" t="s">
        <v>52</v>
      </c>
      <c r="D29" s="1">
        <v>20</v>
      </c>
      <c r="F29" s="4">
        <f t="shared" ref="F29:F35" si="18">1.46+0.125</f>
        <v>1.585</v>
      </c>
      <c r="G29" s="3">
        <f>(P29+((Q29*(('Septic Tank - British '!AJ23))/('Septic Tank - British '!AJ23+'Septic Tank - British '!$AD$7)))+(O29*('Septic Tank - British '!AJ22/'Septic Tank - British '!AF40)))/1000</f>
        <v>2.6521937383610679</v>
      </c>
      <c r="H29" s="4">
        <f>(((L29+N29+(O29*('Septic Tank - British '!AX40/'Septic Tank - British '!AS40)))+(M29*('Septic Tank - British '!AT22/('Septic Tank - British '!$AR$8+'Septic Tank - British '!AT22))))/1000)</f>
        <v>0.23467865489922482</v>
      </c>
      <c r="I29" s="4">
        <f t="shared" ref="I29:I37" si="19">SUM(F29:H29)</f>
        <v>4.4718723932602931</v>
      </c>
      <c r="J29" s="4">
        <f t="shared" ref="J29:J59" si="20">SUM(F29:H29)-I29</f>
        <v>0</v>
      </c>
      <c r="L29" s="5">
        <f>($L$28/'Septic Tank - British '!$AE$22)*'Septic Tank - British '!AE23</f>
        <v>42.285714285714285</v>
      </c>
      <c r="M29" s="5">
        <f>(131/'Septic Tank - British '!$AG$22)*('Septic Tank - British '!$AE$8+'Septic Tank - British '!AG23)</f>
        <v>316.4153846153846</v>
      </c>
      <c r="N29" s="5">
        <f>($N$28/'Septic Tank - British '!$AI$22)*('Septic Tank - British '!$AI23)</f>
        <v>43.992307692307683</v>
      </c>
      <c r="O29" s="5">
        <f>($N$28/('Septic Tank - British '!$AI$40+'Septic Tank - British '!$AJ$40+'Septic Tank - British '!$AK$40))*('Septic Tank - British '!AI41+'Septic Tank - British '!AJ41+'Septic Tank - British '!AK41)</f>
        <v>34.70907574735562</v>
      </c>
      <c r="P29" s="5">
        <f>($P$28/'Septic Tank - British '!$AM$22)*('Septic Tank - British '!$AM23)</f>
        <v>1480</v>
      </c>
      <c r="Q29" s="5">
        <f>($Q$28/('Septic Tank - British '!$AD$7+'Septic Tank - British '!$AJ$22))*('Septic Tank - British '!$AD$7+'Septic Tank - British '!AJ23)</f>
        <v>2171.5873977582551</v>
      </c>
      <c r="R29" s="5">
        <v>445</v>
      </c>
      <c r="T29" s="5"/>
      <c r="X29">
        <v>10</v>
      </c>
      <c r="Y29">
        <v>11.1</v>
      </c>
    </row>
    <row r="30" spans="2:36" ht="15" x14ac:dyDescent="0.25">
      <c r="B30" s="89"/>
      <c r="C30" t="s">
        <v>52</v>
      </c>
      <c r="D30" s="1">
        <v>30</v>
      </c>
      <c r="F30" s="4">
        <f t="shared" si="18"/>
        <v>1.585</v>
      </c>
      <c r="G30" s="3">
        <f>(P30+((Q30*(('Septic Tank - British '!AJ24))/('Septic Tank - British '!AJ24+'Septic Tank - British '!$AD$7)))+(O30*('Septic Tank - British '!AJ23/'Septic Tank - British '!AF41)))/1000</f>
        <v>3.0672466356991634</v>
      </c>
      <c r="H30" s="4">
        <f>(((L30+N30+(O30*('Septic Tank - British '!AX41/'Septic Tank - British '!AS41)))+(M30*('Septic Tank - British '!AT23/('Septic Tank - British '!$AR$8+'Septic Tank - British '!AT23))))/1000)</f>
        <v>0.34881941764193652</v>
      </c>
      <c r="I30" s="4">
        <f t="shared" si="19"/>
        <v>5.0010660533411002</v>
      </c>
      <c r="J30" s="4">
        <f t="shared" si="20"/>
        <v>0</v>
      </c>
      <c r="L30" s="5">
        <f>($L$28/'Septic Tank - British '!$AE$22)*'Septic Tank - British '!AE24</f>
        <v>58.142857142857146</v>
      </c>
      <c r="M30" s="5">
        <f>(131/'Septic Tank - British '!$AG$22)*('Septic Tank - British '!$AE$8+'Septic Tank - British '!AG24)</f>
        <v>391.99230769230763</v>
      </c>
      <c r="N30" s="5">
        <f>($N$28/'Septic Tank - British '!$AI$22)*('Septic Tank - British '!$AI24)</f>
        <v>61.357692307692297</v>
      </c>
      <c r="O30" s="5">
        <f>($N$28/('Septic Tank - British '!$AI$40+'Septic Tank - British '!$AJ$40+'Septic Tank - British '!$AK$40))*('Septic Tank - British '!AI42+'Septic Tank - British '!AJ42+'Septic Tank - British '!AK42)</f>
        <v>40.714394888406254</v>
      </c>
      <c r="P30" s="5">
        <f>($P$28/'Septic Tank - British '!$AM$22)*('Septic Tank - British '!$AM24)</f>
        <v>1691.4285714285713</v>
      </c>
      <c r="Q30" s="5">
        <f>($Q$28/('Septic Tank - British '!$AD$7+'Septic Tank - British '!$AJ$22))*('Septic Tank - British '!$AD$7+'Septic Tank - British '!AJ24)</f>
        <v>2374.7621932747652</v>
      </c>
      <c r="R30" s="5">
        <v>445</v>
      </c>
      <c r="T30" s="5"/>
      <c r="X30">
        <v>20</v>
      </c>
    </row>
    <row r="31" spans="2:36" ht="15" x14ac:dyDescent="0.25">
      <c r="B31" s="89"/>
      <c r="C31" t="s">
        <v>52</v>
      </c>
      <c r="D31" s="1">
        <v>40</v>
      </c>
      <c r="F31" s="4">
        <f t="shared" si="18"/>
        <v>1.585</v>
      </c>
      <c r="G31" s="3">
        <f>(P31+((Q31*(('Septic Tank - British '!AJ25))/('Septic Tank - British '!AJ25+'Septic Tank - British '!$AD$7)))+(O31*('Septic Tank - British '!AJ24/'Septic Tank - British '!AF42)))/1000</f>
        <v>3.4825010946805817</v>
      </c>
      <c r="H31" s="4">
        <f>(((L31+N31+(O31*('Septic Tank - British '!AX42/'Septic Tank - British '!AS42)))+(M31*('Septic Tank - British '!AT24/('Septic Tank - British '!$AR$8+'Septic Tank - British '!AT24))))/1000)</f>
        <v>0.46326183423635303</v>
      </c>
      <c r="I31" s="4">
        <f t="shared" si="19"/>
        <v>5.5307629289169347</v>
      </c>
      <c r="J31" s="4">
        <f t="shared" si="20"/>
        <v>0</v>
      </c>
      <c r="L31" s="5">
        <f>($L$28/'Septic Tank - British '!$AE$22)*'Septic Tank - British '!AE25</f>
        <v>74</v>
      </c>
      <c r="M31" s="5">
        <f>(131/'Septic Tank - British '!$AG$22)*('Septic Tank - British '!$AE$8+'Septic Tank - British '!AG25)</f>
        <v>467.56923076923073</v>
      </c>
      <c r="N31" s="5">
        <f>($N$28/'Septic Tank - British '!$AI$22)*('Septic Tank - British '!$AI25)</f>
        <v>78.723076923076917</v>
      </c>
      <c r="O31" s="5">
        <f>($N$28/('Septic Tank - British '!$AI$40+'Septic Tank - British '!$AJ$40+'Septic Tank - British '!$AK$40))*('Septic Tank - British '!AI43+'Septic Tank - British '!AJ43+'Septic Tank - British '!AK43)</f>
        <v>46.719714029456888</v>
      </c>
      <c r="P31" s="5">
        <f>($P$28/'Septic Tank - British '!$AM$22)*('Septic Tank - British '!$AM25)</f>
        <v>1902.8571428571429</v>
      </c>
      <c r="Q31" s="5">
        <f>($Q$28/('Septic Tank - British '!$AD$7+'Septic Tank - British '!$AJ$22))*('Septic Tank - British '!$AD$7+'Septic Tank - British '!AJ25)</f>
        <v>2577.9369887912753</v>
      </c>
      <c r="R31" s="5">
        <v>445</v>
      </c>
      <c r="T31" s="5"/>
      <c r="X31">
        <v>20</v>
      </c>
      <c r="Y31">
        <v>20.975000000000001</v>
      </c>
    </row>
    <row r="32" spans="2:36" ht="15" x14ac:dyDescent="0.25">
      <c r="B32" s="89"/>
      <c r="C32" t="s">
        <v>52</v>
      </c>
      <c r="D32" s="1">
        <v>50</v>
      </c>
      <c r="F32" s="4">
        <f t="shared" si="18"/>
        <v>1.585</v>
      </c>
      <c r="G32" s="3">
        <f>(P32+((Q32*(('Septic Tank - British '!AJ26))/('Septic Tank - British '!AJ26+'Septic Tank - British '!$AD$7)))+(O32*('Septic Tank - British '!AJ25/'Septic Tank - British '!AF43)))/1000</f>
        <v>3.6943434682311262</v>
      </c>
      <c r="H32" s="4">
        <f>(((L32+N32+(O32*('Septic Tank - British '!AX43/'Septic Tank - British '!AS43)))+(M32*('Septic Tank - British '!AT25/('Septic Tank - British '!$AR$8+'Septic Tank - British '!AT25))))/1000)</f>
        <v>0.5357897080582521</v>
      </c>
      <c r="I32" s="4">
        <f t="shared" si="19"/>
        <v>5.8151331762893781</v>
      </c>
      <c r="J32" s="4">
        <f t="shared" si="20"/>
        <v>0</v>
      </c>
      <c r="L32" s="5">
        <f>($L$28/'Septic Tank - British '!$AE$22)*'Septic Tank - British '!AE26</f>
        <v>68.714285714285708</v>
      </c>
      <c r="M32" s="5">
        <f>(131/'Septic Tank - British '!$AG$22)*('Septic Tank - British '!$AE$8+'Septic Tank - British '!AG26)</f>
        <v>521.31282051282051</v>
      </c>
      <c r="N32" s="5">
        <f>($N$28/'Septic Tank - British '!$AI$22)*('Septic Tank - British '!$AI26)</f>
        <v>91.071794871794864</v>
      </c>
      <c r="O32" s="5">
        <f>($N$28/('Septic Tank - British '!$AI$40+'Septic Tank - British '!$AJ$40+'Septic Tank - British '!$AK$40))*('Septic Tank - British '!AI44+'Septic Tank - British '!AJ44+'Septic Tank - British '!AK44)</f>
        <v>50.527515337499096</v>
      </c>
      <c r="P32" s="5">
        <f>($P$28/'Septic Tank - British '!$AM$22)*('Septic Tank - British '!$AM26)</f>
        <v>2114.2857142857142</v>
      </c>
      <c r="Q32" s="5">
        <f>($Q$28/('Septic Tank - British '!$AD$7+'Septic Tank - British '!$AJ$22))*('Septic Tank - British '!$AD$7+'Septic Tank - British '!AJ26)</f>
        <v>2577.9369887912753</v>
      </c>
      <c r="R32" s="5">
        <v>445</v>
      </c>
      <c r="T32" s="5"/>
      <c r="X32">
        <v>30</v>
      </c>
      <c r="Y32">
        <v>26.2</v>
      </c>
    </row>
    <row r="33" spans="2:25" ht="15" x14ac:dyDescent="0.25">
      <c r="B33" s="89"/>
      <c r="C33" t="s">
        <v>52</v>
      </c>
      <c r="D33" s="1">
        <v>60</v>
      </c>
      <c r="F33" s="4">
        <f t="shared" si="18"/>
        <v>1.585</v>
      </c>
      <c r="G33" s="3">
        <f>(P33+((Q33*(('Septic Tank - British '!AJ27))/('Septic Tank - British '!AJ27+'Septic Tank - British '!$AD$7)))+(O33*('Septic Tank - British '!AJ26/'Septic Tank - British '!AF44)))/1000</f>
        <v>4.007455924531599</v>
      </c>
      <c r="H33" s="4">
        <f>(((L33+N33+(O33*('Septic Tank - British '!AX44/'Septic Tank - British '!AS44)))+(M33*('Septic Tank - British '!AT26/('Septic Tank - British '!$AR$8+'Septic Tank - British '!AT26))))/1000)</f>
        <v>0.63560506947684658</v>
      </c>
      <c r="I33" s="4">
        <f t="shared" si="19"/>
        <v>6.2280609940084455</v>
      </c>
      <c r="J33" s="4">
        <f t="shared" si="20"/>
        <v>0</v>
      </c>
      <c r="L33" s="5">
        <f>($L$28/'Septic Tank - British '!$AE$22)*'Septic Tank - British '!AE27</f>
        <v>79.285714285714278</v>
      </c>
      <c r="M33" s="5">
        <f>(131/'Septic Tank - British '!$AG$22)*('Septic Tank - British '!$AE$8+'Septic Tank - British '!AG27)</f>
        <v>588.49230769230758</v>
      </c>
      <c r="N33" s="5">
        <f>($N$28/'Septic Tank - British '!$AI$22)*('Septic Tank - British '!$AI27)</f>
        <v>106.50769230769228</v>
      </c>
      <c r="O33" s="5">
        <f>($N$28/('Septic Tank - British '!$AI$40+'Septic Tank - British '!$AJ$40+'Septic Tank - British '!$AK$40))*('Septic Tank - British '!AI45+'Septic Tank - British '!AJ45+'Septic Tank - British '!AK45)</f>
        <v>55.612566248359997</v>
      </c>
      <c r="P33" s="5">
        <f>($P$28/'Septic Tank - British '!$AM$22)*('Septic Tank - British '!$AM27)</f>
        <v>2325.7142857142858</v>
      </c>
      <c r="Q33" s="5">
        <f>($Q$28/('Septic Tank - British '!$AD$7+'Septic Tank - British '!$AJ$22))*('Septic Tank - British '!$AD$7+'Septic Tank - British '!AJ27)</f>
        <v>2679.5243865495304</v>
      </c>
      <c r="R33" s="5">
        <v>445</v>
      </c>
      <c r="T33" s="5"/>
      <c r="X33">
        <v>50</v>
      </c>
      <c r="Y33">
        <v>33.799999999999997</v>
      </c>
    </row>
    <row r="34" spans="2:25" ht="15" x14ac:dyDescent="0.25">
      <c r="B34" s="89"/>
      <c r="C34" t="s">
        <v>52</v>
      </c>
      <c r="D34" s="1">
        <v>70</v>
      </c>
      <c r="F34" s="4">
        <f t="shared" si="18"/>
        <v>1.585</v>
      </c>
      <c r="G34" s="3">
        <f>(P34+((Q34*(('Septic Tank - British '!AJ28))/('Septic Tank - British '!AJ28+'Septic Tank - British '!$AD$7)))+(O34*('Septic Tank - British '!AJ27/'Septic Tank - British '!AF45)))/1000</f>
        <v>4.2190985792142808</v>
      </c>
      <c r="H34" s="4">
        <f>(((L34+N34+(O34*('Septic Tank - British '!AX45/'Septic Tank - British '!AS45)))+(M34*('Septic Tank - British '!AT27/('Septic Tank - British '!$AR$8+'Septic Tank - British '!AT27))))/1000)</f>
        <v>0.71225651150447311</v>
      </c>
      <c r="I34" s="4">
        <f t="shared" si="19"/>
        <v>6.5163550907187542</v>
      </c>
      <c r="J34" s="4">
        <f t="shared" si="20"/>
        <v>0</v>
      </c>
      <c r="L34" s="5">
        <f>($L$28/'Septic Tank - British '!$AE$22)*'Septic Tank - British '!AE28</f>
        <v>76.642857142857153</v>
      </c>
      <c r="M34" s="5">
        <f>(131/'Septic Tank - British '!$AG$22)*('Septic Tank - British '!$AE$8+'Septic Tank - British '!AG28)</f>
        <v>646.43461538461531</v>
      </c>
      <c r="N34" s="5">
        <f>($N$28/'Septic Tank - British '!$AI$22)*('Septic Tank - British '!$AI28)</f>
        <v>119.82115384615382</v>
      </c>
      <c r="O34" s="5">
        <f>($N$28/('Septic Tank - British '!$AI$40+'Septic Tank - British '!$AJ$40+'Septic Tank - British '!$AK$40))*('Septic Tank - British '!AI46+'Septic Tank - British '!AJ46+'Septic Tank - British '!AK46)</f>
        <v>59.717852033592997</v>
      </c>
      <c r="P34" s="5">
        <f>($P$28/'Septic Tank - British '!$AM$22)*('Septic Tank - British '!$AM28)</f>
        <v>2537.1428571428573</v>
      </c>
      <c r="Q34" s="5">
        <f>($Q$28/('Septic Tank - British '!$AD$7+'Septic Tank - British '!$AJ$22))*('Septic Tank - British '!$AD$7+'Septic Tank - British '!AJ28)</f>
        <v>2679.5243865495304</v>
      </c>
      <c r="R34" s="5">
        <v>445</v>
      </c>
      <c r="T34" s="5"/>
      <c r="X34">
        <v>75</v>
      </c>
      <c r="Y34">
        <v>48.6</v>
      </c>
    </row>
    <row r="35" spans="2:25" ht="15" x14ac:dyDescent="0.25">
      <c r="B35" s="89"/>
      <c r="C35" t="s">
        <v>52</v>
      </c>
      <c r="D35" s="1">
        <v>80</v>
      </c>
      <c r="F35" s="4">
        <f t="shared" si="18"/>
        <v>1.585</v>
      </c>
      <c r="G35" s="3">
        <f>(P35+((Q35*(('Septic Tank - British '!AJ29))/('Septic Tank - British '!AJ29+'Septic Tank - British '!$AD$7)))+(O35*('Septic Tank - British '!AJ28/'Septic Tank - British '!AF46)))/1000</f>
        <v>4.5321486336631667</v>
      </c>
      <c r="H35" s="4">
        <f>(((L35+N35+(O35*('Septic Tank - British '!AX46/'Septic Tank - British '!AS46)))+(M35*('Septic Tank - British '!AT28/('Septic Tank - British '!$AR$8+'Septic Tank - British '!AT28))))/1000)</f>
        <v>0.80416532995217471</v>
      </c>
      <c r="I35" s="4">
        <f t="shared" si="19"/>
        <v>6.9213139636153418</v>
      </c>
      <c r="J35" s="4">
        <f t="shared" si="20"/>
        <v>0</v>
      </c>
      <c r="L35" s="5">
        <f>($L$28/'Septic Tank - British '!$AE$22)*'Septic Tank - British '!AE29</f>
        <v>84.571428571428569</v>
      </c>
      <c r="M35" s="5">
        <f>(131/'Septic Tank - British '!$AG$22)*('Septic Tank - British '!$AE$8+'Septic Tank - British '!AG29)</f>
        <v>709.41538461538448</v>
      </c>
      <c r="N35" s="5">
        <f>($N$28/'Septic Tank - British '!$AI$22)*('Septic Tank - British '!$AI29)</f>
        <v>134.29230769230767</v>
      </c>
      <c r="O35" s="5">
        <f>($N$28/('Septic Tank - British '!$AI$40+'Septic Tank - British '!$AJ$40+'Septic Tank - British '!$AK$40))*('Septic Tank - British '!AI47+'Septic Tank - British '!AJ47+'Septic Tank - British '!AK47)</f>
        <v>64.505418467263112</v>
      </c>
      <c r="P35" s="5">
        <f>($P$28/'Septic Tank - British '!$AM$22)*('Septic Tank - British '!$AM29)</f>
        <v>2748.5714285714284</v>
      </c>
      <c r="Q35" s="5">
        <f>($Q$28/('Septic Tank - British '!$AD$7+'Septic Tank - British '!$AJ$22))*('Septic Tank - British '!$AD$7+'Septic Tank - British '!AJ29)</f>
        <v>2781.1117843077855</v>
      </c>
      <c r="R35" s="5">
        <v>445</v>
      </c>
      <c r="T35" s="5"/>
      <c r="X35">
        <v>100</v>
      </c>
      <c r="Y35">
        <v>55.3</v>
      </c>
    </row>
    <row r="36" spans="2:25" ht="15" x14ac:dyDescent="0.25">
      <c r="B36" s="89"/>
      <c r="C36" t="s">
        <v>52</v>
      </c>
      <c r="D36" s="1">
        <v>90</v>
      </c>
      <c r="F36" s="4">
        <f>1.46+0.125</f>
        <v>1.585</v>
      </c>
      <c r="G36" s="3">
        <f>(P36+((Q36*(('Septic Tank - British '!AJ30))/('Septic Tank - British '!AJ30+'Septic Tank - British '!$AD$7)))+(O36*('Septic Tank - British '!AJ29/'Septic Tank - British '!AF47)))/1000</f>
        <v>4.7438502502783564</v>
      </c>
      <c r="H36" s="4">
        <f>(((L36+N36+(O36*('Septic Tank - British '!AX47/'Septic Tank - British '!AS47)))+(M36*('Septic Tank - British '!AT29/('Septic Tank - British '!$AR$8+'Septic Tank - British '!AT29))))/1000)</f>
        <v>0.88383190186101013</v>
      </c>
      <c r="I36" s="4">
        <f>SUM(F36:H36)</f>
        <v>7.2126821521393669</v>
      </c>
      <c r="J36" s="4">
        <f t="shared" si="20"/>
        <v>0</v>
      </c>
      <c r="L36" s="5">
        <f>($L$28/'Septic Tank - British '!$AE$22)*'Septic Tank - British '!AE30</f>
        <v>83.51428571428572</v>
      </c>
      <c r="M36" s="5">
        <f>(131/'Septic Tank - British '!$AG$22)*('Septic Tank - British '!$AE$8+'Septic Tank - British '!AG30)</f>
        <v>769.87692307692294</v>
      </c>
      <c r="N36" s="5">
        <f>($N$28/'Septic Tank - British '!$AI$22)*('Septic Tank - British '!$AI30)</f>
        <v>148.18461538461537</v>
      </c>
      <c r="O36" s="5">
        <f>($N$28/('Septic Tank - British '!$AI$40+'Septic Tank - British '!$AJ$40+'Septic Tank - British '!$AK$40))*('Septic Tank - British '!AI48+'Septic Tank - British '!AJ48+'Septic Tank - British '!AK48)</f>
        <v>68.789194938810596</v>
      </c>
      <c r="P36" s="5">
        <f>($P$28/'Septic Tank - British '!$AM$22)*('Septic Tank - British '!$AM30)</f>
        <v>2960</v>
      </c>
      <c r="Q36" s="5">
        <f>($Q$28/('Septic Tank - British '!$AD$7+'Septic Tank - British '!$AJ$22))*('Septic Tank - British '!$AD$7+'Septic Tank - British '!AJ30)</f>
        <v>2781.1117843077855</v>
      </c>
      <c r="R36" s="5">
        <v>445</v>
      </c>
      <c r="T36" s="5"/>
    </row>
    <row r="37" spans="2:25" ht="15" x14ac:dyDescent="0.25">
      <c r="B37" s="89"/>
      <c r="C37" t="s">
        <v>52</v>
      </c>
      <c r="D37" s="1">
        <v>100</v>
      </c>
      <c r="F37" s="4">
        <f>1.46+0.125</f>
        <v>1.585</v>
      </c>
      <c r="G37" s="3">
        <f>(P37+((Q37*(('Septic Tank - British '!AJ31))/('Septic Tank - British '!AJ31+'Septic Tank - British '!$AD$7)))+(O37*('Septic Tank - British '!AJ30/'Septic Tank - British '!AF48)))/1000</f>
        <v>5.0568695972091238</v>
      </c>
      <c r="H37" s="4">
        <f>(((L37+N37+(O37*('Septic Tank - British '!AX48/'Septic Tank - British '!AS48)))+(M37*('Septic Tank - British '!AT30/('Septic Tank - British '!$AR$8+'Septic Tank - British '!AT30))))/1000)</f>
        <v>0.97078153513882603</v>
      </c>
      <c r="I37" s="4">
        <f t="shared" si="19"/>
        <v>7.61265113234795</v>
      </c>
      <c r="J37" s="4">
        <f t="shared" si="20"/>
        <v>0</v>
      </c>
      <c r="L37" s="5">
        <f>($L$28/'Septic Tank - British '!$AE$22)*'Septic Tank - British '!AE31</f>
        <v>89.857142857142861</v>
      </c>
      <c r="M37" s="5">
        <f>(131/'Septic Tank - British '!$AG$22)*('Septic Tank - British '!$AE$8+'Septic Tank - British '!AG31)</f>
        <v>830.33846153846139</v>
      </c>
      <c r="N37" s="5">
        <f>($N$28/'Septic Tank - British '!$AI$22)*('Septic Tank - British '!$AI31)</f>
        <v>162.07692307692307</v>
      </c>
      <c r="O37" s="5">
        <f>($N$28/('Septic Tank - British '!$AI$40+'Septic Tank - British '!$AJ$40+'Septic Tank - British '!$AK$40))*('Septic Tank - British '!AI49+'Septic Tank - British '!AJ49+'Septic Tank - British '!AK49)</f>
        <v>73.398270686166228</v>
      </c>
      <c r="P37" s="5">
        <f>($P$28/'Septic Tank - British '!$AM$22)*('Septic Tank - British '!$AM31)</f>
        <v>3171.4285714285711</v>
      </c>
      <c r="Q37" s="5">
        <f>($Q$28/('Septic Tank - British '!$AD$7+'Septic Tank - British '!$AJ$22))*('Septic Tank - British '!$AD$7+'Septic Tank - British '!AJ31)</f>
        <v>2882.6991820660405</v>
      </c>
      <c r="R37" s="5">
        <v>445</v>
      </c>
      <c r="T37" s="5"/>
    </row>
    <row r="38" spans="2:25" x14ac:dyDescent="0.2">
      <c r="B38" s="18"/>
    </row>
    <row r="39" spans="2:25" ht="15" x14ac:dyDescent="0.25">
      <c r="B39" s="88">
        <v>20</v>
      </c>
      <c r="C39" t="s">
        <v>51</v>
      </c>
      <c r="D39" s="1">
        <v>12</v>
      </c>
      <c r="F39">
        <v>1.24</v>
      </c>
      <c r="G39">
        <v>3.57</v>
      </c>
      <c r="H39">
        <v>0.33</v>
      </c>
      <c r="I39" s="4">
        <f>SUM(L39:R39)/1000</f>
        <v>5.369373062003195</v>
      </c>
      <c r="J39" s="4">
        <f t="shared" si="20"/>
        <v>-0.22937306200319529</v>
      </c>
      <c r="L39">
        <v>48.1</v>
      </c>
      <c r="M39" s="5">
        <f>('Capital Carbon (legacy)'!$M$50/'Septic Tank - British '!$AT$22)*('Septic Tank - British '!$AR$8+'Septic Tank - British '!$AT22)</f>
        <v>521.95065621970696</v>
      </c>
      <c r="N39">
        <v>51</v>
      </c>
      <c r="O39">
        <v>23.5</v>
      </c>
      <c r="P39">
        <v>2230</v>
      </c>
      <c r="Q39" s="5">
        <f>($Q$50/('Septic Tank - British '!$AW$22+'Septic Tank - British '!$AQ$14))*('Septic Tank - British '!AW22+'Septic Tank - British '!$AQ$7)</f>
        <v>1896.8224057834882</v>
      </c>
      <c r="R39">
        <v>598</v>
      </c>
    </row>
    <row r="40" spans="2:25" ht="15" x14ac:dyDescent="0.25">
      <c r="B40" s="89"/>
      <c r="C40" t="s">
        <v>51</v>
      </c>
      <c r="D40" s="1">
        <v>20</v>
      </c>
      <c r="F40">
        <v>1.24</v>
      </c>
      <c r="G40" s="3">
        <f>(P40+((Q40*(('Septic Tank - British '!AW23))/('Septic Tank - British '!AW23+'Septic Tank - British '!$AQ$7)))+(O40*('Septic Tank - British '!AX41/'Septic Tank - British '!AS41)))/1000</f>
        <v>4.558203538714829</v>
      </c>
      <c r="H40" s="4">
        <f>(((L40+N40+(O40*('Septic Tank - British '!AX41/'Septic Tank - British '!AS41)))+(M40*('Septic Tank - British '!AT23/('Septic Tank - British '!$AR$8+'Septic Tank - British '!AT23))))/1000)</f>
        <v>0.50914551990154211</v>
      </c>
      <c r="I40" s="4">
        <f t="shared" ref="I40:I48" si="21">SUM(L40:R40)/1000</f>
        <v>6.4940187136177441</v>
      </c>
      <c r="J40" s="4">
        <f>SUM(F40:H40)-I40</f>
        <v>-0.18666965500137245</v>
      </c>
      <c r="L40" s="5">
        <f>L51</f>
        <v>73.195652173913047</v>
      </c>
      <c r="M40" s="5">
        <f>('Capital Carbon (legacy)'!$M$50/'Septic Tank - British '!$AT$22)*('Septic Tank - British '!$AR$8+'Septic Tank - British '!$AT23)</f>
        <v>643.04156531061597</v>
      </c>
      <c r="N40" s="5">
        <v>74.336363636363629</v>
      </c>
      <c r="O40" s="5">
        <v>37.382035648393767</v>
      </c>
      <c r="P40" s="5">
        <f>($P$39/'Septic Tank - British '!$AZ$22)*('Septic Tank - British '!$AZ23)</f>
        <v>2867.1428571428573</v>
      </c>
      <c r="Q40" s="5">
        <f>($Q$50/('Septic Tank - British '!$AW$22+'Septic Tank - British '!$AQ$14))*('Septic Tank - British '!AW23+'Septic Tank - British '!$AQ$7)</f>
        <v>2200.9202397056001</v>
      </c>
      <c r="R40">
        <v>598</v>
      </c>
    </row>
    <row r="41" spans="2:25" ht="15" x14ac:dyDescent="0.25">
      <c r="B41" s="89"/>
      <c r="C41" t="s">
        <v>51</v>
      </c>
      <c r="D41" s="1">
        <v>30</v>
      </c>
      <c r="F41">
        <v>1.24</v>
      </c>
      <c r="G41" s="3">
        <f>(P41+((Q41*(('Septic Tank - British '!AW24))/('Septic Tank - British '!AW24+'Septic Tank - British '!$AQ$7)))+(O41*('Septic Tank - British '!AX42/'Septic Tank - British '!AS42)))/1000</f>
        <v>4.878487822207199</v>
      </c>
      <c r="H41" s="4">
        <f>(((L41+N41+(O41*('Septic Tank - British '!AX42/'Septic Tank - British '!AS42)))+(M41*('Septic Tank - British '!AT24/('Septic Tank - British '!$AR$8+'Septic Tank - British '!AT24))))/1000)</f>
        <v>0.66823843996909404</v>
      </c>
      <c r="I41" s="4">
        <f t="shared" si="21"/>
        <v>6.9671067470995123</v>
      </c>
      <c r="J41" s="4">
        <f t="shared" si="20"/>
        <v>-0.18038048492321934</v>
      </c>
      <c r="L41" s="5">
        <f t="shared" ref="L41:L48" si="22">L52</f>
        <v>78.423913043478265</v>
      </c>
      <c r="M41" s="5">
        <f>('Capital Carbon (legacy)'!$M$50/'Septic Tank - British '!$AT$22)*('Septic Tank - British '!$AR$8+'Septic Tank - British '!$AT24)</f>
        <v>764.13247440152509</v>
      </c>
      <c r="N41" s="5">
        <v>100.57272727272725</v>
      </c>
      <c r="O41" s="5">
        <v>44.16763851166769</v>
      </c>
      <c r="P41" s="5">
        <f>($P$39/'Septic Tank - British '!$AZ$22)*('Septic Tank - British '!$AZ24)</f>
        <v>3079.5238095238101</v>
      </c>
      <c r="Q41" s="5">
        <f>($Q$50/('Septic Tank - British '!$AW$22+'Septic Tank - British '!$AQ$14))*('Septic Tank - British '!AW24+'Septic Tank - British '!$AQ$7)</f>
        <v>2302.2861843463038</v>
      </c>
      <c r="R41">
        <v>598</v>
      </c>
    </row>
    <row r="42" spans="2:25" ht="15" x14ac:dyDescent="0.25">
      <c r="B42" s="89"/>
      <c r="C42" t="s">
        <v>51</v>
      </c>
      <c r="D42" s="1">
        <v>40</v>
      </c>
      <c r="F42">
        <v>1.24</v>
      </c>
      <c r="G42" s="3">
        <f>(P42+((Q42*(('Septic Tank - British '!AW25))/('Septic Tank - British '!AW25+'Septic Tank - British '!$AQ$7)))+(O42*('Septic Tank - British '!AX43/'Septic Tank - British '!AS43)))/1000</f>
        <v>5.198772105699569</v>
      </c>
      <c r="H42" s="4">
        <f>(((L42+N42+(O42*('Septic Tank - British '!AX43/'Septic Tank - British '!AS43)))+(M42*('Septic Tank - British '!AT25/('Septic Tank - British '!$AR$8+'Septic Tank - British '!AT25))))/1000)</f>
        <v>0.82733136003664609</v>
      </c>
      <c r="I42" s="4">
        <f>SUM(L42:R42)/1000</f>
        <v>7.4401947805812805</v>
      </c>
      <c r="J42" s="4">
        <f t="shared" si="20"/>
        <v>-0.17409131484506535</v>
      </c>
      <c r="L42" s="5">
        <f>L53</f>
        <v>83.652173913043484</v>
      </c>
      <c r="M42" s="5">
        <f>('Capital Carbon (legacy)'!$M$50/'Septic Tank - British '!$AT$22)*('Septic Tank - British '!$AR$8+'Septic Tank - British '!$AT25)</f>
        <v>885.22338349243421</v>
      </c>
      <c r="N42" s="5">
        <v>126.80909090909087</v>
      </c>
      <c r="O42" s="5">
        <v>50.953241374941612</v>
      </c>
      <c r="P42" s="5">
        <f>($P$39/'Septic Tank - British '!$AZ$22)*('Septic Tank - British '!$AZ25)</f>
        <v>3291.9047619047619</v>
      </c>
      <c r="Q42" s="5">
        <f>($Q$50/('Septic Tank - British '!$AW$22+'Septic Tank - British '!$AQ$14))*('Septic Tank - British '!AW25+'Septic Tank - British '!$AQ$7)</f>
        <v>2403.6521289870079</v>
      </c>
      <c r="R42">
        <v>598</v>
      </c>
    </row>
    <row r="43" spans="2:25" ht="15" x14ac:dyDescent="0.25">
      <c r="B43" s="89"/>
      <c r="C43" t="s">
        <v>51</v>
      </c>
      <c r="D43" s="1">
        <v>50</v>
      </c>
      <c r="F43">
        <v>1.24</v>
      </c>
      <c r="G43" s="3">
        <f>(P43+((Q43*(('Septic Tank - British '!AW26))/('Septic Tank - British '!AW26+'Septic Tank - British '!$AQ$7)))+(O43*('Septic Tank - British '!AX44/'Septic Tank - British '!AS44)))/1000</f>
        <v>5.51905638919194</v>
      </c>
      <c r="H43" s="4">
        <f>(((L43+N43+(O43*('Septic Tank - British '!AX44/'Septic Tank - British '!AS44)))+(M43*('Septic Tank - British '!AT26/('Septic Tank - British '!$AR$8+'Septic Tank - British '!AT26))))/1000)</f>
        <v>0.98642428010419803</v>
      </c>
      <c r="I43" s="4">
        <f t="shared" si="21"/>
        <v>7.9132828140630478</v>
      </c>
      <c r="J43" s="4">
        <f t="shared" si="20"/>
        <v>-0.16780214476690958</v>
      </c>
      <c r="L43" s="5">
        <f t="shared" si="22"/>
        <v>88.880434782608702</v>
      </c>
      <c r="M43" s="5">
        <f>('Capital Carbon (legacy)'!$M$50/'Septic Tank - British '!$AT$22)*('Septic Tank - British '!$AR$8+'Septic Tank - British '!$AT26)</f>
        <v>1006.3142925833433</v>
      </c>
      <c r="N43" s="5">
        <v>153.04545454545453</v>
      </c>
      <c r="O43" s="5">
        <v>57.738844238215535</v>
      </c>
      <c r="P43" s="5">
        <f>($P$39/'Septic Tank - British '!$AZ$22)*('Septic Tank - British '!$AZ26)</f>
        <v>3504.2857142857147</v>
      </c>
      <c r="Q43" s="5">
        <f>($Q$50/('Septic Tank - British '!$AW$22+'Septic Tank - British '!$AQ$14))*('Septic Tank - British '!AW26+'Septic Tank - British '!$AQ$7)</f>
        <v>2505.0180736277121</v>
      </c>
      <c r="R43">
        <v>598</v>
      </c>
    </row>
    <row r="44" spans="2:25" ht="15" x14ac:dyDescent="0.25">
      <c r="B44" s="89"/>
      <c r="C44" t="s">
        <v>51</v>
      </c>
      <c r="D44" s="1">
        <v>60</v>
      </c>
      <c r="F44">
        <v>1.24</v>
      </c>
      <c r="G44" s="3">
        <f>(P44+((Q44*(('Septic Tank - British '!AW27))/('Septic Tank - British '!AW27+'Septic Tank - British '!$AQ$7)))+(O44*('Septic Tank - British '!AX45/'Septic Tank - British '!AS45)))/1000</f>
        <v>5.8393406726843091</v>
      </c>
      <c r="H44" s="4">
        <f>(((L44+N44+(O44*('Septic Tank - British '!AX45/'Septic Tank - British '!AS45)))+(M44*('Septic Tank - British '!AT27/('Septic Tank - British '!$AR$8+'Septic Tank - British '!AT27))))/1000)</f>
        <v>1.1455172001717497</v>
      </c>
      <c r="I44" s="4">
        <f t="shared" si="21"/>
        <v>8.386370847544816</v>
      </c>
      <c r="J44" s="4">
        <f t="shared" si="20"/>
        <v>-0.16151297468875647</v>
      </c>
      <c r="L44" s="5">
        <f t="shared" si="22"/>
        <v>94.108695652173921</v>
      </c>
      <c r="M44" s="5">
        <f>('Capital Carbon (legacy)'!$M$50/'Septic Tank - British '!$AT$22)*('Septic Tank - British '!$AR$8+'Septic Tank - British '!$AT27)</f>
        <v>1127.4052016742523</v>
      </c>
      <c r="N44" s="5">
        <v>179.28181818181812</v>
      </c>
      <c r="O44" s="5">
        <v>64.524447101489457</v>
      </c>
      <c r="P44" s="5">
        <f>($P$39/'Septic Tank - British '!$AZ$22)*('Septic Tank - British '!$AZ27)</f>
        <v>3716.6666666666665</v>
      </c>
      <c r="Q44" s="5">
        <f>($Q$50/('Septic Tank - British '!$AW$22+'Septic Tank - British '!$AQ$14))*('Septic Tank - British '!AW27+'Septic Tank - British '!$AQ$7)</f>
        <v>2606.3840182684157</v>
      </c>
      <c r="R44">
        <v>598</v>
      </c>
    </row>
    <row r="45" spans="2:25" ht="15" x14ac:dyDescent="0.25">
      <c r="B45" s="89"/>
      <c r="C45" t="s">
        <v>51</v>
      </c>
      <c r="D45" s="1">
        <v>70</v>
      </c>
      <c r="F45">
        <v>1.24</v>
      </c>
      <c r="G45" s="3">
        <f>(P45+((Q45*(('Septic Tank - British '!AW28))/('Septic Tank - British '!AW28+'Septic Tank - British '!$AQ$7)))+(O45*('Septic Tank - British '!AX46/'Septic Tank - British '!AS46)))/1000</f>
        <v>6.1596249561766809</v>
      </c>
      <c r="H45" s="4">
        <f>(((L45+N45+(O45*('Septic Tank - British '!AX46/'Septic Tank - British '!AS46)))+(M45*('Septic Tank - British '!AT28/('Septic Tank - British '!$AR$8+'Septic Tank - British '!AT28))))/1000)</f>
        <v>1.3046101202393019</v>
      </c>
      <c r="I45" s="4">
        <f t="shared" si="21"/>
        <v>8.8594588810265851</v>
      </c>
      <c r="J45" s="4">
        <f t="shared" si="20"/>
        <v>-0.15522380461060159</v>
      </c>
      <c r="L45" s="5">
        <f t="shared" si="22"/>
        <v>99.336956521739125</v>
      </c>
      <c r="M45" s="5">
        <f>('Capital Carbon (legacy)'!$M$50/'Septic Tank - British '!$AT$22)*('Septic Tank - British '!$AR$8+'Septic Tank - British '!$AT28)</f>
        <v>1248.4961107651616</v>
      </c>
      <c r="N45" s="5">
        <v>205.5181818181818</v>
      </c>
      <c r="O45" s="5">
        <v>71.31004996476338</v>
      </c>
      <c r="P45" s="5">
        <f>($P$39/'Septic Tank - British '!$AZ$22)*('Septic Tank - British '!$AZ28)</f>
        <v>3929.0476190476193</v>
      </c>
      <c r="Q45" s="5">
        <f>($Q$50/('Septic Tank - British '!$AW$22+'Septic Tank - British '!$AQ$14))*('Septic Tank - British '!AW28+'Septic Tank - British '!$AQ$7)</f>
        <v>2707.7499629091199</v>
      </c>
      <c r="R45">
        <v>598</v>
      </c>
    </row>
    <row r="46" spans="2:25" ht="15" x14ac:dyDescent="0.25">
      <c r="B46" s="89"/>
      <c r="C46" t="s">
        <v>51</v>
      </c>
      <c r="D46" s="1">
        <v>80</v>
      </c>
      <c r="F46">
        <v>1.24</v>
      </c>
      <c r="G46" s="3">
        <f>(P46+((Q46*(('Septic Tank - British '!AW29))/('Septic Tank - British '!AW29+'Septic Tank - British '!$AQ$7)))+(O46*('Septic Tank - British '!AX47/'Septic Tank - British '!AS47)))/1000</f>
        <v>6.479909239669051</v>
      </c>
      <c r="H46" s="4">
        <f>(((L46+N46+(O46*('Septic Tank - British '!AX47/'Septic Tank - British '!AS47)))+(M46*('Septic Tank - British '!AT29/('Septic Tank - British '!$AR$8+'Septic Tank - British '!AT29))))/1000)</f>
        <v>1.4637030403068536</v>
      </c>
      <c r="I46" s="4">
        <f t="shared" si="21"/>
        <v>9.3325469145083542</v>
      </c>
      <c r="J46" s="4">
        <f t="shared" si="20"/>
        <v>-0.14893463453245026</v>
      </c>
      <c r="L46" s="5">
        <f>L57</f>
        <v>104.56521739130434</v>
      </c>
      <c r="M46" s="5">
        <f>('Capital Carbon (legacy)'!$M$50/'Septic Tank - British '!$AT$22)*('Septic Tank - British '!$AR$8+'Septic Tank - British '!$AT29)</f>
        <v>1369.5870198560706</v>
      </c>
      <c r="N46" s="5">
        <v>231.75454545454542</v>
      </c>
      <c r="O46" s="5">
        <v>78.095652828037302</v>
      </c>
      <c r="P46" s="5">
        <f>($P$39/'Septic Tank - British '!$AZ$22)*('Septic Tank - British '!$AZ29)</f>
        <v>4141.4285714285716</v>
      </c>
      <c r="Q46" s="5">
        <f>($Q$50/('Septic Tank - British '!$AW$22+'Septic Tank - British '!$AQ$14))*('Septic Tank - British '!AW29+'Septic Tank - British '!$AQ$7)</f>
        <v>2809.115907549824</v>
      </c>
      <c r="R46">
        <v>598</v>
      </c>
    </row>
    <row r="47" spans="2:25" ht="15" x14ac:dyDescent="0.25">
      <c r="B47" s="89"/>
      <c r="C47" t="s">
        <v>51</v>
      </c>
      <c r="D47" s="1">
        <v>90</v>
      </c>
      <c r="F47">
        <v>1.24</v>
      </c>
      <c r="G47" s="3">
        <f>(P47+((Q47*(('Septic Tank - British '!AW30))/('Septic Tank - British '!AW30+'Septic Tank - British '!$AQ$7)))+(O47*('Septic Tank - British '!AX48/'Septic Tank - British '!AS48)))/1000</f>
        <v>6.8001935231614219</v>
      </c>
      <c r="H47" s="4">
        <f>(((L47+N47+(O47*('Septic Tank - British '!AX48/'Septic Tank - British '!AS48)))+(M47*('Septic Tank - British '!AT30/('Septic Tank - British '!$AR$8+'Septic Tank - British '!AT30))))/1000)</f>
        <v>1.6227959603744058</v>
      </c>
      <c r="I47" s="4">
        <f t="shared" si="21"/>
        <v>9.8056349479901215</v>
      </c>
      <c r="J47" s="4">
        <f t="shared" si="20"/>
        <v>-0.1426454644542936</v>
      </c>
      <c r="L47" s="5">
        <f>L58</f>
        <v>109.79347826086956</v>
      </c>
      <c r="M47" s="5">
        <f>('Capital Carbon (legacy)'!$M$50/'Septic Tank - British '!$AT$22)*('Septic Tank - British '!$AR$8+'Septic Tank - British '!$AT30)</f>
        <v>1490.6779289469796</v>
      </c>
      <c r="N47" s="5">
        <v>257.99090909090904</v>
      </c>
      <c r="O47" s="5">
        <v>84.88125569131121</v>
      </c>
      <c r="P47" s="5">
        <f>($P$39/'Septic Tank - British '!$AZ$22)*('Septic Tank - British '!$AZ30)</f>
        <v>4353.8095238095248</v>
      </c>
      <c r="Q47" s="5">
        <f>($Q$50/('Septic Tank - British '!$AW$22+'Septic Tank - British '!$AQ$14))*('Septic Tank - British '!AW30+'Septic Tank - British '!$AQ$7)</f>
        <v>2910.4818521905277</v>
      </c>
      <c r="R47">
        <v>598</v>
      </c>
    </row>
    <row r="48" spans="2:25" ht="15" x14ac:dyDescent="0.25">
      <c r="B48" s="89"/>
      <c r="C48" t="s">
        <v>51</v>
      </c>
      <c r="D48" s="1">
        <v>100</v>
      </c>
      <c r="F48">
        <v>1.24</v>
      </c>
      <c r="G48" s="3">
        <f>(P48+((Q48*(('Septic Tank - British '!AW31))/('Septic Tank - British '!AW31+'Septic Tank - British '!$AQ$7)))+(O48*('Septic Tank - British '!AX49/'Septic Tank - British '!AS49)))/1000</f>
        <v>7.120477806653791</v>
      </c>
      <c r="H48" s="4">
        <f>(((L48+N48+(O48*('Septic Tank - British '!AX49/'Septic Tank - British '!AS49)))+(M48*('Septic Tank - British '!AT31/('Septic Tank - British '!$AR$8+'Septic Tank - British '!AT31))))/1000)</f>
        <v>1.7818888804419577</v>
      </c>
      <c r="I48" s="4">
        <f t="shared" si="21"/>
        <v>10.278722981471889</v>
      </c>
      <c r="J48" s="4">
        <f t="shared" si="20"/>
        <v>-0.1363562943761405</v>
      </c>
      <c r="L48" s="5">
        <f t="shared" si="22"/>
        <v>115.0217391304348</v>
      </c>
      <c r="M48" s="5">
        <f>('Capital Carbon (legacy)'!$M$50/'Septic Tank - British '!$AT$22)*('Septic Tank - British '!$AR$8+'Septic Tank - British '!$AT31)</f>
        <v>1611.7688380378888</v>
      </c>
      <c r="N48" s="5">
        <v>284.22727272727269</v>
      </c>
      <c r="O48" s="5">
        <v>91.666858554585147</v>
      </c>
      <c r="P48" s="5">
        <f>($P$39/'Septic Tank - British '!$AZ$22)*('Septic Tank - British '!$AZ31)</f>
        <v>4566.1904761904761</v>
      </c>
      <c r="Q48" s="5">
        <f>($Q$50/('Septic Tank - British '!$AW$22+'Septic Tank - British '!$AQ$14))*('Septic Tank - British '!AW31+'Septic Tank - British '!$AQ$7)</f>
        <v>3011.8477968312318</v>
      </c>
      <c r="R48">
        <v>598</v>
      </c>
    </row>
    <row r="49" spans="2:18" x14ac:dyDescent="0.2">
      <c r="B49" s="89"/>
    </row>
    <row r="50" spans="2:18" ht="15" x14ac:dyDescent="0.25">
      <c r="B50" s="89"/>
      <c r="C50" t="s">
        <v>39</v>
      </c>
      <c r="D50" s="1">
        <v>12</v>
      </c>
      <c r="F50">
        <v>5.27</v>
      </c>
      <c r="G50">
        <v>3.57</v>
      </c>
      <c r="H50">
        <v>0.33</v>
      </c>
      <c r="I50" s="4">
        <f>SUM(L50:R50)/1000</f>
        <v>9.2026000000000003</v>
      </c>
      <c r="J50" s="4">
        <f t="shared" si="20"/>
        <v>-3.2600000000000406E-2</v>
      </c>
      <c r="L50">
        <v>48.1</v>
      </c>
      <c r="M50">
        <v>222</v>
      </c>
      <c r="N50">
        <v>51</v>
      </c>
      <c r="O50">
        <v>23.5</v>
      </c>
      <c r="P50">
        <v>2230</v>
      </c>
      <c r="Q50">
        <v>6030</v>
      </c>
      <c r="R50">
        <v>598</v>
      </c>
    </row>
    <row r="51" spans="2:18" ht="15" x14ac:dyDescent="0.25">
      <c r="B51" s="89"/>
      <c r="C51" t="s">
        <v>39</v>
      </c>
      <c r="D51" s="1">
        <v>20</v>
      </c>
      <c r="F51">
        <v>5.27</v>
      </c>
      <c r="G51" s="3">
        <f>(P51+((Q51*(('Septic Tank - British '!AX23))/('Septic Tank - British '!AX23+'Septic Tank - British '!$AR$14)))+(O51*('Septic Tank - British '!AX41/'Septic Tank - British '!AS41)))/1000</f>
        <v>4.558203538714829</v>
      </c>
      <c r="H51" s="4">
        <f>(((L51+N51+(O51*('Septic Tank - British '!AX41/'Septic Tank - British '!AS41)))+M51))/1000</f>
        <v>0.50914551990154211</v>
      </c>
      <c r="I51" s="4">
        <f>SUM(L51:R51)/1000</f>
        <v>10.327245651614549</v>
      </c>
      <c r="J51" s="4">
        <f>SUM(F51:H51)-I51</f>
        <v>1.0103407001821552E-2</v>
      </c>
      <c r="L51" s="5">
        <f>($L$50/'Septic Tank - British '!$AR$22)*'Septic Tank - British '!AR23</f>
        <v>73.195652173913047</v>
      </c>
      <c r="M51" s="5">
        <f>($M$50/'Septic Tank - British '!$AT$22)*'Septic Tank - British '!AT23</f>
        <v>343.09090909090907</v>
      </c>
      <c r="N51" s="5">
        <f>($L$50/'Septic Tank - British '!$AV$22)*'Septic Tank - British '!AV23</f>
        <v>74.336363636363629</v>
      </c>
      <c r="O51" s="5">
        <f>($N$28/('Septic Tank - British '!$AW$40+'Septic Tank - British '!$AX$40+'Septic Tank - British '!$AY$40))*('Septic Tank - British '!AW41+'Septic Tank - British '!AX41+'Septic Tank - British '!AY41)</f>
        <v>37.382035648393767</v>
      </c>
      <c r="P51" s="5">
        <f>P40</f>
        <v>2867.1428571428573</v>
      </c>
      <c r="Q51" s="5">
        <f>($Q$50/('Septic Tank - British '!$AQ$14+'Septic Tank - British '!$AW$22))*('Septic Tank - British '!$AQ$14+'Septic Tank - British '!AW23)</f>
        <v>6334.097833922111</v>
      </c>
      <c r="R51">
        <v>598</v>
      </c>
    </row>
    <row r="52" spans="2:18" ht="15" x14ac:dyDescent="0.25">
      <c r="B52" s="89"/>
      <c r="C52" t="s">
        <v>39</v>
      </c>
      <c r="D52" s="1">
        <v>30</v>
      </c>
      <c r="F52">
        <v>5.27</v>
      </c>
      <c r="G52" s="3">
        <f>(P52+((Q52*(('Septic Tank - British '!AX24))/('Septic Tank - British '!AX24+'Septic Tank - British '!$AR$14)))+(O52*('Septic Tank - British '!AX42/'Septic Tank - British '!AS42)))/1000</f>
        <v>4.878487822207199</v>
      </c>
      <c r="H52" s="4">
        <f>(((L52+N52+(O52*('Septic Tank - British '!AX42/'Septic Tank - British '!AS42)))+M52))/1000</f>
        <v>0.66823843996909404</v>
      </c>
      <c r="I52" s="4">
        <f t="shared" ref="I52:I59" si="23">SUM(L52:R52)/1000</f>
        <v>10.800333685096318</v>
      </c>
      <c r="J52" s="4">
        <f t="shared" si="20"/>
        <v>1.6392577079974657E-2</v>
      </c>
      <c r="L52" s="5">
        <f>($L$50/'Septic Tank - British '!$AR$22)*'Septic Tank - British '!AR24</f>
        <v>78.423913043478265</v>
      </c>
      <c r="M52" s="5">
        <f>($M$50/'Septic Tank - British '!$AT$22)*'Septic Tank - British '!AT24</f>
        <v>464.18181818181819</v>
      </c>
      <c r="N52" s="5">
        <f>($L$50/'Septic Tank - British '!$AV$22)*'Septic Tank - British '!AV24</f>
        <v>100.57272727272725</v>
      </c>
      <c r="O52" s="5">
        <f>($N$28/('Septic Tank - British '!$AW$40+'Septic Tank - British '!$AX$40+'Septic Tank - British '!$AY$40))*('Septic Tank - British '!AW42+'Septic Tank - British '!AX42+'Septic Tank - British '!AY42)</f>
        <v>44.16763851166769</v>
      </c>
      <c r="P52" s="5">
        <f t="shared" ref="P52:P59" si="24">P41</f>
        <v>3079.5238095238101</v>
      </c>
      <c r="Q52" s="5">
        <f>($Q$50/('Septic Tank - British '!$AQ$14+'Septic Tank - British '!$AW$22))*('Septic Tank - British '!$AQ$14+'Septic Tank - British '!AW24)</f>
        <v>6435.4637785628156</v>
      </c>
      <c r="R52">
        <v>598</v>
      </c>
    </row>
    <row r="53" spans="2:18" ht="15" x14ac:dyDescent="0.25">
      <c r="B53" s="89"/>
      <c r="C53" t="s">
        <v>39</v>
      </c>
      <c r="D53" s="1">
        <v>40</v>
      </c>
      <c r="F53">
        <v>5.27</v>
      </c>
      <c r="G53" s="3">
        <f>(P53+((Q53*(('Septic Tank - British '!AX25))/('Septic Tank - British '!AX25+'Septic Tank - British '!$AR$14)))+(O53*('Septic Tank - British '!AX43/'Septic Tank - British '!AS43)))/1000</f>
        <v>5.198772105699569</v>
      </c>
      <c r="H53" s="4">
        <f>(((L53+N53+(O53*('Septic Tank - British '!AX43/'Septic Tank - British '!AS43)))+M53))/1000</f>
        <v>0.82733136003664598</v>
      </c>
      <c r="I53" s="4">
        <f t="shared" si="23"/>
        <v>11.273421718578083</v>
      </c>
      <c r="J53" s="4">
        <f t="shared" si="20"/>
        <v>2.2681747158131316E-2</v>
      </c>
      <c r="L53" s="5">
        <f>($L$50/'Septic Tank - British '!$AR$22)*'Septic Tank - British '!AR25</f>
        <v>83.652173913043484</v>
      </c>
      <c r="M53" s="5">
        <f>($M$50/'Septic Tank - British '!$AT$22)*'Septic Tank - British '!AT25</f>
        <v>585.27272727272725</v>
      </c>
      <c r="N53" s="5">
        <f>($L$50/'Septic Tank - British '!$AV$22)*'Septic Tank - British '!AV25</f>
        <v>126.80909090909087</v>
      </c>
      <c r="O53" s="5">
        <f>($N$28/('Septic Tank - British '!$AW$40+'Septic Tank - British '!$AX$40+'Septic Tank - British '!$AY$40))*('Septic Tank - British '!AW43+'Septic Tank - British '!AX43+'Septic Tank - British '!AY43)</f>
        <v>50.953241374941612</v>
      </c>
      <c r="P53" s="5">
        <f t="shared" si="24"/>
        <v>3291.9047619047619</v>
      </c>
      <c r="Q53" s="5">
        <f>($Q$50/('Septic Tank - British '!$AQ$14+'Septic Tank - British '!$AW$22))*('Septic Tank - British '!$AQ$14+'Septic Tank - British '!AW25)</f>
        <v>6536.8297232035193</v>
      </c>
      <c r="R53">
        <v>598</v>
      </c>
    </row>
    <row r="54" spans="2:18" ht="15" x14ac:dyDescent="0.25">
      <c r="B54" s="89"/>
      <c r="C54" t="s">
        <v>39</v>
      </c>
      <c r="D54" s="1">
        <v>50</v>
      </c>
      <c r="F54">
        <v>5.27</v>
      </c>
      <c r="G54" s="3">
        <f>(P54+((Q54*(('Septic Tank - British '!AX26))/('Septic Tank - British '!AX26+'Septic Tank - British '!$AR$14)))+(O54*('Septic Tank - British '!AX44/'Septic Tank - British '!AS44)))/1000</f>
        <v>5.51905638919194</v>
      </c>
      <c r="H54" s="4">
        <f>(((L54+N54+(O54*('Septic Tank - British '!AX44/'Septic Tank - British '!AS44)))+M54))/1000</f>
        <v>0.98642428010419791</v>
      </c>
      <c r="I54" s="4">
        <f t="shared" si="23"/>
        <v>11.746509752059854</v>
      </c>
      <c r="J54" s="4">
        <f t="shared" si="20"/>
        <v>2.8970917236282645E-2</v>
      </c>
      <c r="L54" s="5">
        <f>($L$50/'Septic Tank - British '!$AR$22)*'Septic Tank - British '!AR26</f>
        <v>88.880434782608702</v>
      </c>
      <c r="M54" s="5">
        <f>($M$50/'Septic Tank - British '!$AT$22)*'Septic Tank - British '!AT26</f>
        <v>706.36363636363637</v>
      </c>
      <c r="N54" s="5">
        <f>($L$50/'Septic Tank - British '!$AV$22)*'Septic Tank - British '!AV26</f>
        <v>153.04545454545453</v>
      </c>
      <c r="O54" s="5">
        <f>($N$28/('Septic Tank - British '!$AW$40+'Septic Tank - British '!$AX$40+'Septic Tank - British '!$AY$40))*('Septic Tank - British '!AW44+'Septic Tank - British '!AX44+'Septic Tank - British '!AY44)</f>
        <v>57.738844238215535</v>
      </c>
      <c r="P54" s="5">
        <f t="shared" si="24"/>
        <v>3504.2857142857147</v>
      </c>
      <c r="Q54" s="5">
        <f>($Q$50/('Septic Tank - British '!$AQ$14+'Septic Tank - British '!$AW$22))*('Septic Tank - British '!$AQ$14+'Septic Tank - British '!AW26)</f>
        <v>6638.1956678442239</v>
      </c>
      <c r="R54">
        <v>598</v>
      </c>
    </row>
    <row r="55" spans="2:18" ht="15" x14ac:dyDescent="0.25">
      <c r="B55" s="89"/>
      <c r="C55" t="s">
        <v>39</v>
      </c>
      <c r="D55" s="1">
        <v>60</v>
      </c>
      <c r="F55">
        <v>5.27</v>
      </c>
      <c r="G55" s="3">
        <f>(P55+((Q55*(('Septic Tank - British '!AX27))/('Septic Tank - British '!AX27+'Septic Tank - British '!$AR$14)))+(O55*('Septic Tank - British '!AX45/'Septic Tank - British '!AS45)))/1000</f>
        <v>5.8393406726843091</v>
      </c>
      <c r="H55" s="4">
        <f>(((L55+N55+(O55*('Septic Tank - British '!AX45/'Septic Tank - British '!AS45)))+M55))/1000</f>
        <v>1.14551720017175</v>
      </c>
      <c r="I55" s="4">
        <f t="shared" si="23"/>
        <v>12.21959778554162</v>
      </c>
      <c r="J55" s="4">
        <f t="shared" si="20"/>
        <v>3.5260087314437527E-2</v>
      </c>
      <c r="L55" s="5">
        <f>($L$50/'Septic Tank - British '!$AR$22)*'Septic Tank - British '!AR27</f>
        <v>94.108695652173921</v>
      </c>
      <c r="M55" s="5">
        <f>($M$50/'Septic Tank - British '!$AT$22)*'Septic Tank - British '!AT27</f>
        <v>827.4545454545455</v>
      </c>
      <c r="N55" s="5">
        <f>($L$50/'Septic Tank - British '!$AV$22)*'Septic Tank - British '!AV27</f>
        <v>179.28181818181812</v>
      </c>
      <c r="O55" s="5">
        <f>($N$28/('Septic Tank - British '!$AW$40+'Septic Tank - British '!$AX$40+'Septic Tank - British '!$AY$40))*('Septic Tank - British '!AW45+'Septic Tank - British '!AX45+'Septic Tank - British '!AY45)</f>
        <v>64.524447101489457</v>
      </c>
      <c r="P55" s="5">
        <f t="shared" si="24"/>
        <v>3716.6666666666665</v>
      </c>
      <c r="Q55" s="5">
        <f>($Q$50/('Septic Tank - British '!$AQ$14+'Septic Tank - British '!$AW$22))*('Septic Tank - British '!$AQ$14+'Septic Tank - British '!AW27)</f>
        <v>6739.5616124849275</v>
      </c>
      <c r="R55">
        <v>598</v>
      </c>
    </row>
    <row r="56" spans="2:18" ht="15" x14ac:dyDescent="0.25">
      <c r="B56" s="89"/>
      <c r="C56" t="s">
        <v>39</v>
      </c>
      <c r="D56" s="1">
        <v>70</v>
      </c>
      <c r="F56">
        <v>5.27</v>
      </c>
      <c r="G56" s="3">
        <f>(P56+((Q56*(('Septic Tank - British '!AX28))/('Septic Tank - British '!AX28+'Septic Tank - British '!$AR$14)))+(O56*('Septic Tank - British '!AX46/'Septic Tank - British '!AS46)))/1000</f>
        <v>6.1596249561766809</v>
      </c>
      <c r="H56" s="4">
        <f>(((L56+N56+(O56*('Septic Tank - British '!AX46/'Septic Tank - British '!AS46)))+M56))/1000</f>
        <v>1.3046101202393017</v>
      </c>
      <c r="I56" s="4">
        <f t="shared" si="23"/>
        <v>12.692685819023389</v>
      </c>
      <c r="J56" s="4">
        <f t="shared" si="20"/>
        <v>4.1549257392594185E-2</v>
      </c>
      <c r="L56" s="5">
        <f>($L$50/'Septic Tank - British '!$AR$22)*'Septic Tank - British '!AR28</f>
        <v>99.336956521739125</v>
      </c>
      <c r="M56" s="5">
        <f>($M$50/'Septic Tank - British '!$AT$22)*'Septic Tank - British '!AT28</f>
        <v>948.5454545454545</v>
      </c>
      <c r="N56" s="5">
        <f>($L$50/'Septic Tank - British '!$AV$22)*'Septic Tank - British '!AV28</f>
        <v>205.5181818181818</v>
      </c>
      <c r="O56" s="5">
        <f>($N$28/('Septic Tank - British '!$AW$40+'Septic Tank - British '!$AX$40+'Septic Tank - British '!$AY$40))*('Septic Tank - British '!AW46+'Septic Tank - British '!AX46+'Septic Tank - British '!AY46)</f>
        <v>71.31004996476338</v>
      </c>
      <c r="P56" s="5">
        <f t="shared" si="24"/>
        <v>3929.0476190476193</v>
      </c>
      <c r="Q56" s="5">
        <f>($Q$50/('Septic Tank - British '!$AQ$14+'Septic Tank - British '!$AW$22))*('Septic Tank - British '!$AQ$14+'Septic Tank - British '!AW28)</f>
        <v>6840.9275571256312</v>
      </c>
      <c r="R56">
        <v>598</v>
      </c>
    </row>
    <row r="57" spans="2:18" ht="15" x14ac:dyDescent="0.25">
      <c r="B57" s="89"/>
      <c r="C57" t="s">
        <v>39</v>
      </c>
      <c r="D57" s="1">
        <v>80</v>
      </c>
      <c r="F57">
        <v>5.27</v>
      </c>
      <c r="G57" s="3">
        <f>(P57+((Q57*(('Septic Tank - British '!AX29))/('Septic Tank - British '!AX29+'Septic Tank - British '!$AR$14)))+(O57*('Septic Tank - British '!AX47/'Septic Tank - British '!AS47)))/1000</f>
        <v>6.479909239669051</v>
      </c>
      <c r="H57" s="4">
        <f>(((L57+N57+(O57*('Septic Tank - British '!AX47/'Septic Tank - British '!AS47)))+M57))/1000</f>
        <v>1.4637030403068538</v>
      </c>
      <c r="I57" s="4">
        <f t="shared" si="23"/>
        <v>13.165773852505158</v>
      </c>
      <c r="J57" s="4">
        <f t="shared" si="20"/>
        <v>4.7838427470747291E-2</v>
      </c>
      <c r="L57" s="5">
        <f>($L$50/'Septic Tank - British '!$AR$22)*'Septic Tank - British '!AR29</f>
        <v>104.56521739130434</v>
      </c>
      <c r="M57" s="5">
        <f>($M$50/'Septic Tank - British '!$AT$22)*'Septic Tank - British '!AT29</f>
        <v>1069.6363636363637</v>
      </c>
      <c r="N57" s="5">
        <f>($L$50/'Septic Tank - British '!$AV$22)*'Septic Tank - British '!AV29</f>
        <v>231.75454545454542</v>
      </c>
      <c r="O57" s="5">
        <f>($N$28/('Septic Tank - British '!$AW$40+'Septic Tank - British '!$AX$40+'Septic Tank - British '!$AY$40))*('Septic Tank - British '!AW47+'Septic Tank - British '!AX47+'Septic Tank - British '!AY47)</f>
        <v>78.095652828037302</v>
      </c>
      <c r="P57" s="5">
        <f t="shared" si="24"/>
        <v>4141.4285714285716</v>
      </c>
      <c r="Q57" s="5">
        <f>($Q$50/('Septic Tank - British '!$AQ$14+'Septic Tank - British '!$AW$22))*('Septic Tank - British '!$AQ$14+'Septic Tank - British '!AW29)</f>
        <v>6942.2935017663358</v>
      </c>
      <c r="R57">
        <v>598</v>
      </c>
    </row>
    <row r="58" spans="2:18" ht="15" x14ac:dyDescent="0.25">
      <c r="B58" s="89"/>
      <c r="C58" t="s">
        <v>39</v>
      </c>
      <c r="D58" s="1">
        <v>90</v>
      </c>
      <c r="F58">
        <v>5.27</v>
      </c>
      <c r="G58" s="3">
        <f>(P58+((Q58*(('Septic Tank - British '!AX30))/('Septic Tank - British '!AX30+'Septic Tank - British '!$AR$14)))+(O58*('Septic Tank - British '!AX48/'Septic Tank - British '!AS48)))/1000</f>
        <v>6.8001935231614219</v>
      </c>
      <c r="H58" s="4">
        <f>(((L58+N58+(O58*('Septic Tank - British '!AX48/'Septic Tank - British '!AS48)))+M58))/1000</f>
        <v>1.6227959603744058</v>
      </c>
      <c r="I58" s="4">
        <f t="shared" si="23"/>
        <v>13.638861885986927</v>
      </c>
      <c r="J58" s="4">
        <f t="shared" si="20"/>
        <v>5.4127597548900397E-2</v>
      </c>
      <c r="L58" s="5">
        <f>($L$50/'Septic Tank - British '!$AR$22)*'Septic Tank - British '!AR30</f>
        <v>109.79347826086956</v>
      </c>
      <c r="M58" s="5">
        <f>($M$50/'Septic Tank - British '!$AT$22)*'Septic Tank - British '!AT30</f>
        <v>1190.7272727272727</v>
      </c>
      <c r="N58" s="5">
        <f>($L$50/'Septic Tank - British '!$AV$22)*'Septic Tank - British '!AV30</f>
        <v>257.99090909090904</v>
      </c>
      <c r="O58" s="5">
        <f>($N$28/('Septic Tank - British '!$AW$40+'Septic Tank - British '!$AX$40+'Septic Tank - British '!$AY$40))*('Septic Tank - British '!AW48+'Septic Tank - British '!AX48+'Septic Tank - British '!AY48)</f>
        <v>84.88125569131121</v>
      </c>
      <c r="P58" s="5">
        <f t="shared" si="24"/>
        <v>4353.8095238095248</v>
      </c>
      <c r="Q58" s="5">
        <f>($Q$50/('Septic Tank - British '!$AQ$14+'Septic Tank - British '!$AW$22))*('Septic Tank - British '!$AQ$14+'Septic Tank - British '!AW30)</f>
        <v>7043.6594464070395</v>
      </c>
      <c r="R58">
        <v>598</v>
      </c>
    </row>
    <row r="59" spans="2:18" ht="15" x14ac:dyDescent="0.25">
      <c r="B59" s="106"/>
      <c r="C59" t="s">
        <v>39</v>
      </c>
      <c r="D59" s="1">
        <v>100</v>
      </c>
      <c r="F59">
        <v>5.27</v>
      </c>
      <c r="G59" s="3">
        <f>(P59+((Q59*(('Septic Tank - British '!AX31))/('Septic Tank - British '!AX31+'Septic Tank - British '!$AR$14)))+(O59*('Septic Tank - British '!AX49/'Septic Tank - British '!AS49)))/1000</f>
        <v>7.120477806653791</v>
      </c>
      <c r="H59" s="4">
        <f>(((L59+N59+(O59*('Septic Tank - British '!AX49/'Septic Tank - British '!AS49)))+M59))/1000</f>
        <v>1.7818888804419575</v>
      </c>
      <c r="I59" s="4">
        <f t="shared" si="23"/>
        <v>14.111949919468694</v>
      </c>
      <c r="J59" s="4">
        <f t="shared" si="20"/>
        <v>6.0416767627055279E-2</v>
      </c>
      <c r="L59" s="5">
        <f>($L$50/'Septic Tank - British '!$AR$22)*'Septic Tank - British '!AR31</f>
        <v>115.0217391304348</v>
      </c>
      <c r="M59" s="5">
        <f>($M$50/'Septic Tank - British '!$AT$22)*'Septic Tank - British '!AT31</f>
        <v>1311.8181818181818</v>
      </c>
      <c r="N59" s="5">
        <f>($L$50/'Septic Tank - British '!$AV$22)*'Septic Tank - British '!AV31</f>
        <v>284.22727272727269</v>
      </c>
      <c r="O59" s="5">
        <f>($N$28/('Septic Tank - British '!$AW$40+'Septic Tank - British '!$AX$40+'Septic Tank - British '!$AY$40))*('Septic Tank - British '!AW49+'Septic Tank - British '!AX49+'Septic Tank - British '!AY49)</f>
        <v>91.666858554585147</v>
      </c>
      <c r="P59" s="5">
        <f t="shared" si="24"/>
        <v>4566.1904761904761</v>
      </c>
      <c r="Q59" s="5">
        <f>($Q$50/('Septic Tank - British '!$AQ$14+'Septic Tank - British '!$AW$22))*('Septic Tank - British '!$AQ$14+'Septic Tank - British '!AW31)</f>
        <v>7145.0253910477431</v>
      </c>
      <c r="R59">
        <v>598</v>
      </c>
    </row>
    <row r="60" spans="2:18" x14ac:dyDescent="0.2">
      <c r="B60" s="18"/>
    </row>
    <row r="61" spans="2:18" ht="15" x14ac:dyDescent="0.25">
      <c r="B61" s="88">
        <v>30</v>
      </c>
      <c r="C61" t="s">
        <v>51</v>
      </c>
      <c r="D61" s="1">
        <v>12</v>
      </c>
      <c r="F61">
        <v>4.43</v>
      </c>
      <c r="G61">
        <v>4.2</v>
      </c>
      <c r="H61">
        <v>0.46600000000000003</v>
      </c>
      <c r="I61" s="3">
        <f>SUM(L61:R61)/1000</f>
        <v>5.3026389305806454</v>
      </c>
      <c r="J61" s="4">
        <f>SUM(F61:H61)-I61</f>
        <v>3.7933610694193529</v>
      </c>
      <c r="L61" s="5">
        <v>68.099999999999994</v>
      </c>
      <c r="M61" s="5">
        <f>($M$72/'Septic Tank - British '!$BG$22)*('Septic Tank - British '!$BE$7+'Septic Tank - British '!BG22)</f>
        <v>667.93893058064509</v>
      </c>
      <c r="N61">
        <v>71.8</v>
      </c>
      <c r="O61">
        <v>29.8</v>
      </c>
      <c r="P61">
        <v>2630</v>
      </c>
      <c r="Q61">
        <v>1580</v>
      </c>
      <c r="R61">
        <v>255</v>
      </c>
    </row>
    <row r="62" spans="2:18" ht="15" x14ac:dyDescent="0.25">
      <c r="B62" s="89"/>
      <c r="C62" t="s">
        <v>51</v>
      </c>
      <c r="D62" s="1">
        <v>20</v>
      </c>
      <c r="F62">
        <v>4.43</v>
      </c>
      <c r="I62" s="3">
        <f t="shared" ref="I62:I70" si="25">SUM(L62:R62)/1000</f>
        <v>5.8194492070662838</v>
      </c>
      <c r="L62" s="5">
        <f>($L$61/'Septic Tank - British '!$BE$22)*'Septic Tank - British '!BE23</f>
        <v>79.804687499999986</v>
      </c>
      <c r="M62" s="5">
        <f>($M$72/'Septic Tank - British '!$BG$22)*('Septic Tank - British '!$BE$7+'Septic Tank - British '!BG23)</f>
        <v>819.39054348387094</v>
      </c>
      <c r="N62" s="5">
        <f>($N$61/'Septic Tank - British '!$BI$22)*'Septic Tank - British '!BI23</f>
        <v>106.54193548387094</v>
      </c>
      <c r="O62" s="5">
        <f>($O$61/'Septic Tank - British '!$BF$40)*'Septic Tank - British '!BF41</f>
        <v>36.376556727574282</v>
      </c>
      <c r="P62" s="5">
        <f>($P$61/'Septic Tank - British '!$BM$22)*'Septic Tank - British '!BM23</f>
        <v>2840.4</v>
      </c>
      <c r="Q62" s="5">
        <f>($Q$61/'Septic Tank - British '!$BJ$22)*'Septic Tank - British '!BJ23</f>
        <v>1681.9354838709676</v>
      </c>
      <c r="R62">
        <v>255</v>
      </c>
    </row>
    <row r="63" spans="2:18" ht="15" x14ac:dyDescent="0.25">
      <c r="B63" s="89"/>
      <c r="C63" t="s">
        <v>51</v>
      </c>
      <c r="D63" s="1">
        <v>30</v>
      </c>
      <c r="F63">
        <v>4.43</v>
      </c>
      <c r="I63" s="3">
        <f t="shared" si="25"/>
        <v>6.6798556501363908</v>
      </c>
      <c r="L63" s="5">
        <f>($L$61/'Septic Tank - British '!$BE$22)*'Septic Tank - British '!BE24</f>
        <v>84.060937499999994</v>
      </c>
      <c r="M63" s="5">
        <f>($M$72/'Septic Tank - British '!$BG$22)*('Septic Tank - British '!$BE$7+'Septic Tank - British '!BG24)</f>
        <v>1001.1324789677418</v>
      </c>
      <c r="N63" s="5">
        <f>($N$61/'Septic Tank - British '!$BI$22)*'Septic Tank - British '!BI24</f>
        <v>148.23225806451612</v>
      </c>
      <c r="O63" s="5">
        <f>($O$61/'Septic Tank - British '!$BF$40)*'Septic Tank - British '!BF42</f>
        <v>44.423523991230027</v>
      </c>
      <c r="P63" s="5">
        <f>($P$61/'Septic Tank - British '!$BM$22)*'Septic Tank - British '!BM24</f>
        <v>3261.2</v>
      </c>
      <c r="Q63" s="5">
        <f>($Q$61/'Septic Tank - British '!$BJ$22)*'Septic Tank - British '!BJ24</f>
        <v>1885.8064516129032</v>
      </c>
      <c r="R63">
        <v>255</v>
      </c>
    </row>
    <row r="64" spans="2:18" ht="15" x14ac:dyDescent="0.25">
      <c r="B64" s="89"/>
      <c r="C64" t="s">
        <v>51</v>
      </c>
      <c r="D64" s="1">
        <v>40</v>
      </c>
      <c r="F64">
        <v>4.43</v>
      </c>
      <c r="I64" s="3">
        <f t="shared" si="25"/>
        <v>7.235181172847323</v>
      </c>
      <c r="L64" s="5">
        <f>($L$61/'Septic Tank - British '!$BE$22)*'Septic Tank - British '!BE25</f>
        <v>95.765625</v>
      </c>
      <c r="M64" s="5">
        <f>($M$72/'Septic Tank - British '!$BG$22)*('Septic Tank - British '!$BE$7+'Septic Tank - British '!BG25)</f>
        <v>1182.8744144516129</v>
      </c>
      <c r="N64" s="5">
        <f>($N$61/'Septic Tank - British '!$BI$22)*'Septic Tank - British '!BI25</f>
        <v>189.92258064516125</v>
      </c>
      <c r="O64" s="5">
        <f>($O$61/'Septic Tank - British '!$BF$40)*'Septic Tank - British '!BF43</f>
        <v>52.276617266677512</v>
      </c>
      <c r="P64" s="5">
        <f>($P$61/'Septic Tank - British '!$BM$22)*'Septic Tank - British '!BM25</f>
        <v>3471.6000000000004</v>
      </c>
      <c r="Q64" s="5">
        <f>($Q$61/'Septic Tank - British '!$BJ$22)*'Septic Tank - British '!BJ25</f>
        <v>1987.741935483871</v>
      </c>
      <c r="R64">
        <v>255</v>
      </c>
    </row>
    <row r="65" spans="2:19" ht="15" x14ac:dyDescent="0.25">
      <c r="B65" s="89"/>
      <c r="C65" t="s">
        <v>51</v>
      </c>
      <c r="D65" s="1">
        <v>50</v>
      </c>
      <c r="F65">
        <v>4.43</v>
      </c>
      <c r="I65" s="3">
        <f t="shared" si="25"/>
        <v>8.1027961623205922</v>
      </c>
      <c r="L65" s="5">
        <f>($L$61/'Septic Tank - British '!$BE$22)*'Septic Tank - British '!BE26</f>
        <v>102.416015625</v>
      </c>
      <c r="M65" s="5">
        <f>($M$72/'Septic Tank - British '!$BG$22)*('Septic Tank - British '!$BE$7+'Septic Tank - British '!BG26)</f>
        <v>1368.4026402580644</v>
      </c>
      <c r="N65" s="5">
        <f>($N$61/'Septic Tank - British '!$BI$22)*'Septic Tank - British '!BI26</f>
        <v>232.48145161290316</v>
      </c>
      <c r="O65" s="5">
        <f>($O$61/'Septic Tank - British '!$BF$40)*'Septic Tank - British '!BF44</f>
        <v>60.4831515988174</v>
      </c>
      <c r="P65" s="5">
        <f>($P$61/'Septic Tank - British '!$BM$22)*'Septic Tank - British '!BM26</f>
        <v>3892.4</v>
      </c>
      <c r="Q65" s="5">
        <f>($Q$61/'Septic Tank - British '!$BJ$22)*'Septic Tank - British '!BJ26</f>
        <v>2191.6129032258063</v>
      </c>
      <c r="R65">
        <v>255</v>
      </c>
    </row>
    <row r="66" spans="2:19" ht="15" x14ac:dyDescent="0.25">
      <c r="B66" s="89"/>
      <c r="C66" t="s">
        <v>51</v>
      </c>
      <c r="D66" s="1">
        <v>60</v>
      </c>
      <c r="F66">
        <v>4.43</v>
      </c>
      <c r="I66" s="3">
        <f t="shared" si="25"/>
        <v>8.6509131386283631</v>
      </c>
      <c r="L66" s="5">
        <f>($L$61/'Septic Tank - British '!$BE$22)*'Septic Tank - British '!BE27</f>
        <v>111.72656249999999</v>
      </c>
      <c r="M66" s="5">
        <f>($M$72/'Septic Tank - British '!$BG$22)*('Septic Tank - British '!$BE$7+'Septic Tank - British '!BG27)</f>
        <v>1546.3582854193548</v>
      </c>
      <c r="N66" s="5">
        <f>($N$61/'Septic Tank - British '!$BI$22)*'Septic Tank - British '!BI27</f>
        <v>273.30322580645162</v>
      </c>
      <c r="O66" s="5">
        <f>($O$61/'Septic Tank - British '!$BF$40)*'Septic Tank - British '!BF45</f>
        <v>68.176677805780756</v>
      </c>
      <c r="P66" s="5">
        <f>($P$61/'Septic Tank - British '!$BM$22)*'Septic Tank - British '!BM27</f>
        <v>4102.8</v>
      </c>
      <c r="Q66" s="5">
        <f>($Q$61/'Septic Tank - British '!$BJ$22)*'Septic Tank - British '!BJ27</f>
        <v>2293.5483870967741</v>
      </c>
      <c r="R66">
        <v>255</v>
      </c>
    </row>
    <row r="67" spans="2:19" ht="15" x14ac:dyDescent="0.25">
      <c r="B67" s="89"/>
      <c r="C67" t="s">
        <v>51</v>
      </c>
      <c r="D67" s="1">
        <v>70</v>
      </c>
      <c r="F67">
        <v>4.43</v>
      </c>
      <c r="I67" s="3">
        <f t="shared" si="25"/>
        <v>9.2092753822438915</v>
      </c>
      <c r="L67" s="5">
        <f>($L$61/'Septic Tank - British '!$BE$22)*'Septic Tank - British '!BE28</f>
        <v>119.46519886363633</v>
      </c>
      <c r="M67" s="5">
        <f>($M$72/'Septic Tank - British '!$BG$22)*('Septic Tank - British '!$BE$7+'Septic Tank - British '!BG28)</f>
        <v>1733.6075522815249</v>
      </c>
      <c r="N67" s="5">
        <f>($N$61/'Septic Tank - British '!$BI$22)*'Septic Tank - British '!BI28</f>
        <v>316.25689149560117</v>
      </c>
      <c r="O67" s="5">
        <f>($O$61/'Septic Tank - British '!$BF$40)*'Septic Tank - British '!BF46</f>
        <v>76.261868635387017</v>
      </c>
      <c r="P67" s="5">
        <f>($P$61/'Septic Tank - British '!$BM$22)*'Septic Tank - British '!BM28</f>
        <v>4313.2000000000007</v>
      </c>
      <c r="Q67" s="5">
        <f>($Q$61/'Septic Tank - British '!$BJ$22)*'Septic Tank - British '!BJ28</f>
        <v>2395.483870967742</v>
      </c>
      <c r="R67">
        <v>255</v>
      </c>
    </row>
    <row r="68" spans="2:19" ht="15" x14ac:dyDescent="0.25">
      <c r="B68" s="89"/>
      <c r="C68" t="s">
        <v>51</v>
      </c>
      <c r="D68" s="1">
        <v>80</v>
      </c>
      <c r="F68">
        <v>4.43</v>
      </c>
      <c r="I68" s="3">
        <f t="shared" si="25"/>
        <v>9.7541157465502231</v>
      </c>
      <c r="L68" s="5">
        <f>($L$61/'Septic Tank - British '!$BE$22)*'Septic Tank - British '!BE29</f>
        <v>127.6875</v>
      </c>
      <c r="M68" s="5">
        <f>($M$72/'Septic Tank - British '!$BG$22)*('Septic Tank - British '!$BE$7+'Septic Tank - British '!BG29)</f>
        <v>1909.8421563870968</v>
      </c>
      <c r="N68" s="5">
        <f>($N$61/'Septic Tank - British '!$BI$22)*'Septic Tank - British '!BI29</f>
        <v>356.68387096774194</v>
      </c>
      <c r="O68" s="5">
        <f>($O$61/'Septic Tank - British '!$BF$40)*'Septic Tank - British '!BF47</f>
        <v>83.882864356675725</v>
      </c>
      <c r="P68" s="5">
        <f>($P$61/'Septic Tank - British '!$BM$22)*'Septic Tank - British '!BM29</f>
        <v>4523.5999999999995</v>
      </c>
      <c r="Q68" s="5">
        <f>($Q$61/'Septic Tank - British '!$BJ$22)*'Septic Tank - British '!BJ29</f>
        <v>2497.4193548387098</v>
      </c>
      <c r="R68">
        <v>255</v>
      </c>
    </row>
    <row r="69" spans="2:19" ht="15" x14ac:dyDescent="0.25">
      <c r="B69" s="89"/>
      <c r="C69" t="s">
        <v>51</v>
      </c>
      <c r="D69" s="1">
        <v>90</v>
      </c>
      <c r="F69">
        <v>4.43</v>
      </c>
      <c r="I69" s="3">
        <f t="shared" si="25"/>
        <v>10.626879697740039</v>
      </c>
      <c r="L69" s="5">
        <f>($L$61/'Septic Tank - British '!$BE$22)*'Septic Tank - British '!BE30</f>
        <v>136.04799107142856</v>
      </c>
      <c r="M69" s="5">
        <f>($M$72/'Septic Tank - British '!$BG$22)*('Septic Tank - British '!$BE$7+'Septic Tank - British '!BG30)</f>
        <v>2098.0748752811064</v>
      </c>
      <c r="N69" s="5">
        <f>($N$61/'Septic Tank - British '!$BI$22)*'Septic Tank - British '!BI30</f>
        <v>399.86313364055297</v>
      </c>
      <c r="O69" s="5">
        <f>($O$61/'Septic Tank - British '!$BF$40)*'Septic Tank - British '!BF48</f>
        <v>92.203375166304312</v>
      </c>
      <c r="P69" s="5">
        <f>($P$61/'Septic Tank - British '!$BM$22)*'Septic Tank - British '!BM30</f>
        <v>4944.3999999999996</v>
      </c>
      <c r="Q69" s="5">
        <f>($Q$61/'Septic Tank - British '!$BJ$22)*'Septic Tank - British '!BJ30</f>
        <v>2701.2903225806454</v>
      </c>
      <c r="R69">
        <v>255</v>
      </c>
    </row>
    <row r="70" spans="2:19" ht="15" x14ac:dyDescent="0.25">
      <c r="B70" s="89"/>
      <c r="C70" t="s">
        <v>51</v>
      </c>
      <c r="D70" s="1">
        <v>100</v>
      </c>
      <c r="F70">
        <v>4.43</v>
      </c>
      <c r="I70" s="3">
        <f t="shared" si="25"/>
        <v>11.169847712331263</v>
      </c>
      <c r="L70" s="5">
        <f>($L$61/'Septic Tank - British '!$BE$22)*'Septic Tank - British '!BE31</f>
        <v>143.64843749999997</v>
      </c>
      <c r="M70" s="5">
        <f>($M$72/'Septic Tank - British '!$BG$22)*('Septic Tank - British '!$BE$7+'Septic Tank - British '!BG31)</f>
        <v>2273.326027354839</v>
      </c>
      <c r="N70" s="5">
        <f>($N$61/'Septic Tank - British '!$BI$22)*'Septic Tank - British '!BI31</f>
        <v>440.06451612903226</v>
      </c>
      <c r="O70" s="5">
        <f>($O$61/'Septic Tank - British '!$BF$40)*'Septic Tank - British '!BF49</f>
        <v>99.782924895778962</v>
      </c>
      <c r="P70" s="5">
        <f>($P$61/'Septic Tank - British '!$BM$22)*'Septic Tank - British '!BM31</f>
        <v>5154.8</v>
      </c>
      <c r="Q70" s="5">
        <f>($Q$61/'Septic Tank - British '!$BJ$22)*'Septic Tank - British '!BJ31</f>
        <v>2803.2258064516127</v>
      </c>
      <c r="R70">
        <v>255</v>
      </c>
    </row>
    <row r="71" spans="2:19" x14ac:dyDescent="0.2">
      <c r="B71" s="89"/>
    </row>
    <row r="72" spans="2:19" ht="15" x14ac:dyDescent="0.25">
      <c r="B72" s="89"/>
      <c r="C72" t="s">
        <v>39</v>
      </c>
      <c r="D72" s="1">
        <v>12</v>
      </c>
      <c r="F72" s="3">
        <f>I72-G72-H72</f>
        <v>5.1716999999999995</v>
      </c>
      <c r="G72">
        <v>4.2</v>
      </c>
      <c r="H72">
        <v>0.46600000000000003</v>
      </c>
      <c r="I72" s="3">
        <f>SUM(L72:R72)/1000</f>
        <v>9.8376999999999999</v>
      </c>
      <c r="J72" s="4">
        <f t="shared" ref="J72" si="26">SUM(F72:H72)-I72</f>
        <v>0</v>
      </c>
      <c r="L72" s="5">
        <v>68.099999999999994</v>
      </c>
      <c r="M72">
        <v>313</v>
      </c>
      <c r="N72">
        <v>71.8</v>
      </c>
      <c r="O72">
        <f>O61</f>
        <v>29.8</v>
      </c>
      <c r="P72">
        <v>2630</v>
      </c>
      <c r="Q72">
        <v>6470</v>
      </c>
      <c r="R72">
        <v>255</v>
      </c>
      <c r="S72" t="s">
        <v>284</v>
      </c>
    </row>
    <row r="73" spans="2:19" ht="15" x14ac:dyDescent="0.25">
      <c r="B73" s="89"/>
      <c r="C73" t="s">
        <v>39</v>
      </c>
      <c r="D73" s="1">
        <v>20</v>
      </c>
      <c r="F73" s="3">
        <f>F72</f>
        <v>5.1716999999999995</v>
      </c>
      <c r="I73" s="3">
        <f t="shared" ref="I73:I81" si="27">SUM(L73:R73)/1000</f>
        <v>10.354109894741981</v>
      </c>
      <c r="L73" s="5">
        <f>L62</f>
        <v>79.804687499999986</v>
      </c>
      <c r="M73" s="5">
        <f>('Capital Carbon (legacy)'!$M$72/'Septic Tank - British '!$BG$22)*'Septic Tank - British '!BG23</f>
        <v>464.45161290322579</v>
      </c>
      <c r="N73" s="5">
        <f>N62</f>
        <v>106.54193548387094</v>
      </c>
      <c r="O73" s="5">
        <f t="shared" ref="O73:P81" si="28">O62</f>
        <v>36.376556727574282</v>
      </c>
      <c r="P73" s="5">
        <f>P62</f>
        <v>2840.4</v>
      </c>
      <c r="Q73" s="5">
        <f>$Q$72/('Septic Tank - British '!$BD$14+'Septic Tank - British '!$BJ$22)*('Septic Tank - British '!$BD$14+'Septic Tank - British '!BJ23)</f>
        <v>6571.5351021273109</v>
      </c>
      <c r="R73">
        <v>255</v>
      </c>
      <c r="S73" t="s">
        <v>285</v>
      </c>
    </row>
    <row r="74" spans="2:19" ht="15" x14ac:dyDescent="0.25">
      <c r="B74" s="89"/>
      <c r="C74" t="s">
        <v>39</v>
      </c>
      <c r="D74" s="1">
        <v>30</v>
      </c>
      <c r="F74" s="3">
        <f t="shared" ref="F74:F81" si="29">F73</f>
        <v>5.1716999999999995</v>
      </c>
      <c r="I74" s="3">
        <f t="shared" si="27"/>
        <v>11.213715574324777</v>
      </c>
      <c r="L74" s="5">
        <f t="shared" ref="L74:L81" si="30">L63</f>
        <v>84.060937499999994</v>
      </c>
      <c r="M74" s="5">
        <f>('Capital Carbon (legacy)'!$M$72/'Septic Tank - British '!$BG$22)*'Septic Tank - British '!BG24</f>
        <v>646.19354838709683</v>
      </c>
      <c r="N74" s="5">
        <f t="shared" ref="N74:N81" si="31">N63</f>
        <v>148.23225806451612</v>
      </c>
      <c r="O74" s="5">
        <f t="shared" si="28"/>
        <v>44.423523991230027</v>
      </c>
      <c r="P74" s="5">
        <f t="shared" si="28"/>
        <v>3261.2</v>
      </c>
      <c r="Q74" s="5">
        <f>$Q$72/('Septic Tank - British '!$BD$14+'Septic Tank - British '!$BJ$22)*('Septic Tank - British '!$BD$14+'Septic Tank - British '!BJ24)</f>
        <v>6774.6053063819336</v>
      </c>
      <c r="R74">
        <v>255</v>
      </c>
    </row>
    <row r="75" spans="2:19" ht="15" x14ac:dyDescent="0.25">
      <c r="B75" s="89"/>
      <c r="C75" t="s">
        <v>39</v>
      </c>
      <c r="D75" s="1">
        <v>40</v>
      </c>
      <c r="F75" s="3">
        <f t="shared" si="29"/>
        <v>5.1716999999999995</v>
      </c>
      <c r="I75" s="3">
        <f t="shared" si="27"/>
        <v>11.768640715292051</v>
      </c>
      <c r="L75" s="5">
        <f t="shared" si="30"/>
        <v>95.765625</v>
      </c>
      <c r="M75" s="5">
        <f>('Capital Carbon (legacy)'!$M$72/'Septic Tank - British '!$BG$22)*'Septic Tank - British '!BG25</f>
        <v>827.93548387096769</v>
      </c>
      <c r="N75" s="5">
        <f t="shared" si="31"/>
        <v>189.92258064516125</v>
      </c>
      <c r="O75" s="5">
        <f t="shared" si="28"/>
        <v>52.276617266677512</v>
      </c>
      <c r="P75" s="5">
        <f t="shared" si="28"/>
        <v>3471.6000000000004</v>
      </c>
      <c r="Q75" s="5">
        <f>$Q$72/('Septic Tank - British '!$BD$14+'Septic Tank - British '!$BJ$22)*('Septic Tank - British '!$BD$14+'Septic Tank - British '!BJ25)</f>
        <v>6876.1404085092454</v>
      </c>
      <c r="R75">
        <v>255</v>
      </c>
    </row>
    <row r="76" spans="2:19" ht="15" x14ac:dyDescent="0.25">
      <c r="B76" s="89"/>
      <c r="C76" t="s">
        <v>39</v>
      </c>
      <c r="D76" s="1">
        <v>50</v>
      </c>
      <c r="F76" s="3">
        <f t="shared" si="29"/>
        <v>5.1716999999999995</v>
      </c>
      <c r="I76" s="3">
        <f t="shared" si="27"/>
        <v>12.635454941278008</v>
      </c>
      <c r="L76" s="5">
        <f t="shared" si="30"/>
        <v>102.416015625</v>
      </c>
      <c r="M76" s="5">
        <f>('Capital Carbon (legacy)'!$M$72/'Septic Tank - British '!$BG$22)*'Septic Tank - British '!BG26</f>
        <v>1013.4637096774194</v>
      </c>
      <c r="N76" s="5">
        <f t="shared" si="31"/>
        <v>232.48145161290316</v>
      </c>
      <c r="O76" s="5">
        <f t="shared" si="28"/>
        <v>60.4831515988174</v>
      </c>
      <c r="P76" s="5">
        <f t="shared" si="28"/>
        <v>3892.4</v>
      </c>
      <c r="Q76" s="5">
        <f>$Q$72/('Septic Tank - British '!$BD$14+'Septic Tank - British '!$BJ$22)*('Septic Tank - British '!$BD$14+'Septic Tank - British '!BJ26)</f>
        <v>7079.2106127638672</v>
      </c>
      <c r="R76">
        <v>255</v>
      </c>
    </row>
    <row r="77" spans="2:19" ht="15" x14ac:dyDescent="0.25">
      <c r="B77" s="89"/>
      <c r="C77" t="s">
        <v>39</v>
      </c>
      <c r="D77" s="1">
        <v>60</v>
      </c>
      <c r="F77" s="3">
        <f t="shared" si="29"/>
        <v>5.1716999999999995</v>
      </c>
      <c r="I77" s="3">
        <f t="shared" si="27"/>
        <v>13.183171535842121</v>
      </c>
      <c r="L77" s="5">
        <f t="shared" si="30"/>
        <v>111.72656249999999</v>
      </c>
      <c r="M77" s="5">
        <f>('Capital Carbon (legacy)'!$M$72/'Septic Tank - British '!$BG$22)*'Septic Tank - British '!BG27</f>
        <v>1191.4193548387098</v>
      </c>
      <c r="N77" s="5">
        <f t="shared" si="31"/>
        <v>273.30322580645162</v>
      </c>
      <c r="O77" s="5">
        <f t="shared" si="28"/>
        <v>68.176677805780756</v>
      </c>
      <c r="P77" s="5">
        <f t="shared" si="28"/>
        <v>4102.8</v>
      </c>
      <c r="Q77" s="5">
        <f>$Q$72/('Septic Tank - British '!$BD$14+'Septic Tank - British '!$BJ$22)*('Septic Tank - British '!$BD$14+'Septic Tank - British '!BJ27)</f>
        <v>7180.7457148911781</v>
      </c>
      <c r="R77">
        <v>255</v>
      </c>
    </row>
    <row r="78" spans="2:19" ht="15" x14ac:dyDescent="0.25">
      <c r="B78" s="89"/>
      <c r="C78" t="s">
        <v>39</v>
      </c>
      <c r="D78" s="1">
        <v>70</v>
      </c>
      <c r="F78" s="3">
        <f t="shared" si="29"/>
        <v>5.1716999999999995</v>
      </c>
      <c r="I78" s="3">
        <f t="shared" si="27"/>
        <v>13.741133397713995</v>
      </c>
      <c r="L78" s="5">
        <f t="shared" si="30"/>
        <v>119.46519886363633</v>
      </c>
      <c r="M78" s="5">
        <f>('Capital Carbon (legacy)'!$M$72/'Septic Tank - British '!$BG$22)*'Septic Tank - British '!BG28</f>
        <v>1378.6686217008798</v>
      </c>
      <c r="N78" s="5">
        <f t="shared" si="31"/>
        <v>316.25689149560117</v>
      </c>
      <c r="O78" s="5">
        <f t="shared" si="28"/>
        <v>76.261868635387017</v>
      </c>
      <c r="P78" s="5">
        <f t="shared" si="28"/>
        <v>4313.2000000000007</v>
      </c>
      <c r="Q78" s="5">
        <f>$Q$72/('Septic Tank - British '!$BD$14+'Septic Tank - British '!$BJ$22)*('Septic Tank - British '!$BD$14+'Septic Tank - British '!BJ28)</f>
        <v>7282.280817018489</v>
      </c>
      <c r="R78">
        <v>255</v>
      </c>
    </row>
    <row r="79" spans="2:19" ht="15" x14ac:dyDescent="0.25">
      <c r="B79" s="89"/>
      <c r="C79" t="s">
        <v>39</v>
      </c>
      <c r="D79" s="1">
        <v>80</v>
      </c>
      <c r="F79" s="3">
        <f t="shared" si="29"/>
        <v>5.1716999999999995</v>
      </c>
      <c r="I79" s="3">
        <f t="shared" si="27"/>
        <v>14.285573380276668</v>
      </c>
      <c r="L79" s="5">
        <f t="shared" si="30"/>
        <v>127.6875</v>
      </c>
      <c r="M79" s="5">
        <f>('Capital Carbon (legacy)'!$M$72/'Septic Tank - British '!$BG$22)*'Septic Tank - British '!BG29</f>
        <v>1554.9032258064517</v>
      </c>
      <c r="N79" s="5">
        <f t="shared" si="31"/>
        <v>356.68387096774194</v>
      </c>
      <c r="O79" s="5">
        <f t="shared" si="28"/>
        <v>83.882864356675725</v>
      </c>
      <c r="P79" s="5">
        <f t="shared" si="28"/>
        <v>4523.5999999999995</v>
      </c>
      <c r="Q79" s="5">
        <f>$Q$72/('Septic Tank - British '!$BD$14+'Septic Tank - British '!$BJ$22)*('Septic Tank - British '!$BD$14+'Septic Tank - British '!BJ29)</f>
        <v>7383.8159191457999</v>
      </c>
      <c r="R79">
        <v>255</v>
      </c>
    </row>
    <row r="80" spans="2:19" ht="15" x14ac:dyDescent="0.25">
      <c r="B80" s="89"/>
      <c r="C80" t="s">
        <v>39</v>
      </c>
      <c r="D80" s="1">
        <v>90</v>
      </c>
      <c r="F80" s="3">
        <f t="shared" si="29"/>
        <v>5.1716999999999995</v>
      </c>
      <c r="I80" s="3">
        <f t="shared" si="27"/>
        <v>15.157536567979168</v>
      </c>
      <c r="L80" s="5">
        <f t="shared" si="30"/>
        <v>136.04799107142856</v>
      </c>
      <c r="M80" s="5">
        <f>('Capital Carbon (legacy)'!$M$72/'Septic Tank - British '!$BG$22)*'Septic Tank - British '!BG30</f>
        <v>1743.1359447004609</v>
      </c>
      <c r="N80" s="5">
        <f t="shared" si="31"/>
        <v>399.86313364055297</v>
      </c>
      <c r="O80" s="5">
        <f t="shared" si="28"/>
        <v>92.203375166304312</v>
      </c>
      <c r="P80" s="5">
        <f t="shared" si="28"/>
        <v>4944.3999999999996</v>
      </c>
      <c r="Q80" s="5">
        <f>$Q$72/('Septic Tank - British '!$BD$14+'Septic Tank - British '!$BJ$22)*('Septic Tank - British '!$BD$14+'Septic Tank - British '!BJ30)</f>
        <v>7586.8861234004225</v>
      </c>
      <c r="R80">
        <v>255</v>
      </c>
    </row>
    <row r="81" spans="2:18" ht="15" x14ac:dyDescent="0.25">
      <c r="B81" s="106"/>
      <c r="C81" t="s">
        <v>39</v>
      </c>
      <c r="D81" s="1">
        <v>100</v>
      </c>
      <c r="F81" s="3">
        <f t="shared" si="29"/>
        <v>5.1716999999999995</v>
      </c>
      <c r="I81" s="3">
        <f t="shared" si="27"/>
        <v>15.70010420082674</v>
      </c>
      <c r="L81" s="5">
        <f t="shared" si="30"/>
        <v>143.64843749999997</v>
      </c>
      <c r="M81" s="5">
        <f>('Capital Carbon (legacy)'!$M$72/'Septic Tank - British '!$BG$22)*'Septic Tank - British '!BG31</f>
        <v>1918.3870967741937</v>
      </c>
      <c r="N81" s="5">
        <f t="shared" si="31"/>
        <v>440.06451612903226</v>
      </c>
      <c r="O81" s="5">
        <f t="shared" si="28"/>
        <v>99.782924895778962</v>
      </c>
      <c r="P81" s="5">
        <f t="shared" si="28"/>
        <v>5154.8</v>
      </c>
      <c r="Q81" s="5">
        <f>$Q$72/('Septic Tank - British '!$BD$14+'Septic Tank - British '!$BJ$22)*('Septic Tank - British '!$BD$14+'Septic Tank - British '!BJ31)</f>
        <v>7688.4212255277334</v>
      </c>
      <c r="R81">
        <v>255</v>
      </c>
    </row>
    <row r="83" spans="2:18" ht="15" x14ac:dyDescent="0.25">
      <c r="B83" s="88">
        <v>50</v>
      </c>
      <c r="C83" t="s">
        <v>51</v>
      </c>
      <c r="D83" s="1">
        <v>12</v>
      </c>
      <c r="F83">
        <v>2.29</v>
      </c>
      <c r="G83">
        <v>4.82</v>
      </c>
      <c r="H83">
        <v>0.66900000000000004</v>
      </c>
      <c r="I83" s="3">
        <f>SUM(L83:R83)/1000</f>
        <v>8.1379031286956529</v>
      </c>
      <c r="J83" s="4">
        <f t="shared" ref="J83" si="32">SUM(F83:H83)-I83</f>
        <v>-0.358903128695653</v>
      </c>
      <c r="L83">
        <v>78.8</v>
      </c>
      <c r="M83" s="5">
        <f>($M$94/'Septic Tank - British '!$BT$22)*('Septic Tank - British '!$BR$7+'Septic Tank - British '!BT22)</f>
        <v>968.20312869565214</v>
      </c>
      <c r="N83">
        <v>107</v>
      </c>
      <c r="O83">
        <v>43.9</v>
      </c>
      <c r="P83">
        <v>3060</v>
      </c>
      <c r="Q83">
        <v>2550</v>
      </c>
      <c r="R83">
        <v>1330</v>
      </c>
    </row>
    <row r="84" spans="2:18" ht="15" x14ac:dyDescent="0.25">
      <c r="B84" s="89"/>
      <c r="C84" t="s">
        <v>51</v>
      </c>
      <c r="D84" s="1">
        <v>20</v>
      </c>
      <c r="F84">
        <v>2.29</v>
      </c>
      <c r="I84" s="3">
        <f t="shared" ref="I84:I92" si="33">SUM(L84:R84)/1000</f>
        <v>9.1597700135084601</v>
      </c>
      <c r="L84" s="5">
        <f>($L$83/'Septic Tank - British '!$BQ$22)*'Septic Tank - British '!BQ23</f>
        <v>89.306666666666658</v>
      </c>
      <c r="M84" s="5">
        <f>($M$94/'Septic Tank - British '!$BT$22)*('Septic Tank - British '!$BR$7+'Septic Tank - British '!BT23)</f>
        <v>1210.2900852173912</v>
      </c>
      <c r="N84" s="5">
        <f>($N$105/'Septic Tank - British '!$BU$22)*'Septic Tank - British '!BU23</f>
        <v>225.21739130434787</v>
      </c>
      <c r="O84" s="5">
        <f>($O$105/'Septic Tank - British '!$BS$40)*'Septic Tank - British '!BS41</f>
        <v>68.841561393166458</v>
      </c>
      <c r="P84" s="5">
        <f>($P$83/'Septic Tank - British '!$BZ$22)*'Septic Tank - British '!BZ23</f>
        <v>3482.0689655172409</v>
      </c>
      <c r="Q84" s="5">
        <f>($Q$83/('Septic Tank - British '!$BW$22+'Septic Tank - British '!$BQ$8))*('Septic Tank - British '!$BQ$8+'Septic Tank - British '!BW23)</f>
        <v>2754.0453434096462</v>
      </c>
      <c r="R84">
        <v>1330</v>
      </c>
    </row>
    <row r="85" spans="2:18" ht="15" x14ac:dyDescent="0.25">
      <c r="B85" s="89"/>
      <c r="C85" t="s">
        <v>51</v>
      </c>
      <c r="D85" s="1">
        <v>30</v>
      </c>
      <c r="F85">
        <v>2.29</v>
      </c>
      <c r="I85" s="3">
        <f t="shared" si="33"/>
        <v>10.218579667677304</v>
      </c>
      <c r="L85" s="5">
        <f>($L$83/'Septic Tank - British '!$BQ$22)*'Septic Tank - British '!BQ24</f>
        <v>101.12666666666667</v>
      </c>
      <c r="M85" s="5">
        <f>($M$94/'Septic Tank - British '!$BT$22)*('Septic Tank - British '!$BR$7+'Septic Tank - British '!BT24)</f>
        <v>1516.6813895652174</v>
      </c>
      <c r="N85" s="5">
        <f>($N$105/'Septic Tank - British '!$BU$22)*'Septic Tank - British '!BU24</f>
        <v>322.94565217391306</v>
      </c>
      <c r="O85" s="5">
        <f>($O$105/'Septic Tank - British '!$BS$40)*'Septic Tank - British '!BS42</f>
        <v>85.597341417731812</v>
      </c>
      <c r="P85" s="5">
        <f>($P$83/'Septic Tank - British '!$BZ$22)*'Septic Tank - British '!BZ24</f>
        <v>3904.1379310344823</v>
      </c>
      <c r="Q85" s="5">
        <f>($Q$83/('Septic Tank - British '!$BW$22+'Septic Tank - British '!$BQ$8))*('Septic Tank - British '!$BQ$8+'Septic Tank - British '!BW24)</f>
        <v>2958.0906868192933</v>
      </c>
      <c r="R85">
        <v>1330</v>
      </c>
    </row>
    <row r="86" spans="2:18" ht="15" x14ac:dyDescent="0.25">
      <c r="B86" s="89"/>
      <c r="C86" t="s">
        <v>51</v>
      </c>
      <c r="D86" s="1">
        <v>40</v>
      </c>
      <c r="F86">
        <v>2.29</v>
      </c>
      <c r="I86" s="3">
        <f t="shared" si="33"/>
        <v>11.58293722554048</v>
      </c>
      <c r="L86" s="5">
        <f>($L$83/'Septic Tank - British '!$BQ$22)*'Septic Tank - British '!BQ25</f>
        <v>115.57333333333332</v>
      </c>
      <c r="M86" s="5">
        <f>($M$94/'Septic Tank - British '!$BT$22)*('Septic Tank - British '!$BR$7+'Septic Tank - British '!BT25)</f>
        <v>1815.5074765217391</v>
      </c>
      <c r="N86" s="5">
        <f>($N$105/'Septic Tank - British '!$BU$22)*'Septic Tank - British '!BU25</f>
        <v>418.26086956521743</v>
      </c>
      <c r="O86" s="5">
        <f>($O$105/'Septic Tank - British '!$BS$40)*'Septic Tank - British '!BS43</f>
        <v>102.1954648760826</v>
      </c>
      <c r="P86" s="5">
        <f>($P$83/'Septic Tank - British '!$BZ$22)*'Septic Tank - British '!BZ25</f>
        <v>4537.2413793103442</v>
      </c>
      <c r="Q86" s="5">
        <f>($Q$83/('Septic Tank - British '!$BW$22+'Septic Tank - British '!$BQ$8))*('Septic Tank - British '!$BQ$8+'Septic Tank - British '!BW25)</f>
        <v>3264.158701933763</v>
      </c>
      <c r="R86">
        <v>1330</v>
      </c>
    </row>
    <row r="87" spans="2:18" ht="15" x14ac:dyDescent="0.25">
      <c r="B87" s="89"/>
      <c r="C87" t="s">
        <v>51</v>
      </c>
      <c r="D87" s="1">
        <v>50</v>
      </c>
      <c r="F87">
        <v>2.29</v>
      </c>
      <c r="I87" s="3">
        <f t="shared" si="33"/>
        <v>12.64658916613552</v>
      </c>
      <c r="L87" s="5">
        <f>($L$83/'Septic Tank - British '!$BQ$22)*'Septic Tank - British '!BQ26</f>
        <v>128.90871794871794</v>
      </c>
      <c r="M87" s="5">
        <f>($M$94/'Septic Tank - British '!$BT$22)*('Septic Tank - British '!$BR$7+'Septic Tank - British '!BT26)</f>
        <v>2124.323530033445</v>
      </c>
      <c r="N87" s="5">
        <f>($N$105/'Septic Tank - British '!$BU$22)*'Septic Tank - British '!BU26</f>
        <v>516.76254180602018</v>
      </c>
      <c r="O87" s="5">
        <f>($O$105/'Septic Tank - British '!$BS$40)*'Septic Tank - British '!BS44</f>
        <v>119.07998617634173</v>
      </c>
      <c r="P87" s="5">
        <f>($P$83/'Septic Tank - British '!$BZ$22)*'Septic Tank - British '!BZ26</f>
        <v>4959.3103448275861</v>
      </c>
      <c r="Q87" s="5">
        <f>($Q$83/('Septic Tank - British '!$BW$22+'Septic Tank - British '!$BQ$8))*('Septic Tank - British '!$BQ$8+'Septic Tank - British '!BW26)</f>
        <v>3468.2040453434097</v>
      </c>
      <c r="R87">
        <v>1330</v>
      </c>
    </row>
    <row r="88" spans="2:18" ht="15" x14ac:dyDescent="0.25">
      <c r="B88" s="89"/>
      <c r="C88" t="s">
        <v>51</v>
      </c>
      <c r="D88" s="1">
        <v>60</v>
      </c>
      <c r="F88">
        <v>2.29</v>
      </c>
      <c r="I88" s="3">
        <f t="shared" si="33"/>
        <v>13.692803266895107</v>
      </c>
      <c r="L88" s="5">
        <f>($L$83/'Septic Tank - British '!$BQ$22)*'Septic Tank - British '!BQ27</f>
        <v>141.84</v>
      </c>
      <c r="M88" s="5">
        <f>($M$94/'Septic Tank - British '!$BT$22)*('Septic Tank - British '!$BR$7+'Septic Tank - British '!BT27)</f>
        <v>2420.7248678260871</v>
      </c>
      <c r="N88" s="5">
        <f>($N$105/'Septic Tank - British '!$BU$22)*'Septic Tank - British '!BU27</f>
        <v>611.30434782608711</v>
      </c>
      <c r="O88" s="5">
        <f>($O$105/'Septic Tank - British '!$BS$40)*'Septic Tank - British '!BS45</f>
        <v>135.30535214504874</v>
      </c>
      <c r="P88" s="5">
        <f>($P$83/'Septic Tank - British '!$BZ$22)*'Septic Tank - British '!BZ27</f>
        <v>5381.379310344827</v>
      </c>
      <c r="Q88" s="5">
        <f>($Q$83/('Septic Tank - British '!$BW$22+'Septic Tank - British '!$BQ$8))*('Septic Tank - British '!$BQ$8+'Septic Tank - British '!BW27)</f>
        <v>3672.2493887530559</v>
      </c>
      <c r="R88">
        <v>1330</v>
      </c>
    </row>
    <row r="89" spans="2:18" ht="15" x14ac:dyDescent="0.25">
      <c r="B89" s="89"/>
      <c r="C89" t="s">
        <v>51</v>
      </c>
      <c r="D89" s="1">
        <v>70</v>
      </c>
      <c r="F89">
        <v>2.29</v>
      </c>
      <c r="I89" s="3">
        <f t="shared" si="33"/>
        <v>15.071908505468071</v>
      </c>
      <c r="L89" s="5">
        <f>($L$83/'Septic Tank - British '!$BQ$22)*'Septic Tank - British '!BQ28</f>
        <v>155.84888888888887</v>
      </c>
      <c r="M89" s="5">
        <f>($M$94/'Septic Tank - British '!$BT$22)*('Septic Tank - British '!$BR$7+'Septic Tank - British '!BT28)</f>
        <v>2730.61858763285</v>
      </c>
      <c r="N89" s="5">
        <f>($N$105/'Septic Tank - British '!$BU$22)*'Septic Tank - British '!BU28</f>
        <v>710.1497584541064</v>
      </c>
      <c r="O89" s="5">
        <f>($O$105/'Septic Tank - British '!$BS$40)*'Septic Tank - British '!BS46</f>
        <v>152.49110800401064</v>
      </c>
      <c r="P89" s="5">
        <f>($P$83/'Septic Tank - British '!$BZ$22)*'Septic Tank - British '!BZ28</f>
        <v>6014.4827586206893</v>
      </c>
      <c r="Q89" s="5">
        <f>($Q$83/('Septic Tank - British '!$BW$22+'Septic Tank - British '!$BQ$8))*('Septic Tank - British '!$BQ$8+'Septic Tank - British '!BW28)</f>
        <v>3978.3174038675265</v>
      </c>
      <c r="R89">
        <v>1330</v>
      </c>
    </row>
    <row r="90" spans="2:18" ht="15" x14ac:dyDescent="0.25">
      <c r="B90" s="89"/>
      <c r="C90" t="s">
        <v>51</v>
      </c>
      <c r="D90" s="1">
        <v>80</v>
      </c>
      <c r="F90">
        <v>2.29</v>
      </c>
      <c r="I90" s="3">
        <f t="shared" si="33"/>
        <v>16.115970478927128</v>
      </c>
      <c r="L90" s="5">
        <f>($L$83/'Septic Tank - British '!$BQ$22)*'Septic Tank - British '!BQ29</f>
        <v>168.10666666666665</v>
      </c>
      <c r="M90" s="5">
        <f>($M$94/'Septic Tank - British '!$BT$22)*('Septic Tank - British '!$BR$7+'Septic Tank - British '!BT29)</f>
        <v>3025.9422591304346</v>
      </c>
      <c r="N90" s="5">
        <f>($N$105/'Septic Tank - British '!$BU$22)*'Septic Tank - British '!BU29</f>
        <v>804.34782608695662</v>
      </c>
      <c r="O90" s="5">
        <f>($O$105/'Septic Tank - British '!$BS$40)*'Septic Tank - British '!BS47</f>
        <v>168.65925562796485</v>
      </c>
      <c r="P90" s="5">
        <f>($P$83/'Septic Tank - British '!$BZ$22)*'Septic Tank - British '!BZ29</f>
        <v>6436.5517241379303</v>
      </c>
      <c r="Q90" s="5">
        <f>($Q$83/('Septic Tank - British '!$BW$22+'Septic Tank - British '!$BQ$8))*('Septic Tank - British '!$BQ$8+'Septic Tank - British '!BW29)</f>
        <v>4182.3627472771723</v>
      </c>
      <c r="R90">
        <v>1330</v>
      </c>
    </row>
    <row r="91" spans="2:18" ht="15" x14ac:dyDescent="0.25">
      <c r="B91" s="89"/>
      <c r="C91" t="s">
        <v>51</v>
      </c>
      <c r="D91" s="1">
        <v>90</v>
      </c>
      <c r="F91">
        <v>2.29</v>
      </c>
      <c r="I91" s="3">
        <f t="shared" si="33"/>
        <v>17.182990966601256</v>
      </c>
      <c r="L91" s="5">
        <f>($L$83/'Septic Tank - British '!$BQ$22)*'Septic Tank - British '!BQ30</f>
        <v>182.49623188405798</v>
      </c>
      <c r="M91" s="5">
        <f>($M$94/'Septic Tank - British '!$BT$22)*('Septic Tank - British '!$BR$7+'Septic Tank - British '!BT30)</f>
        <v>3336.4450946691873</v>
      </c>
      <c r="N91" s="5">
        <f>($N$105/'Septic Tank - British '!$BU$22)*'Septic Tank - British '!BU30</f>
        <v>903.38752362948981</v>
      </c>
      <c r="O91" s="5">
        <f>($O$105/'Septic Tank - British '!$BS$40)*'Septic Tank - British '!BS48</f>
        <v>185.63333607653277</v>
      </c>
      <c r="P91" s="5">
        <f>($P$83/'Septic Tank - British '!$BZ$22)*'Septic Tank - British '!BZ30</f>
        <v>6858.6206896551712</v>
      </c>
      <c r="Q91" s="5">
        <f>($Q$83/('Septic Tank - British '!$BW$22+'Septic Tank - British '!$BQ$8))*('Septic Tank - British '!$BQ$8+'Septic Tank - British '!BW30)</f>
        <v>4386.4080906868194</v>
      </c>
      <c r="R91">
        <v>1330</v>
      </c>
    </row>
    <row r="92" spans="2:18" ht="15" x14ac:dyDescent="0.25">
      <c r="B92" s="89"/>
      <c r="C92" t="s">
        <v>51</v>
      </c>
      <c r="D92" s="1">
        <v>100</v>
      </c>
      <c r="F92">
        <v>2.29</v>
      </c>
      <c r="I92" s="3">
        <f t="shared" si="33"/>
        <v>18.225836520281753</v>
      </c>
      <c r="L92" s="5">
        <f>($L$83/'Septic Tank - British '!$BQ$22)*'Septic Tank - British '!BQ31</f>
        <v>194.37333333333333</v>
      </c>
      <c r="M92" s="5">
        <f>($M$94/'Septic Tank - British '!$BT$22)*('Septic Tank - British '!$BR$7+'Septic Tank - British '!BT31)</f>
        <v>3631.1596504347831</v>
      </c>
      <c r="N92" s="5">
        <f>($N$105/'Septic Tank - British '!$BU$22)*'Septic Tank - British '!BU31</f>
        <v>997.39130434782624</v>
      </c>
      <c r="O92" s="5">
        <f>($O$105/'Septic Tank - British '!$BS$40)*'Septic Tank - British '!BS49</f>
        <v>201.76914289693104</v>
      </c>
      <c r="P92" s="5">
        <f>($P$83/'Septic Tank - British '!$BZ$22)*'Septic Tank - British '!BZ31</f>
        <v>7280.689655172413</v>
      </c>
      <c r="Q92" s="5">
        <f>($Q$83/('Septic Tank - British '!$BW$22+'Septic Tank - British '!$BQ$8))*('Septic Tank - British '!$BQ$8+'Septic Tank - British '!BW31)</f>
        <v>4590.4534340964656</v>
      </c>
      <c r="R92">
        <v>1330</v>
      </c>
    </row>
    <row r="93" spans="2:18" x14ac:dyDescent="0.2">
      <c r="B93" s="89"/>
    </row>
    <row r="94" spans="2:18" ht="15" x14ac:dyDescent="0.25">
      <c r="B94" s="89"/>
      <c r="C94" t="s">
        <v>39</v>
      </c>
      <c r="D94" s="1">
        <v>12</v>
      </c>
      <c r="F94">
        <v>9.06</v>
      </c>
      <c r="G94">
        <v>4.82</v>
      </c>
      <c r="H94">
        <v>0.66900000000000004</v>
      </c>
      <c r="I94" s="3">
        <f>SUM(L94:R94)/1000</f>
        <v>14.5837</v>
      </c>
      <c r="J94" s="4">
        <f t="shared" ref="J94" si="34">SUM(F94:H94)-I94</f>
        <v>-3.4699999999999065E-2</v>
      </c>
      <c r="L94" s="5">
        <v>78.8</v>
      </c>
      <c r="M94">
        <v>464</v>
      </c>
      <c r="N94">
        <v>107</v>
      </c>
      <c r="O94" s="5">
        <v>43.9</v>
      </c>
      <c r="P94">
        <v>3060</v>
      </c>
      <c r="Q94">
        <v>9500</v>
      </c>
      <c r="R94">
        <v>1330</v>
      </c>
    </row>
    <row r="95" spans="2:18" ht="15" x14ac:dyDescent="0.25">
      <c r="B95" s="89"/>
      <c r="C95" t="s">
        <v>39</v>
      </c>
      <c r="D95" s="1">
        <v>20</v>
      </c>
      <c r="F95">
        <v>9.06</v>
      </c>
      <c r="I95" s="3">
        <f t="shared" ref="I95:I103" si="35">SUM(L95:R95)/1000</f>
        <v>15.650999079621529</v>
      </c>
      <c r="L95" s="5">
        <v>89.306666666666658</v>
      </c>
      <c r="M95" s="5">
        <f>($M$94/'Septic Tank - British '!$BS$22)*'Septic Tank - British '!BS23</f>
        <v>706.08695652173913</v>
      </c>
      <c r="N95" s="5">
        <v>225.21739130434787</v>
      </c>
      <c r="O95" s="5">
        <v>68.841561393166458</v>
      </c>
      <c r="P95" s="5">
        <v>3482.0689655172409</v>
      </c>
      <c r="Q95" s="5">
        <f>($Q$83/('Septic Tank - British '!$BW$22+'Septic Tank - British '!$BQ$8))*('Septic Tank - British '!$BQ$14+'Septic Tank - British '!BW23)</f>
        <v>9749.4775382183689</v>
      </c>
      <c r="R95">
        <v>1330</v>
      </c>
    </row>
    <row r="96" spans="2:18" ht="15" x14ac:dyDescent="0.25">
      <c r="B96" s="89"/>
      <c r="C96" t="s">
        <v>39</v>
      </c>
      <c r="D96" s="1">
        <v>30</v>
      </c>
      <c r="F96">
        <v>9.06</v>
      </c>
      <c r="I96" s="3">
        <f t="shared" si="35"/>
        <v>16.709808733790375</v>
      </c>
      <c r="L96" s="5">
        <v>101.12666666666667</v>
      </c>
      <c r="M96" s="5">
        <f>($M$94/'Septic Tank - British '!$BS$22)*'Septic Tank - British '!BS24</f>
        <v>1012.4782608695652</v>
      </c>
      <c r="N96" s="5">
        <v>322.94565217391306</v>
      </c>
      <c r="O96" s="5">
        <v>85.597341417731812</v>
      </c>
      <c r="P96" s="5">
        <v>3904.1379310344823</v>
      </c>
      <c r="Q96" s="5">
        <f>($Q$83/('Septic Tank - British '!$BW$22+'Septic Tank - British '!$BQ$8))*('Septic Tank - British '!$BQ$14+'Septic Tank - British '!BW24)</f>
        <v>9953.522881628016</v>
      </c>
      <c r="R96">
        <v>1330</v>
      </c>
    </row>
    <row r="97" spans="2:18" ht="15" x14ac:dyDescent="0.25">
      <c r="B97" s="89"/>
      <c r="C97" t="s">
        <v>39</v>
      </c>
      <c r="D97" s="1">
        <v>40</v>
      </c>
      <c r="F97">
        <v>9.06</v>
      </c>
      <c r="I97" s="3">
        <f t="shared" si="35"/>
        <v>18.074166291653551</v>
      </c>
      <c r="L97" s="5">
        <v>115.57333333333332</v>
      </c>
      <c r="M97" s="5">
        <f>($M$94/'Septic Tank - British '!$BS$22)*'Septic Tank - British '!BS25</f>
        <v>1311.304347826087</v>
      </c>
      <c r="N97" s="5">
        <v>418.26086956521743</v>
      </c>
      <c r="O97" s="5">
        <v>102.1954648760826</v>
      </c>
      <c r="P97" s="5">
        <v>4537.2413793103442</v>
      </c>
      <c r="Q97" s="5">
        <f>($Q$83/('Septic Tank - British '!$BW$22+'Septic Tank - British '!$BQ$8))*('Septic Tank - British '!$BQ$14+'Septic Tank - British '!BW25)</f>
        <v>10259.590896742486</v>
      </c>
      <c r="R97">
        <v>1330</v>
      </c>
    </row>
    <row r="98" spans="2:18" ht="15" x14ac:dyDescent="0.25">
      <c r="B98" s="89"/>
      <c r="C98" t="s">
        <v>39</v>
      </c>
      <c r="D98" s="1">
        <v>50</v>
      </c>
      <c r="F98">
        <v>9.06</v>
      </c>
      <c r="I98" s="3">
        <f t="shared" si="35"/>
        <v>19.137818232248588</v>
      </c>
      <c r="L98" s="5">
        <v>128.90871794871794</v>
      </c>
      <c r="M98" s="5">
        <f>($M$94/'Septic Tank - British '!$BS$22)*'Septic Tank - British '!BS26</f>
        <v>1620.1204013377926</v>
      </c>
      <c r="N98" s="5">
        <v>516.76254180602018</v>
      </c>
      <c r="O98" s="5">
        <v>119.07998617634173</v>
      </c>
      <c r="P98" s="5">
        <v>4959.3103448275861</v>
      </c>
      <c r="Q98" s="5">
        <f>($Q$83/('Septic Tank - British '!$BW$22+'Septic Tank - British '!$BQ$8))*('Septic Tank - British '!$BQ$14+'Septic Tank - British '!BW26)</f>
        <v>10463.636240152131</v>
      </c>
      <c r="R98">
        <v>1330</v>
      </c>
    </row>
    <row r="99" spans="2:18" ht="15" x14ac:dyDescent="0.25">
      <c r="B99" s="89"/>
      <c r="C99" t="s">
        <v>39</v>
      </c>
      <c r="D99" s="1">
        <v>60</v>
      </c>
      <c r="F99">
        <v>9.06</v>
      </c>
      <c r="I99" s="3">
        <f t="shared" si="35"/>
        <v>20.184032333008172</v>
      </c>
      <c r="L99" s="5">
        <v>141.84</v>
      </c>
      <c r="M99" s="5">
        <f>($M$94/'Septic Tank - British '!$BS$22)*'Septic Tank - British '!BS27</f>
        <v>1916.5217391304348</v>
      </c>
      <c r="N99" s="5">
        <v>611.30434782608711</v>
      </c>
      <c r="O99" s="5">
        <v>135.30535214504874</v>
      </c>
      <c r="P99" s="5">
        <v>5381.379310344827</v>
      </c>
      <c r="Q99" s="5">
        <f>($Q$83/('Septic Tank - British '!$BW$22+'Septic Tank - British '!$BQ$8))*('Septic Tank - British '!$BQ$14+'Septic Tank - British '!BW27)</f>
        <v>10667.681583561778</v>
      </c>
      <c r="R99">
        <v>1330</v>
      </c>
    </row>
    <row r="100" spans="2:18" ht="15" x14ac:dyDescent="0.25">
      <c r="B100" s="89"/>
      <c r="C100" t="s">
        <v>39</v>
      </c>
      <c r="D100" s="1">
        <v>70</v>
      </c>
      <c r="F100">
        <v>9.06</v>
      </c>
      <c r="I100" s="3">
        <f t="shared" si="35"/>
        <v>21.563137571581144</v>
      </c>
      <c r="L100" s="5">
        <v>155.84888888888887</v>
      </c>
      <c r="M100" s="5">
        <f>($M$94/'Septic Tank - British '!$BS$22)*'Septic Tank - British '!BS28</f>
        <v>2226.4154589371983</v>
      </c>
      <c r="N100" s="5">
        <v>710.1497584541064</v>
      </c>
      <c r="O100" s="5">
        <v>152.49110800401064</v>
      </c>
      <c r="P100" s="5">
        <v>6014.4827586206893</v>
      </c>
      <c r="Q100" s="5">
        <f>($Q$83/('Septic Tank - British '!$BW$22+'Septic Tank - British '!$BQ$8))*('Septic Tank - British '!$BQ$14+'Septic Tank - British '!BW28)</f>
        <v>10973.74959867625</v>
      </c>
      <c r="R100">
        <v>1330</v>
      </c>
    </row>
    <row r="101" spans="2:18" ht="15" x14ac:dyDescent="0.25">
      <c r="B101" s="89"/>
      <c r="C101" t="s">
        <v>39</v>
      </c>
      <c r="D101" s="1">
        <v>80</v>
      </c>
      <c r="F101">
        <v>9.06</v>
      </c>
      <c r="I101" s="3">
        <f t="shared" si="35"/>
        <v>22.607199545040196</v>
      </c>
      <c r="L101" s="5">
        <v>168.10666666666665</v>
      </c>
      <c r="M101" s="5">
        <f>($M$94/'Septic Tank - British '!$BS$22)*'Septic Tank - British '!BS29</f>
        <v>2521.7391304347825</v>
      </c>
      <c r="N101" s="5">
        <v>804.34782608695662</v>
      </c>
      <c r="O101" s="5">
        <v>168.65925562796485</v>
      </c>
      <c r="P101" s="5">
        <v>6436.5517241379303</v>
      </c>
      <c r="Q101" s="5">
        <f>($Q$83/('Septic Tank - British '!$BW$22+'Septic Tank - British '!$BQ$8))*('Septic Tank - British '!$BQ$14+'Septic Tank - British '!BW29)</f>
        <v>11177.794942085897</v>
      </c>
      <c r="R101">
        <v>1330</v>
      </c>
    </row>
    <row r="102" spans="2:18" ht="15" x14ac:dyDescent="0.25">
      <c r="B102" s="89"/>
      <c r="C102" t="s">
        <v>39</v>
      </c>
      <c r="D102" s="1">
        <v>90</v>
      </c>
      <c r="F102">
        <v>9.06</v>
      </c>
      <c r="I102" s="3">
        <f t="shared" si="35"/>
        <v>23.674220032714331</v>
      </c>
      <c r="L102" s="5">
        <v>182.49623188405798</v>
      </c>
      <c r="M102" s="5">
        <f>($M$94/'Septic Tank - British '!$BS$22)*'Septic Tank - British '!BS30</f>
        <v>2832.2419659735351</v>
      </c>
      <c r="N102" s="5">
        <v>903.38752362948981</v>
      </c>
      <c r="O102" s="5">
        <v>185.63333607653277</v>
      </c>
      <c r="P102" s="5">
        <v>6858.6206896551712</v>
      </c>
      <c r="Q102" s="5">
        <f>($Q$83/('Septic Tank - British '!$BW$22+'Septic Tank - British '!$BQ$8))*('Septic Tank - British '!$BQ$14+'Septic Tank - British '!BW30)</f>
        <v>11381.840285495542</v>
      </c>
      <c r="R102">
        <v>1330</v>
      </c>
    </row>
    <row r="103" spans="2:18" ht="15" x14ac:dyDescent="0.25">
      <c r="B103" s="106"/>
      <c r="C103" t="s">
        <v>39</v>
      </c>
      <c r="D103" s="1">
        <v>100</v>
      </c>
      <c r="F103">
        <v>9.06</v>
      </c>
      <c r="I103" s="3">
        <f t="shared" si="35"/>
        <v>24.717065586394824</v>
      </c>
      <c r="L103" s="5">
        <v>194.37333333333333</v>
      </c>
      <c r="M103" s="5">
        <f>($M$94/'Septic Tank - British '!$BS$22)*'Septic Tank - British '!BS31</f>
        <v>3126.9565217391305</v>
      </c>
      <c r="N103" s="5">
        <v>997.39130434782624</v>
      </c>
      <c r="O103" s="5">
        <v>201.76914289693104</v>
      </c>
      <c r="P103" s="5">
        <v>7280.689655172413</v>
      </c>
      <c r="Q103" s="5">
        <f>($Q$83/('Septic Tank - British '!$BW$22+'Septic Tank - British '!$BQ$8))*('Septic Tank - British '!$BQ$14+'Septic Tank - British '!BW31)</f>
        <v>11585.885628905189</v>
      </c>
      <c r="R103">
        <v>1330</v>
      </c>
    </row>
    <row r="105" spans="2:18" ht="15" x14ac:dyDescent="0.25">
      <c r="B105" s="88">
        <v>75</v>
      </c>
      <c r="C105" t="s">
        <v>51</v>
      </c>
      <c r="D105" s="1">
        <v>12</v>
      </c>
      <c r="F105">
        <v>2.81</v>
      </c>
      <c r="G105">
        <v>5.44</v>
      </c>
      <c r="H105">
        <v>0.90400000000000003</v>
      </c>
      <c r="I105" s="3">
        <f>SUM(L105:R105)/1000</f>
        <v>9.5687141510625011</v>
      </c>
      <c r="J105" s="4">
        <f t="shared" ref="J105" si="36">SUM(F105:H105)-I105</f>
        <v>-0.4147141510625012</v>
      </c>
      <c r="L105">
        <v>82.8</v>
      </c>
      <c r="M105" s="5">
        <f>($M$116/'Septic Tank - British '!$CG$22)*('Septic Tank - British '!$CE$7+'Septic Tank - British '!CG22)</f>
        <v>1232.4141510625</v>
      </c>
      <c r="N105">
        <v>148</v>
      </c>
      <c r="O105">
        <v>55.5</v>
      </c>
      <c r="P105">
        <v>3480</v>
      </c>
      <c r="Q105">
        <v>2910</v>
      </c>
      <c r="R105">
        <v>1660</v>
      </c>
    </row>
    <row r="106" spans="2:18" ht="15" x14ac:dyDescent="0.25">
      <c r="B106" s="89"/>
      <c r="C106" t="s">
        <v>51</v>
      </c>
      <c r="D106" s="1">
        <v>20</v>
      </c>
      <c r="F106">
        <v>2.81</v>
      </c>
      <c r="I106" s="3">
        <f t="shared" ref="I106:I114" si="37">SUM(L106:R106)/1000</f>
        <v>10.991691397034684</v>
      </c>
      <c r="L106" s="5">
        <f>($L$105/'Septic Tank - British '!$CE$22)*'Septic Tank - British '!CE23</f>
        <v>100.87974683544304</v>
      </c>
      <c r="M106" s="5">
        <f>($M$116/'Septic Tank - British '!$CG$22)*('Septic Tank - British '!$CE$7+'Septic Tank - British '!CG23)</f>
        <v>1599.5743073125</v>
      </c>
      <c r="N106" s="5">
        <f>($N$105/'Septic Tank - British '!$CH$22)*'Septic Tank - British '!CH23</f>
        <v>232.11718749999997</v>
      </c>
      <c r="O106" s="5">
        <f>($O$105/'Septic Tank - British '!$CF$40)*'Septic Tank - British '!CF41</f>
        <v>71.35669916411122</v>
      </c>
      <c r="P106" s="5">
        <f>($P$105/'Septic Tank - British '!$CM$22)*'Septic Tank - British '!CM23</f>
        <v>4112.727272727273</v>
      </c>
      <c r="Q106" s="5">
        <f>($Q$105/('Septic Tank - British '!$CJ$22+'Septic Tank - British '!$CD$8))*('Septic Tank - British '!$CD$8+'Septic Tank - British '!CJ23)</f>
        <v>3215.0361834953569</v>
      </c>
      <c r="R106">
        <v>1660</v>
      </c>
    </row>
    <row r="107" spans="2:18" ht="15" x14ac:dyDescent="0.25">
      <c r="B107" s="89"/>
      <c r="C107" t="s">
        <v>51</v>
      </c>
      <c r="D107" s="1">
        <v>30</v>
      </c>
      <c r="F107">
        <v>2.81</v>
      </c>
      <c r="I107" s="3">
        <f t="shared" si="37"/>
        <v>12.534591688604806</v>
      </c>
      <c r="L107" s="5">
        <f>($L$105/'Septic Tank - British '!$CE$22)*'Septic Tank - British '!CE24</f>
        <v>121.84177215189872</v>
      </c>
      <c r="M107" s="5">
        <f>($M$116/'Septic Tank - British '!$CG$22)*('Septic Tank - British '!$CE$7+'Septic Tank - British '!CG24)</f>
        <v>2058.8399323125</v>
      </c>
      <c r="N107" s="5">
        <f>($N$105/'Septic Tank - British '!$CH$22)*'Septic Tank - British '!CH24</f>
        <v>337.3359375</v>
      </c>
      <c r="O107" s="5">
        <f>($O$105/'Septic Tank - British '!$CF$40)*'Septic Tank - British '!CF42</f>
        <v>91.047134195147834</v>
      </c>
      <c r="P107" s="5">
        <f>($P$105/'Septic Tank - British '!$CM$22)*'Septic Tank - British '!CM24</f>
        <v>4745.454545454545</v>
      </c>
      <c r="Q107" s="5">
        <f>($Q$105/('Septic Tank - British '!$CJ$22+'Septic Tank - British '!$CD$8))*('Septic Tank - British '!$CD$8+'Septic Tank - British '!CJ24)</f>
        <v>3520.0723669907134</v>
      </c>
      <c r="R107">
        <v>1660</v>
      </c>
    </row>
    <row r="108" spans="2:18" ht="15" x14ac:dyDescent="0.25">
      <c r="B108" s="89"/>
      <c r="C108" t="s">
        <v>51</v>
      </c>
      <c r="D108" s="1">
        <v>40</v>
      </c>
      <c r="F108">
        <v>2.81</v>
      </c>
      <c r="I108" s="3">
        <f t="shared" si="37"/>
        <v>14.058545573616128</v>
      </c>
      <c r="L108" s="5">
        <f>($L$105/'Septic Tank - British '!$CE$22)*'Septic Tank - British '!CE25</f>
        <v>141.49367088607593</v>
      </c>
      <c r="M108" s="5">
        <f>($M$116/'Septic Tank - British '!$CG$22)*('Septic Tank - British '!$CE$7+'Septic Tank - British '!CG25)</f>
        <v>2504.2266510625</v>
      </c>
      <c r="N108" s="5">
        <f>($N$105/'Septic Tank - British '!$CH$22)*'Septic Tank - British '!CH25</f>
        <v>439.375</v>
      </c>
      <c r="O108" s="5">
        <f>($O$105/'Septic Tank - British '!$CF$40)*'Septic Tank - British '!CF43</f>
        <v>110.15988299966142</v>
      </c>
      <c r="P108" s="5">
        <f>($P$105/'Septic Tank - British '!$CM$22)*'Septic Tank - British '!CM25</f>
        <v>5378.181818181818</v>
      </c>
      <c r="Q108" s="5">
        <f>($Q$105/('Septic Tank - British '!$CJ$22+'Septic Tank - British '!$CD$8))*('Septic Tank - British '!$CD$8+'Septic Tank - British '!CJ25)</f>
        <v>3825.1085504860703</v>
      </c>
      <c r="R108">
        <v>1660</v>
      </c>
    </row>
    <row r="109" spans="2:18" ht="15" x14ac:dyDescent="0.25">
      <c r="B109" s="89"/>
      <c r="C109" t="s">
        <v>51</v>
      </c>
      <c r="D109" s="1">
        <v>50</v>
      </c>
      <c r="F109">
        <v>2.81</v>
      </c>
      <c r="I109" s="3">
        <f t="shared" si="37"/>
        <v>15.911709977473661</v>
      </c>
      <c r="L109" s="5">
        <f>($L$105/'Septic Tank - British '!$CE$22)*'Septic Tank - British '!CE26</f>
        <v>161.6282478347768</v>
      </c>
      <c r="M109" s="5">
        <f>($M$116/'Septic Tank - British '!$CG$22)*('Septic Tank - British '!$CE$7+'Septic Tank - British '!CG26)</f>
        <v>2962.1641510625</v>
      </c>
      <c r="N109" s="5">
        <f>($N$105/'Septic Tank - British '!$CH$22)*'Septic Tank - British '!CH26</f>
        <v>544.28947368421052</v>
      </c>
      <c r="O109" s="5">
        <f>($O$105/'Septic Tank - British '!$CF$40)*'Septic Tank - British '!CF44</f>
        <v>129.98646126078123</v>
      </c>
      <c r="P109" s="5">
        <f>($P$105/'Septic Tank - British '!$CM$22)*'Septic Tank - British '!CM26</f>
        <v>6221.818181818182</v>
      </c>
      <c r="Q109" s="5">
        <f>($Q$105/('Septic Tank - British '!$CJ$22+'Septic Tank - British '!$CD$8))*('Septic Tank - British '!$CD$8+'Septic Tank - British '!CJ26)</f>
        <v>4231.8234618132119</v>
      </c>
      <c r="R109">
        <v>1660</v>
      </c>
    </row>
    <row r="110" spans="2:18" ht="15" x14ac:dyDescent="0.25">
      <c r="B110" s="89"/>
      <c r="C110" t="s">
        <v>51</v>
      </c>
      <c r="D110" s="1">
        <v>60</v>
      </c>
      <c r="F110">
        <v>2.81</v>
      </c>
      <c r="I110" s="3">
        <f t="shared" si="37"/>
        <v>17.452969966438026</v>
      </c>
      <c r="L110" s="5">
        <f>($L$105/'Septic Tank - British '!$CE$22)*'Septic Tank - British '!CE27</f>
        <v>182.05063291139243</v>
      </c>
      <c r="M110" s="5">
        <f>($M$116/'Septic Tank - British '!$CG$22)*('Septic Tank - British '!$CE$7+'Septic Tank - British '!CG27)</f>
        <v>3420.563607584239</v>
      </c>
      <c r="N110" s="5">
        <f>($N$105/'Septic Tank - British '!$CH$22)*'Septic Tank - British '!CH27</f>
        <v>649.30978260869563</v>
      </c>
      <c r="O110" s="5">
        <f>($O$105/'Septic Tank - British '!$CF$40)*'Septic Tank - British '!CF45</f>
        <v>149.64084347967787</v>
      </c>
      <c r="P110" s="5">
        <f>($P$105/'Septic Tank - British '!$CM$22)*'Septic Tank - British '!CM27</f>
        <v>6854.545454545454</v>
      </c>
      <c r="Q110" s="5">
        <f>($Q$105/('Septic Tank - British '!$CJ$22+'Septic Tank - British '!$CD$8))*('Septic Tank - British '!$CD$8+'Septic Tank - British '!CJ27)</f>
        <v>4536.8596453085693</v>
      </c>
      <c r="R110">
        <v>1660</v>
      </c>
    </row>
    <row r="111" spans="2:18" ht="15" x14ac:dyDescent="0.25">
      <c r="B111" s="89"/>
      <c r="C111" t="s">
        <v>51</v>
      </c>
      <c r="D111" s="1">
        <v>70</v>
      </c>
      <c r="F111">
        <v>2.81</v>
      </c>
      <c r="I111" s="3">
        <f t="shared" si="37"/>
        <v>19.307495213938857</v>
      </c>
      <c r="L111" s="5">
        <f>($L$105/'Septic Tank - British '!$CE$22)*'Septic Tank - British '!CE28</f>
        <v>202.63291139240502</v>
      </c>
      <c r="M111" s="5">
        <f>($M$116/'Septic Tank - British '!$CG$22)*('Septic Tank - British '!$CE$7+'Septic Tank - British '!CG28)</f>
        <v>3879.2197066180552</v>
      </c>
      <c r="N111" s="5">
        <f>($N$105/'Septic Tank - British '!$CH$22)*'Septic Tank - British '!CH28</f>
        <v>754.3888888888888</v>
      </c>
      <c r="O111" s="5">
        <f>($O$105/'Septic Tank - British '!$CF$40)*'Septic Tank - British '!CF46</f>
        <v>169.49733222198046</v>
      </c>
      <c r="P111" s="5">
        <f>($P$105/'Septic Tank - British '!$CM$22)*'Septic Tank - British '!CM28</f>
        <v>7698.181818181818</v>
      </c>
      <c r="Q111" s="5">
        <f>($Q$105/('Septic Tank - British '!$CJ$22+'Septic Tank - British '!$CD$8))*('Septic Tank - British '!$CD$8+'Septic Tank - British '!CJ28)</f>
        <v>4943.5745566357118</v>
      </c>
      <c r="R111">
        <v>1660</v>
      </c>
    </row>
    <row r="112" spans="2:18" ht="15" x14ac:dyDescent="0.25">
      <c r="B112" s="89"/>
      <c r="C112" t="s">
        <v>51</v>
      </c>
      <c r="D112" s="1">
        <v>80</v>
      </c>
      <c r="F112">
        <v>2.81</v>
      </c>
      <c r="I112" s="3">
        <f t="shared" si="37"/>
        <v>20.824811948591705</v>
      </c>
      <c r="L112" s="5">
        <f>($L$105/'Septic Tank - British '!$CE$22)*'Septic Tank - British '!CE29</f>
        <v>220.1012658227848</v>
      </c>
      <c r="M112" s="5">
        <f>($M$116/'Septic Tank - British '!$CG$22)*('Septic Tank - British '!$CE$7+'Septic Tank - British '!CG29)</f>
        <v>4321.1016510624995</v>
      </c>
      <c r="N112" s="5">
        <f>($N$105/'Septic Tank - British '!$CH$22)*'Septic Tank - British '!CH29</f>
        <v>855.625</v>
      </c>
      <c r="O112" s="5">
        <f>($O$105/'Septic Tank - British '!$CF$40)*'Septic Tank - British '!CF47</f>
        <v>188.46420066626098</v>
      </c>
      <c r="P112" s="5">
        <f>($P$105/'Septic Tank - British '!$CM$22)*'Septic Tank - British '!CM29</f>
        <v>8330.9090909090901</v>
      </c>
      <c r="Q112" s="5">
        <f>($Q$105/('Septic Tank - British '!$CJ$22+'Septic Tank - British '!$CD$8))*('Septic Tank - British '!$CD$8+'Septic Tank - British '!CJ29)</f>
        <v>5248.6107401310683</v>
      </c>
      <c r="R112">
        <v>1660</v>
      </c>
    </row>
    <row r="113" spans="2:18" ht="15" x14ac:dyDescent="0.25">
      <c r="B113" s="89"/>
      <c r="C113" t="s">
        <v>51</v>
      </c>
      <c r="D113" s="1">
        <v>90</v>
      </c>
      <c r="F113">
        <v>2.81</v>
      </c>
      <c r="I113" s="3">
        <f t="shared" si="37"/>
        <v>22.366306725968265</v>
      </c>
      <c r="L113" s="5">
        <f>($L$105/'Septic Tank - British '!$CE$22)*'Septic Tank - British '!CE30</f>
        <v>240.60089352196576</v>
      </c>
      <c r="M113" s="5">
        <f>($M$116/'Septic Tank - British '!$CG$22)*('Septic Tank - British '!$CE$7+'Septic Tank - British '!CG30)</f>
        <v>4779.6250885625004</v>
      </c>
      <c r="N113" s="5">
        <f>($N$105/'Septic Tank - British '!$CH$22)*'Septic Tank - British '!CH30</f>
        <v>960.67371323529414</v>
      </c>
      <c r="O113" s="5">
        <f>($O$105/'Septic Tank - British '!$CF$40)*'Septic Tank - British '!CF48</f>
        <v>208.12374338571885</v>
      </c>
      <c r="P113" s="5">
        <f>($P$105/'Septic Tank - British '!$CM$22)*'Septic Tank - British '!CM30</f>
        <v>8963.6363636363621</v>
      </c>
      <c r="Q113" s="5">
        <f>($Q$105/('Septic Tank - British '!$CJ$22+'Septic Tank - British '!$CD$8))*('Septic Tank - British '!$CD$8+'Septic Tank - British '!CJ30)</f>
        <v>5553.6469236264247</v>
      </c>
      <c r="R113">
        <v>1660</v>
      </c>
    </row>
    <row r="114" spans="2:18" ht="15" x14ac:dyDescent="0.25">
      <c r="B114" s="89"/>
      <c r="C114" t="s">
        <v>51</v>
      </c>
      <c r="D114" s="1">
        <v>100</v>
      </c>
      <c r="F114">
        <v>2.81</v>
      </c>
      <c r="I114" s="3">
        <f t="shared" si="37"/>
        <v>24.220876644019366</v>
      </c>
      <c r="L114" s="5">
        <f>($L$105/'Septic Tank - British '!$CE$22)*'Septic Tank - British '!CE31</f>
        <v>261.19786808794134</v>
      </c>
      <c r="M114" s="5">
        <f>($M$116/'Septic Tank - British '!$CG$22)*('Septic Tank - British '!$CE$7+'Septic Tank - British '!CG31)</f>
        <v>5238.3047760624995</v>
      </c>
      <c r="N114" s="5">
        <f>($N$105/'Septic Tank - British '!$CH$22)*'Septic Tank - British '!CH31</f>
        <v>1065.7582236842104</v>
      </c>
      <c r="O114" s="5">
        <f>($O$105/'Septic Tank - British '!$CF$40)*'Septic Tank - British '!CF49</f>
        <v>227.98121395841744</v>
      </c>
      <c r="P114" s="5">
        <f>($P$105/'Septic Tank - British '!$CM$22)*'Septic Tank - British '!CM31</f>
        <v>9807.2727272727279</v>
      </c>
      <c r="Q114" s="5">
        <f>($Q$105/('Septic Tank - British '!$CJ$22+'Septic Tank - British '!$CD$8))*('Septic Tank - British '!$CD$8+'Septic Tank - British '!CJ31)</f>
        <v>5960.3618349535673</v>
      </c>
      <c r="R114">
        <v>1660</v>
      </c>
    </row>
    <row r="115" spans="2:18" x14ac:dyDescent="0.2">
      <c r="B115" s="89"/>
    </row>
    <row r="116" spans="2:18" ht="15" x14ac:dyDescent="0.25">
      <c r="B116" s="89"/>
      <c r="C116" t="s">
        <v>39</v>
      </c>
      <c r="D116" s="1">
        <v>12</v>
      </c>
      <c r="F116">
        <v>10.7</v>
      </c>
      <c r="G116">
        <v>5.44</v>
      </c>
      <c r="H116">
        <v>0.90400000000000003</v>
      </c>
      <c r="I116" s="3">
        <f>SUM(L116:R116)/1000</f>
        <v>17.072299999999998</v>
      </c>
      <c r="J116" s="4">
        <f t="shared" ref="J116" si="38">SUM(F116:H116)-I116</f>
        <v>-2.8299999999997993E-2</v>
      </c>
      <c r="L116" s="5">
        <v>82.8</v>
      </c>
      <c r="M116">
        <v>646</v>
      </c>
      <c r="N116" s="5">
        <v>148</v>
      </c>
      <c r="O116" s="5">
        <v>55.5</v>
      </c>
      <c r="P116" s="5">
        <v>3480</v>
      </c>
      <c r="Q116">
        <v>11000</v>
      </c>
      <c r="R116">
        <v>1660</v>
      </c>
    </row>
    <row r="117" spans="2:18" ht="15" x14ac:dyDescent="0.25">
      <c r="B117" s="89"/>
      <c r="C117" t="s">
        <v>39</v>
      </c>
      <c r="D117" s="1">
        <v>20</v>
      </c>
      <c r="F117">
        <v>10.7</v>
      </c>
      <c r="G117" s="3">
        <f>(P117+(Q117*('Septic Tank - British '!CW12/('Septic Tank - British '!$CQ$8+'Septic Tank - British '!CW12)))+(O117*('Septic Tank - British '!CY30/'Septic Tank - British '!CS30)))/1000</f>
        <v>4.1399725578626612</v>
      </c>
      <c r="I117" s="3">
        <f t="shared" ref="I117:I125" si="39">SUM(L117:R117)/1000</f>
        <v>18.508438349663695</v>
      </c>
      <c r="L117" s="5">
        <v>100.87974683544304</v>
      </c>
      <c r="M117" s="5">
        <f>($M$116/'Septic Tank - British '!$CG$22)*'Septic Tank - British '!CG23</f>
        <v>1013.16015625</v>
      </c>
      <c r="N117" s="5">
        <v>232.1171875</v>
      </c>
      <c r="O117" s="5">
        <v>71.35669916411122</v>
      </c>
      <c r="P117" s="5">
        <v>4112.727272727273</v>
      </c>
      <c r="Q117" s="5">
        <f>($Q$105/('Septic Tank - British '!$CJ$22+'Septic Tank - British '!$CD$8))*('Septic Tank - British '!$CD$14+'Septic Tank - British '!CJ23)</f>
        <v>11318.197287186866</v>
      </c>
      <c r="R117">
        <v>1660</v>
      </c>
    </row>
    <row r="118" spans="2:18" ht="15" x14ac:dyDescent="0.25">
      <c r="B118" s="89"/>
      <c r="C118" t="s">
        <v>39</v>
      </c>
      <c r="D118" s="1">
        <v>30</v>
      </c>
      <c r="F118">
        <v>10.7</v>
      </c>
      <c r="I118" s="3">
        <f t="shared" si="39"/>
        <v>20.051338641233816</v>
      </c>
      <c r="L118" s="5">
        <v>121.84177215189872</v>
      </c>
      <c r="M118" s="5">
        <f>($M$116/'Septic Tank - British '!$CG$22)*'Septic Tank - British '!CG24</f>
        <v>1472.42578125</v>
      </c>
      <c r="N118" s="5">
        <v>337.3359375</v>
      </c>
      <c r="O118" s="5">
        <v>91.047134195147834</v>
      </c>
      <c r="P118" s="5">
        <v>4745.454545454545</v>
      </c>
      <c r="Q118" s="5">
        <f>($Q$105/('Septic Tank - British '!$CJ$22+'Septic Tank - British '!$CD$8))*('Septic Tank - British '!$CD$14+'Septic Tank - British '!CJ24)</f>
        <v>11623.233470682222</v>
      </c>
      <c r="R118">
        <v>1660</v>
      </c>
    </row>
    <row r="119" spans="2:18" ht="15" x14ac:dyDescent="0.25">
      <c r="B119" s="89"/>
      <c r="C119" t="s">
        <v>39</v>
      </c>
      <c r="D119" s="1">
        <v>40</v>
      </c>
      <c r="F119">
        <v>10.7</v>
      </c>
      <c r="I119" s="3">
        <f t="shared" si="39"/>
        <v>21.575292526245132</v>
      </c>
      <c r="L119" s="5">
        <v>141.49367088607593</v>
      </c>
      <c r="M119" s="5">
        <f>($M$116/'Septic Tank - British '!$CG$22)*'Septic Tank - British '!CG25</f>
        <v>1917.8125</v>
      </c>
      <c r="N119" s="5">
        <v>439.375</v>
      </c>
      <c r="O119" s="5">
        <v>110.15988299966142</v>
      </c>
      <c r="P119" s="5">
        <v>5378.181818181818</v>
      </c>
      <c r="Q119" s="5">
        <f>($Q$105/('Septic Tank - British '!$CJ$22+'Septic Tank - British '!$CD$8))*('Septic Tank - British '!$CD$14+'Septic Tank - British '!CJ25)</f>
        <v>11928.269654177579</v>
      </c>
      <c r="R119">
        <v>1660</v>
      </c>
    </row>
    <row r="120" spans="2:18" ht="15" x14ac:dyDescent="0.25">
      <c r="B120" s="89"/>
      <c r="C120" t="s">
        <v>39</v>
      </c>
      <c r="D120" s="1">
        <v>50</v>
      </c>
      <c r="F120">
        <v>10.7</v>
      </c>
      <c r="I120" s="3">
        <f t="shared" si="39"/>
        <v>23.428456930102673</v>
      </c>
      <c r="L120" s="5">
        <v>161.6282478347768</v>
      </c>
      <c r="M120" s="5">
        <f>($M$116/'Septic Tank - British '!$CG$22)*'Septic Tank - British '!CG26</f>
        <v>2375.75</v>
      </c>
      <c r="N120" s="5">
        <v>544.28947368421052</v>
      </c>
      <c r="O120" s="5">
        <v>129.98646126078123</v>
      </c>
      <c r="P120" s="5">
        <v>6221.818181818182</v>
      </c>
      <c r="Q120" s="5">
        <f>($Q$105/('Septic Tank - British '!$CJ$22+'Septic Tank - British '!$CD$8))*('Septic Tank - British '!$CD$14+'Septic Tank - British '!CJ26)</f>
        <v>12334.984565504719</v>
      </c>
      <c r="R120">
        <v>1660</v>
      </c>
    </row>
    <row r="121" spans="2:18" ht="15" x14ac:dyDescent="0.25">
      <c r="B121" s="89"/>
      <c r="C121" t="s">
        <v>39</v>
      </c>
      <c r="D121" s="1">
        <v>60</v>
      </c>
      <c r="F121">
        <v>10.7</v>
      </c>
      <c r="I121" s="3">
        <f t="shared" si="39"/>
        <v>24.969716919067039</v>
      </c>
      <c r="L121" s="5">
        <v>182.05063291139243</v>
      </c>
      <c r="M121" s="5">
        <f>($M$116/'Septic Tank - British '!$CG$22)*'Septic Tank - British '!CG27</f>
        <v>2834.149456521739</v>
      </c>
      <c r="N121" s="5">
        <v>649.30978260869563</v>
      </c>
      <c r="O121" s="5">
        <v>149.64084347967787</v>
      </c>
      <c r="P121" s="5">
        <v>6854.545454545454</v>
      </c>
      <c r="Q121" s="5">
        <f>($Q$105/('Septic Tank - British '!$CJ$22+'Septic Tank - British '!$CD$8))*('Septic Tank - British '!$CD$14+'Septic Tank - British '!CJ27)</f>
        <v>12640.020749000078</v>
      </c>
      <c r="R121">
        <v>1660</v>
      </c>
    </row>
    <row r="122" spans="2:18" ht="15" x14ac:dyDescent="0.25">
      <c r="B122" s="89"/>
      <c r="C122" t="s">
        <v>39</v>
      </c>
      <c r="D122" s="1">
        <v>70</v>
      </c>
      <c r="F122">
        <v>10.7</v>
      </c>
      <c r="I122" s="3">
        <f t="shared" si="39"/>
        <v>26.824242166567867</v>
      </c>
      <c r="L122" s="5">
        <v>202.63291139240502</v>
      </c>
      <c r="M122" s="5">
        <f>($M$116/'Septic Tank - British '!$CG$22)*'Septic Tank - British '!CG28</f>
        <v>3292.8055555555547</v>
      </c>
      <c r="N122" s="5">
        <v>754.3888888888888</v>
      </c>
      <c r="O122" s="5">
        <v>169.49733222198046</v>
      </c>
      <c r="P122" s="5">
        <v>7698.181818181818</v>
      </c>
      <c r="Q122" s="5">
        <f>($Q$105/('Septic Tank - British '!$CJ$22+'Septic Tank - British '!$CD$8))*('Septic Tank - British '!$CD$14+'Septic Tank - British '!CJ28)</f>
        <v>13046.73566032722</v>
      </c>
      <c r="R122">
        <v>1660</v>
      </c>
    </row>
    <row r="123" spans="2:18" ht="15" x14ac:dyDescent="0.25">
      <c r="B123" s="89"/>
      <c r="C123" t="s">
        <v>39</v>
      </c>
      <c r="D123" s="1">
        <v>80</v>
      </c>
      <c r="F123">
        <v>10.7</v>
      </c>
      <c r="I123" s="3">
        <f t="shared" si="39"/>
        <v>28.341558901220711</v>
      </c>
      <c r="L123" s="5">
        <v>220.1012658227848</v>
      </c>
      <c r="M123" s="5">
        <f>($M$116/'Septic Tank - British '!$CG$22)*'Septic Tank - British '!CG29</f>
        <v>3734.6875</v>
      </c>
      <c r="N123" s="5">
        <v>855.625</v>
      </c>
      <c r="O123" s="5">
        <v>188.46420066626098</v>
      </c>
      <c r="P123" s="5">
        <v>8330.9090909090901</v>
      </c>
      <c r="Q123" s="5">
        <f>($Q$105/('Septic Tank - British '!$CJ$22+'Septic Tank - British '!$CD$8))*('Septic Tank - British '!$CD$14+'Septic Tank - British '!CJ29)</f>
        <v>13351.771843822577</v>
      </c>
      <c r="R123">
        <v>1660</v>
      </c>
    </row>
    <row r="124" spans="2:18" ht="15" x14ac:dyDescent="0.25">
      <c r="B124" s="89"/>
      <c r="C124" t="s">
        <v>39</v>
      </c>
      <c r="D124" s="1">
        <v>90</v>
      </c>
      <c r="F124">
        <v>10.7</v>
      </c>
      <c r="I124" s="3">
        <f t="shared" si="39"/>
        <v>29.883053678597271</v>
      </c>
      <c r="L124" s="5">
        <v>240.60089352196576</v>
      </c>
      <c r="M124" s="5">
        <f>($M$116/'Septic Tank - British '!$CG$22)*'Septic Tank - British '!CG30</f>
        <v>4193.2109375</v>
      </c>
      <c r="N124" s="5">
        <v>960.67371323529414</v>
      </c>
      <c r="O124" s="5">
        <v>208.12374338571885</v>
      </c>
      <c r="P124" s="5">
        <v>8963.6363636363621</v>
      </c>
      <c r="Q124" s="5">
        <f>($Q$105/('Septic Tank - British '!$CJ$22+'Septic Tank - British '!$CD$8))*('Septic Tank - British '!$CD$14+'Septic Tank - British '!CJ30)</f>
        <v>13656.808027317933</v>
      </c>
      <c r="R124">
        <v>1660</v>
      </c>
    </row>
    <row r="125" spans="2:18" ht="15" x14ac:dyDescent="0.25">
      <c r="B125" s="106"/>
      <c r="C125" t="s">
        <v>39</v>
      </c>
      <c r="D125" s="1">
        <v>100</v>
      </c>
      <c r="F125">
        <v>10.7</v>
      </c>
      <c r="I125" s="3">
        <f t="shared" si="39"/>
        <v>31.737623596648373</v>
      </c>
      <c r="L125" s="5">
        <v>261.19786808794134</v>
      </c>
      <c r="M125" s="5">
        <f>($M$116/'Septic Tank - British '!$CG$22)*'Septic Tank - British '!CG31</f>
        <v>4651.890625</v>
      </c>
      <c r="N125" s="5">
        <v>1065.7582236842104</v>
      </c>
      <c r="O125" s="5">
        <v>227.98121395841744</v>
      </c>
      <c r="P125" s="5">
        <v>9807.2727272727279</v>
      </c>
      <c r="Q125" s="5">
        <f>($Q$105/('Septic Tank - British '!$CJ$22+'Septic Tank - British '!$CD$8))*('Septic Tank - British '!$CD$14+'Septic Tank - British '!CJ31)</f>
        <v>14063.522938645074</v>
      </c>
      <c r="R125">
        <v>1660</v>
      </c>
    </row>
    <row r="127" spans="2:18" ht="15" x14ac:dyDescent="0.25">
      <c r="B127" s="88">
        <v>100</v>
      </c>
      <c r="C127" t="s">
        <v>51</v>
      </c>
      <c r="D127" s="1">
        <v>12</v>
      </c>
      <c r="F127" s="3">
        <f>F128</f>
        <v>4.7733132892170547</v>
      </c>
      <c r="G127" s="3">
        <f>(P127+(Q127*('Septic Tank - British '!CW22/('Septic Tank - British '!$CQ$8+'Septic Tank - British '!CW22)))+(O127*('Septic Tank - British '!CY40/'Septic Tank - British '!CS40)))/1000</f>
        <v>5.7870023047906631</v>
      </c>
      <c r="H127" s="3">
        <f>I127-G127-F127</f>
        <v>0.77440279567033077</v>
      </c>
      <c r="I127" s="3">
        <f>SUM(L127:R127)/1000</f>
        <v>11.334718389678049</v>
      </c>
      <c r="J127" s="4">
        <f t="shared" ref="J127:J136" si="40">SUM(F127:H127)-I127</f>
        <v>0</v>
      </c>
      <c r="L127" s="5">
        <v>94.9</v>
      </c>
      <c r="M127" s="5">
        <f>($M$138/'Septic Tank - British '!$CT$22)*('Septic Tank - British '!$CR$7+'Septic Tank - British '!CT22)</f>
        <v>1863.0183896780484</v>
      </c>
      <c r="N127" s="5">
        <v>190</v>
      </c>
      <c r="O127" s="5">
        <v>76.8</v>
      </c>
      <c r="P127" s="5">
        <v>3690</v>
      </c>
      <c r="Q127" s="5">
        <v>3210</v>
      </c>
      <c r="R127">
        <v>2210</v>
      </c>
    </row>
    <row r="128" spans="2:18" ht="15" x14ac:dyDescent="0.25">
      <c r="B128" s="89"/>
      <c r="C128" t="s">
        <v>51</v>
      </c>
      <c r="D128" s="1">
        <v>20</v>
      </c>
      <c r="F128" s="3">
        <f>(R128+(Q128*('Septic Tank - British '!$CQ$8/('Septic Tank - British '!CW22+'Septic Tank - British '!$CQ$8)))+(M128*('Septic Tank - British '!$CR$7/('Septic Tank - British '!CT22+'Septic Tank - British '!$CR$7))))/1000</f>
        <v>4.7733132892170547</v>
      </c>
      <c r="G128" s="3">
        <f>(P128+(Q128*('Septic Tank - British '!CW23/('Septic Tank - British '!$CQ$8+'Septic Tank - British '!CW23)))+(O128*('Septic Tank - British '!CY41/'Septic Tank - British '!CS41)))/1000</f>
        <v>7.0396020576418028</v>
      </c>
      <c r="H128" s="3">
        <f>I128-G128-F128</f>
        <v>1.4115489643340924</v>
      </c>
      <c r="I128" s="3">
        <f t="shared" ref="I128:I136" si="41">SUM(L128:R128)/1000</f>
        <v>13.22446431119295</v>
      </c>
      <c r="J128" s="4">
        <f t="shared" si="40"/>
        <v>0</v>
      </c>
      <c r="L128" s="5">
        <f>($L$127/'Septic Tank - British '!$CR$22)*'Septic Tank - British '!CR23</f>
        <v>115.98888888888889</v>
      </c>
      <c r="M128" s="5">
        <f>($M$138/'Septic Tank - British '!$CT$22)*('Septic Tank - British '!$CR$7+'Septic Tank - British '!CT23)</f>
        <v>2347.7013165073167</v>
      </c>
      <c r="N128" s="5">
        <f>($N$127/'Septic Tank - British '!$CV$22)*'Septic Tank - British '!CV23</f>
        <v>301.21951219512204</v>
      </c>
      <c r="O128" s="5">
        <f>($O$127/'Septic Tank - British '!$CS$40)*'Septic Tank - British '!CS41</f>
        <v>97.720094860225416</v>
      </c>
      <c r="P128" s="5">
        <f>($P$127/'Septic Tank - British '!$CZ$22)*'Septic Tank - British '!CZ23</f>
        <v>4533.4285714285716</v>
      </c>
      <c r="Q128" s="5">
        <f>($Q$127/('Septic Tank - British '!$CW$22+'Septic Tank - British '!$CQ$8))*('Septic Tank - British '!$CQ$8+'Septic Tank - British '!CW23)</f>
        <v>3618.4059273128237</v>
      </c>
      <c r="R128">
        <v>2210</v>
      </c>
    </row>
    <row r="129" spans="2:18" ht="15" x14ac:dyDescent="0.25">
      <c r="B129" s="89"/>
      <c r="C129" t="s">
        <v>51</v>
      </c>
      <c r="D129" s="1">
        <v>30</v>
      </c>
      <c r="F129" s="3">
        <f>(R129+(Q129*('Septic Tank - British '!$CQ$8/('Septic Tank - British '!CW23+'Septic Tank - British '!$CQ$8)))+(M129*('Septic Tank - British '!$CR$7/('Septic Tank - British '!CT23+'Septic Tank - British '!$CR$7))))/1000</f>
        <v>4.7551030619767838</v>
      </c>
      <c r="G129" s="3">
        <f>(P129+(Q129*('Septic Tank - British '!CW24/('Septic Tank - British '!$CQ$8+'Septic Tank - British '!CW24)))+(O129*('Septic Tank - British '!CY42/'Septic Tank - British '!CS42)))/1000</f>
        <v>8.2922018104929442</v>
      </c>
      <c r="H129" s="3">
        <f t="shared" ref="H129:H136" si="42">I129-G129-F129</f>
        <v>2.2261919024040617</v>
      </c>
      <c r="I129" s="3">
        <f t="shared" si="41"/>
        <v>15.27349677487379</v>
      </c>
      <c r="J129" s="4">
        <f t="shared" si="40"/>
        <v>0</v>
      </c>
      <c r="L129" s="5">
        <f>($L$127/'Septic Tank - British '!$CR$22)*'Septic Tank - British '!CR24</f>
        <v>142.35</v>
      </c>
      <c r="M129" s="5">
        <f>($M$138/'Septic Tank - British '!$CT$22)*('Septic Tank - British '!$CR$7+'Septic Tank - British '!CT24)</f>
        <v>2953.5549750439022</v>
      </c>
      <c r="N129" s="5">
        <f>($N$127/'Septic Tank - British '!$CV$22)*'Septic Tank - British '!CV24</f>
        <v>440.24390243902451</v>
      </c>
      <c r="O129" s="5">
        <f>($O$127/'Septic Tank - British '!$CS$40)*'Septic Tank - British '!CS42</f>
        <v>123.678899908071</v>
      </c>
      <c r="P129" s="5">
        <f>($P$127/'Septic Tank - British '!$CZ$22)*'Septic Tank - British '!CZ24</f>
        <v>5376.8571428571431</v>
      </c>
      <c r="Q129" s="5">
        <f>($Q$127/('Septic Tank - British '!$CW$22+'Septic Tank - British '!$CQ$8))*('Septic Tank - British '!$CQ$8+'Septic Tank - British '!CW24)</f>
        <v>4026.8118546256478</v>
      </c>
      <c r="R129">
        <v>2210</v>
      </c>
    </row>
    <row r="130" spans="2:18" ht="15" x14ac:dyDescent="0.25">
      <c r="B130" s="89"/>
      <c r="C130" t="s">
        <v>51</v>
      </c>
      <c r="D130" s="1">
        <v>40</v>
      </c>
      <c r="F130" s="3">
        <f>(R130+(Q130*('Septic Tank - British '!$CQ$8/('Septic Tank - British '!CW24+'Septic Tank - British '!$CQ$8)))+(M130*('Septic Tank - British '!$CR$7/('Septic Tank - British '!CT24+'Septic Tank - British '!$CR$7))))/1000</f>
        <v>4.7158479522197494</v>
      </c>
      <c r="G130" s="3">
        <f>(P130+(Q130*('Septic Tank - British '!CW25/('Septic Tank - British '!$CQ$8+'Septic Tank - British '!CW25)))+(O130*('Septic Tank - British '!CY43/'Septic Tank - British '!CS43)))/1000</f>
        <v>9.8579515015568688</v>
      </c>
      <c r="H130" s="3">
        <f t="shared" si="42"/>
        <v>3.0618797229907928</v>
      </c>
      <c r="I130" s="3">
        <f t="shared" si="41"/>
        <v>17.635679176767411</v>
      </c>
      <c r="J130" s="4">
        <f t="shared" si="40"/>
        <v>0</v>
      </c>
      <c r="L130" s="5">
        <f>($L$127/'Septic Tank - British '!$CR$22)*'Septic Tank - British '!CR25</f>
        <v>168.71111111111111</v>
      </c>
      <c r="M130" s="5">
        <f>($M$138/'Septic Tank - British '!$CT$22)*('Septic Tank - British '!$CR$7+'Septic Tank - British '!CT25)</f>
        <v>3559.4086335804873</v>
      </c>
      <c r="N130" s="5">
        <f>($N$127/'Septic Tank - British '!$CV$22)*'Septic Tank - British '!CV25</f>
        <v>579.26829268292693</v>
      </c>
      <c r="O130" s="5">
        <f>($O$127/'Septic Tank - British '!$CS$40)*'Septic Tank - British '!CS43</f>
        <v>149.82901848335277</v>
      </c>
      <c r="P130" s="5">
        <f>($P$127/'Septic Tank - British '!$CZ$22)*'Septic Tank - British '!CZ25</f>
        <v>6431.1428571428578</v>
      </c>
      <c r="Q130" s="5">
        <f>($Q$127/('Septic Tank - British '!$CW$22+'Septic Tank - British '!$CQ$8))*('Septic Tank - British '!$CQ$8+'Septic Tank - British '!CW25)</f>
        <v>4537.3192637666771</v>
      </c>
      <c r="R130">
        <v>2210</v>
      </c>
    </row>
    <row r="131" spans="2:18" ht="15" x14ac:dyDescent="0.25">
      <c r="B131" s="89"/>
      <c r="C131" t="s">
        <v>51</v>
      </c>
      <c r="D131" s="1">
        <v>50</v>
      </c>
      <c r="F131" s="3">
        <f>(R131+(Q131*('Septic Tank - British '!$CQ$8/('Septic Tank - British '!CW25+'Septic Tank - British '!$CQ$8)))+(M131*('Septic Tank - British '!$CR$7/('Septic Tank - British '!CT25+'Septic Tank - British '!$CR$7))))/1000</f>
        <v>4.6386448282579824</v>
      </c>
      <c r="G131" s="3">
        <f>(P131+(Q131*('Septic Tank - British '!CW26/('Septic Tank - British '!$CQ$8+'Septic Tank - British '!CW26)))+(O131*('Septic Tank - British '!CY44/'Septic Tank - British '!CS44)))/1000</f>
        <v>11.110551254408009</v>
      </c>
      <c r="H131" s="3">
        <f t="shared" si="42"/>
        <v>3.9355155577822654</v>
      </c>
      <c r="I131" s="3">
        <f t="shared" si="41"/>
        <v>19.684711640448256</v>
      </c>
      <c r="J131" s="4">
        <f t="shared" si="40"/>
        <v>0</v>
      </c>
      <c r="L131" s="5">
        <f>($L$127/'Septic Tank - British '!$CR$22)*'Septic Tank - British '!CR26</f>
        <v>195.07222222222222</v>
      </c>
      <c r="M131" s="5">
        <f>($M$138/'Septic Tank - British '!$CT$22)*('Septic Tank - British '!$CR$7+'Septic Tank - British '!CT26)</f>
        <v>4165.2622921170732</v>
      </c>
      <c r="N131" s="5">
        <f>($N$127/'Septic Tank - British '!$CV$22)*'Septic Tank - British '!CV26</f>
        <v>718.29268292682934</v>
      </c>
      <c r="O131" s="5">
        <f>($O$127/'Septic Tank - British '!$CS$40)*'Septic Tank - British '!CS44</f>
        <v>175.78782353119837</v>
      </c>
      <c r="P131" s="5">
        <f>($P$127/'Septic Tank - British '!$CZ$22)*'Septic Tank - British '!CZ26</f>
        <v>7274.5714285714294</v>
      </c>
      <c r="Q131" s="5">
        <f>($Q$127/('Septic Tank - British '!$CW$22+'Septic Tank - British '!$CQ$8))*('Septic Tank - British '!$CQ$8+'Septic Tank - British '!CW26)</f>
        <v>4945.7251910795012</v>
      </c>
      <c r="R131">
        <v>2210</v>
      </c>
    </row>
    <row r="132" spans="2:18" ht="15" x14ac:dyDescent="0.25">
      <c r="B132" s="89"/>
      <c r="C132" t="s">
        <v>51</v>
      </c>
      <c r="D132" s="1">
        <v>60</v>
      </c>
      <c r="F132" s="3">
        <f>(R132+(Q132*('Septic Tank - British '!$CQ$8/('Septic Tank - British '!CW26+'Septic Tank - British '!$CQ$8)))+(M132*('Septic Tank - British '!$CR$7/('Septic Tank - British '!CT26+'Septic Tank - British '!$CR$7))))/1000</f>
        <v>4.6277761007944473</v>
      </c>
      <c r="G132" s="3">
        <f>(P132+(Q132*('Septic Tank - British '!CW27/('Septic Tank - British '!$CQ$8+'Septic Tank - British '!CW27)))+(O132*('Septic Tank - British '!CY45/'Septic Tank - British '!CS45)))/1000</f>
        <v>12.676300945471937</v>
      </c>
      <c r="H132" s="3">
        <f t="shared" si="42"/>
        <v>4.7428169960754953</v>
      </c>
      <c r="I132" s="3">
        <f t="shared" si="41"/>
        <v>22.046894042341879</v>
      </c>
      <c r="J132" s="4">
        <f t="shared" si="40"/>
        <v>0</v>
      </c>
      <c r="L132" s="5">
        <f>($L$127/'Septic Tank - British '!$CR$22)*'Septic Tank - British '!CR27</f>
        <v>221.43333333333334</v>
      </c>
      <c r="M132" s="5">
        <f>($M$138/'Septic Tank - British '!$CT$22)*('Septic Tank - British '!$CR$7+'Septic Tank - British '!CT27)</f>
        <v>4771.1159506536578</v>
      </c>
      <c r="N132" s="5">
        <f>($N$127/'Septic Tank - British '!$CV$22)*'Septic Tank - British '!CV27</f>
        <v>857.31707317073187</v>
      </c>
      <c r="O132" s="5">
        <f>($O$127/'Septic Tank - British '!$CS$40)*'Septic Tank - British '!CS45</f>
        <v>201.93794210648014</v>
      </c>
      <c r="P132" s="5">
        <f>($P$127/'Septic Tank - British '!$CZ$22)*'Septic Tank - British '!CZ27</f>
        <v>8328.8571428571431</v>
      </c>
      <c r="Q132" s="5">
        <f>($Q$127/('Septic Tank - British '!$CW$22+'Septic Tank - British '!$CQ$8))*('Septic Tank - British '!$CQ$8+'Septic Tank - British '!CW27)</f>
        <v>5456.2326002205318</v>
      </c>
      <c r="R132">
        <v>2210</v>
      </c>
    </row>
    <row r="133" spans="2:18" ht="15" x14ac:dyDescent="0.25">
      <c r="B133" s="89"/>
      <c r="C133" t="s">
        <v>51</v>
      </c>
      <c r="D133" s="1">
        <v>70</v>
      </c>
      <c r="F133" s="3">
        <f>(R133+(Q133*('Septic Tank - British '!$CQ$8/('Septic Tank - British '!CW27+'Septic Tank - British '!$CQ$8)))+(M133*('Septic Tank - British '!$CR$7/('Septic Tank - British '!CT27+'Septic Tank - British '!$CR$7))))/1000</f>
        <v>4.5769712619717069</v>
      </c>
      <c r="G133" s="3">
        <f>(P133+(Q133*('Septic Tank - British '!CW28/('Septic Tank - British '!$CQ$8+'Septic Tank - British '!CW28)))+(O133*('Septic Tank - British '!CY46/'Septic Tank - British '!CS46)))/1000</f>
        <v>13.928900698323076</v>
      </c>
      <c r="H133" s="3">
        <f t="shared" si="42"/>
        <v>5.5900545457279343</v>
      </c>
      <c r="I133" s="3">
        <f t="shared" si="41"/>
        <v>24.095926506022717</v>
      </c>
      <c r="J133" s="4">
        <f t="shared" si="40"/>
        <v>0</v>
      </c>
      <c r="L133" s="5">
        <f>($L$127/'Septic Tank - British '!$CR$22)*'Septic Tank - British '!CR28</f>
        <v>247.79444444444445</v>
      </c>
      <c r="M133" s="5">
        <f>($M$138/'Septic Tank - British '!$CT$22)*('Septic Tank - British '!$CR$7+'Septic Tank - British '!CT28)</f>
        <v>5376.9696091902433</v>
      </c>
      <c r="N133" s="5">
        <f>($N$127/'Septic Tank - British '!$CV$22)*'Septic Tank - British '!CV28</f>
        <v>996.3414634146344</v>
      </c>
      <c r="O133" s="5">
        <f>($O$127/'Septic Tank - British '!$CS$40)*'Septic Tank - British '!CS46</f>
        <v>227.89674715432574</v>
      </c>
      <c r="P133" s="5">
        <f>($P$127/'Septic Tank - British '!$CZ$22)*'Septic Tank - British '!CZ28</f>
        <v>9172.2857142857156</v>
      </c>
      <c r="Q133" s="5">
        <f>($Q$127/('Septic Tank - British '!$CW$22+'Septic Tank - British '!$CQ$8))*('Septic Tank - British '!$CQ$8+'Septic Tank - British '!CW28)</f>
        <v>5864.638527533355</v>
      </c>
      <c r="R133">
        <v>2210</v>
      </c>
    </row>
    <row r="134" spans="2:18" ht="15" x14ac:dyDescent="0.25">
      <c r="B134" s="89"/>
      <c r="C134" t="s">
        <v>51</v>
      </c>
      <c r="D134" s="1">
        <v>80</v>
      </c>
      <c r="F134" s="3">
        <f>(R134+(Q134*('Septic Tank - British '!$CQ$8/('Septic Tank - British '!CW28+'Septic Tank - British '!$CQ$8)))+(M134*('Septic Tank - British '!$CR$7/('Septic Tank - British '!CT28+'Septic Tank - British '!$CR$7))))/1000</f>
        <v>4.5757854714638038</v>
      </c>
      <c r="G134" s="3">
        <f>(P134+(Q134*('Septic Tank - British '!CW29/('Septic Tank - British '!$CQ$8+'Septic Tank - British '!CW29)))+(O134*('Septic Tank - British '!CY47/'Septic Tank - British '!CS47)))/1000</f>
        <v>15.494650389386999</v>
      </c>
      <c r="H134" s="3">
        <f t="shared" si="42"/>
        <v>6.3876730470655412</v>
      </c>
      <c r="I134" s="3">
        <f t="shared" si="41"/>
        <v>26.458108907916344</v>
      </c>
      <c r="J134" s="4">
        <f t="shared" si="40"/>
        <v>0</v>
      </c>
      <c r="L134" s="5">
        <f>($L$127/'Septic Tank - British '!$CR$22)*'Septic Tank - British '!CR29</f>
        <v>274.15555555555557</v>
      </c>
      <c r="M134" s="5">
        <f>($M$138/'Septic Tank - British '!$CT$22)*('Septic Tank - British '!$CR$7+'Septic Tank - British '!CT29)</f>
        <v>5982.8232677268288</v>
      </c>
      <c r="N134" s="5">
        <f>($N$127/'Septic Tank - British '!$CV$22)*'Septic Tank - British '!CV29</f>
        <v>1135.3658536585367</v>
      </c>
      <c r="O134" s="5">
        <f>($O$127/'Septic Tank - British '!$CS$40)*'Septic Tank - British '!CS47</f>
        <v>254.0468657296075</v>
      </c>
      <c r="P134" s="5">
        <f>($P$127/'Septic Tank - British '!$CZ$22)*'Septic Tank - British '!CZ29</f>
        <v>10226.571428571429</v>
      </c>
      <c r="Q134" s="5">
        <f>($Q$127/('Septic Tank - British '!$CW$22+'Septic Tank - British '!$CQ$8))*('Septic Tank - British '!$CQ$8+'Septic Tank - British '!CW29)</f>
        <v>6375.1459366743838</v>
      </c>
      <c r="R134">
        <v>2210</v>
      </c>
    </row>
    <row r="135" spans="2:18" ht="15" x14ac:dyDescent="0.25">
      <c r="B135" s="89"/>
      <c r="C135" t="s">
        <v>51</v>
      </c>
      <c r="D135" s="1">
        <v>90</v>
      </c>
      <c r="F135" s="3">
        <f>(R135+(Q135*('Septic Tank - British '!$CQ$8/('Septic Tank - British '!CW29+'Septic Tank - British '!$CQ$8)))+(M135*('Septic Tank - British '!$CR$7/('Septic Tank - British '!CT29+'Septic Tank - British '!$CR$7))))/1000</f>
        <v>4.5383020164405634</v>
      </c>
      <c r="G135" s="3">
        <f>(P135+(Q135*('Septic Tank - British '!CW30/('Septic Tank - British '!$CQ$8+'Septic Tank - British '!CW30)))+(O135*('Septic Tank - British '!CY48/'Septic Tank - British '!CS48)))/1000</f>
        <v>16.747250142238137</v>
      </c>
      <c r="H135" s="3">
        <f t="shared" si="42"/>
        <v>7.2215892129184782</v>
      </c>
      <c r="I135" s="3">
        <f t="shared" si="41"/>
        <v>28.507141371597179</v>
      </c>
      <c r="J135" s="4">
        <f t="shared" si="40"/>
        <v>0</v>
      </c>
      <c r="L135" s="5">
        <f>($L$127/'Septic Tank - British '!$CR$22)*'Septic Tank - British '!CR30</f>
        <v>300.51666666666665</v>
      </c>
      <c r="M135" s="5">
        <f>($M$138/'Septic Tank - British '!$CT$22)*('Septic Tank - British '!$CR$7+'Septic Tank - British '!CT30)</f>
        <v>6588.6769262634143</v>
      </c>
      <c r="N135" s="5">
        <f>($N$127/'Septic Tank - British '!$CV$22)*'Septic Tank - British '!CV30</f>
        <v>1274.3902439024391</v>
      </c>
      <c r="O135" s="5">
        <f>($O$127/'Septic Tank - British '!$CS$40)*'Septic Tank - British '!CS48</f>
        <v>280.00567077745308</v>
      </c>
      <c r="P135" s="5">
        <f>($P$127/'Septic Tank - British '!$CZ$22)*'Septic Tank - British '!CZ30</f>
        <v>11070</v>
      </c>
      <c r="Q135" s="5">
        <f>($Q$127/('Septic Tank - British '!$CW$22+'Septic Tank - British '!$CQ$8))*('Septic Tank - British '!$CQ$8+'Septic Tank - British '!CW30)</f>
        <v>6783.551863987208</v>
      </c>
      <c r="R135">
        <v>2210</v>
      </c>
    </row>
    <row r="136" spans="2:18" ht="15" x14ac:dyDescent="0.25">
      <c r="B136" s="89"/>
      <c r="C136" t="s">
        <v>51</v>
      </c>
      <c r="D136" s="1">
        <v>100</v>
      </c>
      <c r="F136" s="3">
        <f>(R136+(Q136*('Septic Tank - British '!$CQ$8/('Septic Tank - British '!CW30+'Septic Tank - British '!$CQ$8)))+(M136*('Septic Tank - British '!$CR$7/('Septic Tank - British '!CT30+'Septic Tank - British '!$CR$7))))/1000</f>
        <v>4.5411674838848173</v>
      </c>
      <c r="G136" s="3">
        <f>(P136+(Q136*('Septic Tank - British '!CW31/('Septic Tank - British '!$CQ$8+'Septic Tank - British '!CW31)))+(O136*('Septic Tank - British '!CY49/'Septic Tank - British '!CS49)))/1000</f>
        <v>18.312999833302065</v>
      </c>
      <c r="H136" s="3">
        <f t="shared" si="42"/>
        <v>8.0151564563039273</v>
      </c>
      <c r="I136" s="3">
        <f t="shared" si="41"/>
        <v>30.869323773490809</v>
      </c>
      <c r="J136" s="4">
        <f t="shared" si="40"/>
        <v>0</v>
      </c>
      <c r="L136" s="5">
        <f>($L$127/'Septic Tank - British '!$CR$22)*'Septic Tank - British '!CR31</f>
        <v>326.87777777777779</v>
      </c>
      <c r="M136" s="5">
        <f>($M$138/'Septic Tank - British '!$CT$22)*('Septic Tank - British '!$CR$7+'Septic Tank - British '!CT31)</f>
        <v>7194.5305847999998</v>
      </c>
      <c r="N136" s="5">
        <f>($N$127/'Septic Tank - British '!$CV$22)*'Septic Tank - British '!CV31</f>
        <v>1413.4146341463418</v>
      </c>
      <c r="O136" s="5">
        <f>($O$127/'Septic Tank - British '!$CS$40)*'Septic Tank - British '!CS49</f>
        <v>306.15578935273487</v>
      </c>
      <c r="P136" s="5">
        <f>($P$127/'Septic Tank - British '!$CZ$22)*'Septic Tank - British '!CZ31</f>
        <v>12124.285714285716</v>
      </c>
      <c r="Q136" s="5">
        <f>($Q$127/('Septic Tank - British '!$CW$22+'Septic Tank - British '!$CQ$8))*('Septic Tank - British '!$CQ$8+'Septic Tank - British '!CW31)</f>
        <v>7294.0592731282386</v>
      </c>
      <c r="R136">
        <v>2210</v>
      </c>
    </row>
    <row r="137" spans="2:18" x14ac:dyDescent="0.2">
      <c r="B137" s="89"/>
      <c r="F137" s="3"/>
      <c r="G137" s="3"/>
      <c r="H137" s="3"/>
      <c r="I137" s="3"/>
      <c r="L137" s="5"/>
      <c r="M137" s="5"/>
      <c r="N137" s="5"/>
      <c r="O137" s="5"/>
      <c r="P137" s="5"/>
      <c r="Q137" s="5"/>
    </row>
    <row r="138" spans="2:18" ht="15" x14ac:dyDescent="0.25">
      <c r="B138" s="89"/>
      <c r="C138" t="s">
        <v>39</v>
      </c>
      <c r="D138" s="1">
        <v>12</v>
      </c>
      <c r="F138" s="3">
        <f>I138-G138-H138</f>
        <v>11.340752476572536</v>
      </c>
      <c r="G138" s="3">
        <v>5.76</v>
      </c>
      <c r="H138" s="3">
        <v>1.1499999999999999</v>
      </c>
      <c r="I138" s="3">
        <f>SUM(L138:R138)/1000</f>
        <v>18.250752476572536</v>
      </c>
      <c r="J138" s="4">
        <f t="shared" ref="J138:J147" si="43">SUM(F138:H138)-I138</f>
        <v>0</v>
      </c>
      <c r="L138" s="5">
        <v>94.9</v>
      </c>
      <c r="M138" s="5">
        <v>828</v>
      </c>
      <c r="N138" s="5">
        <v>190</v>
      </c>
      <c r="O138" s="5">
        <v>76.8</v>
      </c>
      <c r="P138" s="5">
        <v>3690</v>
      </c>
      <c r="Q138" s="5">
        <f>($Q$127/('Septic Tank - British '!$CW$22+'Septic Tank - British '!$CQ$8))*('Septic Tank - British '!$CQ$14+'Septic Tank - British '!CW22)</f>
        <v>11161.052476572537</v>
      </c>
      <c r="R138">
        <v>2210</v>
      </c>
    </row>
    <row r="139" spans="2:18" ht="15" x14ac:dyDescent="0.25">
      <c r="B139" s="89"/>
      <c r="C139" t="s">
        <v>39</v>
      </c>
      <c r="D139" s="1">
        <v>20</v>
      </c>
      <c r="F139" s="3">
        <f t="shared" ref="F139:F146" si="44">I139-G139-H139</f>
        <v>11.689347376111542</v>
      </c>
      <c r="G139" s="3">
        <v>7.0396020576418028</v>
      </c>
      <c r="H139" s="3">
        <v>1.4115489643340924</v>
      </c>
      <c r="I139" s="3">
        <f t="shared" ref="I139:I147" si="45">SUM(L139:R139)/1000</f>
        <v>20.140498398087438</v>
      </c>
      <c r="J139" s="4">
        <f t="shared" si="43"/>
        <v>0</v>
      </c>
      <c r="L139" s="5">
        <v>115.98888888888889</v>
      </c>
      <c r="M139" s="5">
        <f>($M$138/'Septic Tank - British '!$CT$22)*'Septic Tank - British '!CT23</f>
        <v>1312.6829268292684</v>
      </c>
      <c r="N139" s="5">
        <v>301.21951219512204</v>
      </c>
      <c r="O139" s="5">
        <v>97.720094860225416</v>
      </c>
      <c r="P139" s="5">
        <v>4533.4285714285716</v>
      </c>
      <c r="Q139" s="5">
        <f>($Q$127/('Septic Tank - British '!$CW$22+'Septic Tank - British '!$CQ$8))*('Septic Tank - British '!$CQ$14+'Septic Tank - British '!CW23)</f>
        <v>11569.458403885361</v>
      </c>
      <c r="R139">
        <v>2210</v>
      </c>
    </row>
    <row r="140" spans="2:18" ht="15" x14ac:dyDescent="0.25">
      <c r="B140" s="89"/>
      <c r="C140" t="s">
        <v>39</v>
      </c>
      <c r="D140" s="1">
        <v>30</v>
      </c>
      <c r="F140" s="3">
        <f t="shared" si="44"/>
        <v>11.671137148871271</v>
      </c>
      <c r="G140" s="3">
        <v>8.2922018104929442</v>
      </c>
      <c r="H140" s="3">
        <v>2.2261919024040617</v>
      </c>
      <c r="I140" s="3">
        <f t="shared" si="45"/>
        <v>22.189530861768276</v>
      </c>
      <c r="J140" s="4">
        <f t="shared" si="43"/>
        <v>0</v>
      </c>
      <c r="L140" s="5">
        <v>142.35</v>
      </c>
      <c r="M140" s="5">
        <f>($M$138/'Septic Tank - British '!$CT$22)*'Septic Tank - British '!CT24</f>
        <v>1918.5365853658536</v>
      </c>
      <c r="N140" s="5">
        <v>440.24390243902451</v>
      </c>
      <c r="O140" s="5">
        <v>123.678899908071</v>
      </c>
      <c r="P140" s="5">
        <v>5376.8571428571431</v>
      </c>
      <c r="Q140" s="5">
        <f>($Q$127/('Septic Tank - British '!$CW$22+'Septic Tank - British '!$CQ$8))*('Septic Tank - British '!$CQ$14+'Septic Tank - British '!CW24)</f>
        <v>11977.864331198183</v>
      </c>
      <c r="R140">
        <v>2210</v>
      </c>
    </row>
    <row r="141" spans="2:18" ht="15" x14ac:dyDescent="0.25">
      <c r="B141" s="89"/>
      <c r="C141" t="s">
        <v>39</v>
      </c>
      <c r="D141" s="1">
        <v>40</v>
      </c>
      <c r="F141" s="3">
        <f t="shared" si="44"/>
        <v>11.631882039114242</v>
      </c>
      <c r="G141" s="3">
        <v>9.8579515015568688</v>
      </c>
      <c r="H141" s="3">
        <v>3.0618797229907928</v>
      </c>
      <c r="I141" s="3">
        <f t="shared" si="45"/>
        <v>24.551713263661902</v>
      </c>
      <c r="J141" s="4">
        <f t="shared" si="43"/>
        <v>0</v>
      </c>
      <c r="L141" s="5">
        <v>168.71111111111111</v>
      </c>
      <c r="M141" s="5">
        <f>($M$138/'Septic Tank - British '!$CT$22)*'Septic Tank - British '!CT25</f>
        <v>2524.3902439024391</v>
      </c>
      <c r="N141" s="5">
        <v>579.26829268292693</v>
      </c>
      <c r="O141" s="5">
        <v>149.82901848335277</v>
      </c>
      <c r="P141" s="5">
        <v>6431.1428571428578</v>
      </c>
      <c r="Q141" s="5">
        <f>($Q$127/('Septic Tank - British '!$CW$22+'Septic Tank - British '!$CQ$8))*('Septic Tank - British '!$CQ$14+'Septic Tank - British '!CW25)</f>
        <v>12488.371740339215</v>
      </c>
      <c r="R141">
        <v>2210</v>
      </c>
    </row>
    <row r="142" spans="2:18" ht="15" x14ac:dyDescent="0.25">
      <c r="B142" s="89"/>
      <c r="C142" t="s">
        <v>39</v>
      </c>
      <c r="D142" s="1">
        <v>50</v>
      </c>
      <c r="F142" s="3">
        <f t="shared" si="44"/>
        <v>11.554678915152472</v>
      </c>
      <c r="G142" s="3">
        <v>11.110551254408009</v>
      </c>
      <c r="H142" s="3">
        <v>3.9355155577822627</v>
      </c>
      <c r="I142" s="3">
        <f t="shared" si="45"/>
        <v>26.600745727342744</v>
      </c>
      <c r="J142" s="4">
        <f t="shared" si="43"/>
        <v>0</v>
      </c>
      <c r="L142" s="5">
        <v>195.07222222222222</v>
      </c>
      <c r="M142" s="5">
        <f>($M$138/'Septic Tank - British '!$CT$22)*'Septic Tank - British '!CT26</f>
        <v>3130.2439024390242</v>
      </c>
      <c r="N142" s="5">
        <v>718.29268292682934</v>
      </c>
      <c r="O142" s="5">
        <v>175.78782353119837</v>
      </c>
      <c r="P142" s="5">
        <v>7274.5714285714294</v>
      </c>
      <c r="Q142" s="5">
        <f>($Q$127/('Septic Tank - British '!$CW$22+'Septic Tank - British '!$CQ$8))*('Septic Tank - British '!$CQ$14+'Septic Tank - British '!CW26)</f>
        <v>12896.777667652039</v>
      </c>
      <c r="R142">
        <v>2210</v>
      </c>
    </row>
    <row r="143" spans="2:18" ht="15" x14ac:dyDescent="0.25">
      <c r="B143" s="89"/>
      <c r="C143" t="s">
        <v>39</v>
      </c>
      <c r="D143" s="1">
        <v>60</v>
      </c>
      <c r="F143" s="3">
        <f t="shared" si="44"/>
        <v>11.543810187688935</v>
      </c>
      <c r="G143" s="3">
        <v>12.676300945471937</v>
      </c>
      <c r="H143" s="3">
        <v>4.7428169960754953</v>
      </c>
      <c r="I143" s="3">
        <f t="shared" si="45"/>
        <v>28.962928129236367</v>
      </c>
      <c r="J143" s="4">
        <f t="shared" si="43"/>
        <v>0</v>
      </c>
      <c r="L143" s="5">
        <v>221.43333333333334</v>
      </c>
      <c r="M143" s="5">
        <f>($M$138/'Septic Tank - British '!$CT$22)*'Septic Tank - British '!CT27</f>
        <v>3736.0975609756097</v>
      </c>
      <c r="N143" s="5">
        <v>857.31707317073187</v>
      </c>
      <c r="O143" s="5">
        <v>201.93794210648014</v>
      </c>
      <c r="P143" s="5">
        <v>8328.8571428571431</v>
      </c>
      <c r="Q143" s="5">
        <f>($Q$127/('Septic Tank - British '!$CW$22+'Septic Tank - British '!$CQ$8))*('Septic Tank - British '!$CQ$14+'Septic Tank - British '!CW27)</f>
        <v>13407.285076793067</v>
      </c>
      <c r="R143">
        <v>2210</v>
      </c>
    </row>
    <row r="144" spans="2:18" ht="15" x14ac:dyDescent="0.25">
      <c r="B144" s="89"/>
      <c r="C144" t="s">
        <v>39</v>
      </c>
      <c r="D144" s="1">
        <v>70</v>
      </c>
      <c r="F144" s="3">
        <f t="shared" si="44"/>
        <v>11.493005348866198</v>
      </c>
      <c r="G144" s="3">
        <v>13.928900698323076</v>
      </c>
      <c r="H144" s="3">
        <v>5.5900545457279343</v>
      </c>
      <c r="I144" s="3">
        <f t="shared" si="45"/>
        <v>31.011960592917209</v>
      </c>
      <c r="J144" s="4">
        <f t="shared" si="43"/>
        <v>0</v>
      </c>
      <c r="L144" s="5">
        <v>247.79444444444445</v>
      </c>
      <c r="M144" s="5">
        <f>($M$138/'Septic Tank - British '!$CT$22)*'Septic Tank - British '!CT28</f>
        <v>4341.9512195121952</v>
      </c>
      <c r="N144" s="5">
        <v>996.3414634146344</v>
      </c>
      <c r="O144" s="5">
        <v>227.89674715432574</v>
      </c>
      <c r="P144" s="5">
        <v>9172.2857142857156</v>
      </c>
      <c r="Q144" s="5">
        <f>($Q$127/('Septic Tank - British '!$CW$22+'Septic Tank - British '!$CQ$8))*('Septic Tank - British '!$CQ$14+'Septic Tank - British '!CW28)</f>
        <v>13815.691004105893</v>
      </c>
      <c r="R144">
        <v>2210</v>
      </c>
    </row>
    <row r="145" spans="2:18" ht="15" x14ac:dyDescent="0.25">
      <c r="B145" s="89"/>
      <c r="C145" t="s">
        <v>39</v>
      </c>
      <c r="D145" s="1">
        <v>80</v>
      </c>
      <c r="F145" s="3">
        <f t="shared" si="44"/>
        <v>11.491819558358294</v>
      </c>
      <c r="G145" s="3">
        <v>15.494650389386999</v>
      </c>
      <c r="H145" s="3">
        <v>6.3876730470655412</v>
      </c>
      <c r="I145" s="3">
        <f t="shared" si="45"/>
        <v>33.374142994810832</v>
      </c>
      <c r="J145" s="4">
        <f t="shared" si="43"/>
        <v>0</v>
      </c>
      <c r="L145" s="5">
        <v>274.15555555555557</v>
      </c>
      <c r="M145" s="5">
        <f>($M$138/'Septic Tank - British '!$CT$22)*'Septic Tank - British '!CT29</f>
        <v>4947.8048780487807</v>
      </c>
      <c r="N145" s="5">
        <v>1135.3658536585367</v>
      </c>
      <c r="O145" s="5">
        <v>254.0468657296075</v>
      </c>
      <c r="P145" s="5">
        <v>10226.571428571429</v>
      </c>
      <c r="Q145" s="5">
        <f>($Q$127/('Septic Tank - British '!$CW$22+'Septic Tank - British '!$CQ$8))*('Septic Tank - British '!$CQ$14+'Septic Tank - British '!CW29)</f>
        <v>14326.198413246921</v>
      </c>
      <c r="R145">
        <v>2210</v>
      </c>
    </row>
    <row r="146" spans="2:18" ht="15" x14ac:dyDescent="0.25">
      <c r="B146" s="89"/>
      <c r="C146" t="s">
        <v>39</v>
      </c>
      <c r="D146" s="1">
        <v>90</v>
      </c>
      <c r="F146" s="3">
        <f t="shared" si="44"/>
        <v>11.454336103335056</v>
      </c>
      <c r="G146" s="3">
        <v>16.747250142238137</v>
      </c>
      <c r="H146" s="3">
        <v>7.2215892129184782</v>
      </c>
      <c r="I146" s="3">
        <f t="shared" si="45"/>
        <v>35.42317545849167</v>
      </c>
      <c r="J146" s="4">
        <f t="shared" si="43"/>
        <v>0</v>
      </c>
      <c r="L146" s="5">
        <v>300.51666666666665</v>
      </c>
      <c r="M146" s="5">
        <f>($M$138/'Septic Tank - British '!$CT$22)*'Septic Tank - British '!CT30</f>
        <v>5553.6585365853662</v>
      </c>
      <c r="N146" s="5">
        <v>1274.3902439024391</v>
      </c>
      <c r="O146" s="5">
        <v>280.00567077745308</v>
      </c>
      <c r="P146" s="5">
        <v>11070</v>
      </c>
      <c r="Q146" s="5">
        <f>($Q$127/('Septic Tank - British '!$CW$22+'Septic Tank - British '!$CQ$8))*('Septic Tank - British '!$CQ$14+'Septic Tank - British '!CW30)</f>
        <v>14734.604340559745</v>
      </c>
      <c r="R146">
        <v>2210</v>
      </c>
    </row>
    <row r="147" spans="2:18" ht="15" x14ac:dyDescent="0.25">
      <c r="B147" s="106"/>
      <c r="C147" t="s">
        <v>39</v>
      </c>
      <c r="D147" s="1">
        <v>100</v>
      </c>
      <c r="F147" s="3">
        <f>I147-G147-H147</f>
        <v>11.457201570779304</v>
      </c>
      <c r="G147" s="3">
        <v>18.312999833302065</v>
      </c>
      <c r="H147" s="3">
        <v>8.0151564563039273</v>
      </c>
      <c r="I147" s="3">
        <f t="shared" si="45"/>
        <v>37.785357860385297</v>
      </c>
      <c r="J147" s="4">
        <f t="shared" si="43"/>
        <v>0</v>
      </c>
      <c r="L147" s="5">
        <v>326.87777777777779</v>
      </c>
      <c r="M147" s="5">
        <f>($M$138/'Septic Tank - British '!$CT$22)*'Septic Tank - British '!CT31</f>
        <v>6159.5121951219517</v>
      </c>
      <c r="N147" s="5">
        <v>1413.4146341463418</v>
      </c>
      <c r="O147" s="5">
        <v>306.15578935273487</v>
      </c>
      <c r="P147" s="5">
        <v>12124.285714285716</v>
      </c>
      <c r="Q147" s="5">
        <f>($Q$127/('Septic Tank - British '!$CW$22+'Septic Tank - British '!$CQ$8))*('Septic Tank - British '!$CQ$14+'Septic Tank - British '!CW31)</f>
        <v>15245.111749700774</v>
      </c>
      <c r="R147">
        <v>2210</v>
      </c>
    </row>
    <row r="154" spans="2:18" x14ac:dyDescent="0.2">
      <c r="M154" s="3"/>
      <c r="N154" s="3"/>
    </row>
    <row r="155" spans="2:18" x14ac:dyDescent="0.2">
      <c r="M155" s="3"/>
      <c r="N155" s="3"/>
    </row>
    <row r="156" spans="2:18" x14ac:dyDescent="0.2">
      <c r="M156" s="3"/>
      <c r="N156" s="3"/>
    </row>
    <row r="157" spans="2:18" x14ac:dyDescent="0.2">
      <c r="M157" s="3"/>
      <c r="N157" s="3"/>
    </row>
    <row r="158" spans="2:18" x14ac:dyDescent="0.2">
      <c r="M158" s="3"/>
      <c r="N158" s="3"/>
    </row>
    <row r="159" spans="2:18" x14ac:dyDescent="0.2">
      <c r="M159" s="3"/>
      <c r="N159" s="3"/>
    </row>
    <row r="160" spans="2:18" x14ac:dyDescent="0.2">
      <c r="M160" s="3"/>
      <c r="N160" s="3"/>
    </row>
    <row r="161" spans="13:14" x14ac:dyDescent="0.2">
      <c r="M161" s="3"/>
      <c r="N161" s="3"/>
    </row>
    <row r="162" spans="13:14" x14ac:dyDescent="0.2">
      <c r="M162" s="3"/>
      <c r="N162" s="3"/>
    </row>
    <row r="163" spans="13:14" x14ac:dyDescent="0.2">
      <c r="M163" s="3"/>
      <c r="N163" s="3"/>
    </row>
    <row r="164" spans="13:14" x14ac:dyDescent="0.2">
      <c r="M164" s="3"/>
      <c r="N164" s="3"/>
    </row>
  </sheetData>
  <mergeCells count="11">
    <mergeCell ref="W6:W7"/>
    <mergeCell ref="W9:W10"/>
    <mergeCell ref="W12:W13"/>
    <mergeCell ref="B83:B103"/>
    <mergeCell ref="B105:B125"/>
    <mergeCell ref="B127:B147"/>
    <mergeCell ref="B6:B26"/>
    <mergeCell ref="F4:I4"/>
    <mergeCell ref="B28:B37"/>
    <mergeCell ref="B39:B59"/>
    <mergeCell ref="B61:B81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D9112-644F-4BA9-9189-D97D3A61C139}">
  <sheetPr>
    <tabColor theme="7"/>
  </sheetPr>
  <dimension ref="B2:AM6"/>
  <sheetViews>
    <sheetView workbookViewId="0">
      <selection activeCell="H33" sqref="H33"/>
    </sheetView>
  </sheetViews>
  <sheetFormatPr defaultRowHeight="14.25" x14ac:dyDescent="0.2"/>
  <sheetData>
    <row r="2" spans="2:39" x14ac:dyDescent="0.2">
      <c r="B2" t="s">
        <v>549</v>
      </c>
    </row>
    <row r="6" spans="2:39" x14ac:dyDescent="0.2">
      <c r="B6" t="s">
        <v>550</v>
      </c>
      <c r="D6">
        <v>10</v>
      </c>
      <c r="E6">
        <v>11</v>
      </c>
      <c r="F6">
        <v>12</v>
      </c>
      <c r="G6">
        <v>13</v>
      </c>
      <c r="H6">
        <v>14</v>
      </c>
      <c r="I6">
        <v>15</v>
      </c>
      <c r="J6">
        <v>16</v>
      </c>
      <c r="K6">
        <v>17</v>
      </c>
      <c r="L6">
        <v>18</v>
      </c>
      <c r="M6">
        <v>19</v>
      </c>
      <c r="N6">
        <v>20</v>
      </c>
      <c r="O6">
        <v>21</v>
      </c>
      <c r="P6">
        <v>22</v>
      </c>
      <c r="Q6">
        <v>23</v>
      </c>
      <c r="R6">
        <v>24</v>
      </c>
      <c r="S6">
        <v>25</v>
      </c>
      <c r="T6">
        <v>26</v>
      </c>
      <c r="U6">
        <v>27</v>
      </c>
      <c r="V6">
        <v>28</v>
      </c>
      <c r="W6">
        <v>29</v>
      </c>
      <c r="X6">
        <v>30</v>
      </c>
      <c r="Y6">
        <v>31</v>
      </c>
      <c r="Z6">
        <v>32</v>
      </c>
      <c r="AA6">
        <v>33</v>
      </c>
      <c r="AB6">
        <v>34</v>
      </c>
      <c r="AC6">
        <v>35</v>
      </c>
      <c r="AD6">
        <v>36</v>
      </c>
      <c r="AE6">
        <v>37</v>
      </c>
      <c r="AF6">
        <v>38</v>
      </c>
      <c r="AG6">
        <v>39</v>
      </c>
      <c r="AH6">
        <v>40</v>
      </c>
      <c r="AI6">
        <v>41</v>
      </c>
      <c r="AJ6">
        <v>42</v>
      </c>
      <c r="AK6">
        <v>43</v>
      </c>
      <c r="AL6">
        <v>44</v>
      </c>
      <c r="AM6">
        <v>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767EE-251A-46C5-A486-BED893CF318F}">
  <dimension ref="B5:AU249"/>
  <sheetViews>
    <sheetView zoomScale="70" zoomScaleNormal="70" workbookViewId="0">
      <selection activeCell="AD128" sqref="AD128"/>
    </sheetView>
  </sheetViews>
  <sheetFormatPr defaultRowHeight="14.25" x14ac:dyDescent="0.2"/>
  <cols>
    <col min="2" max="2" width="9.875" customWidth="1"/>
    <col min="5" max="5" width="13.25" customWidth="1"/>
    <col min="8" max="8" width="18.25" customWidth="1"/>
    <col min="14" max="14" width="11.375" customWidth="1"/>
    <col min="23" max="23" width="9" style="10"/>
    <col min="41" max="41" width="12.625" bestFit="1" customWidth="1"/>
    <col min="47" max="47" width="9" style="10"/>
  </cols>
  <sheetData>
    <row r="5" spans="2:33" ht="15" x14ac:dyDescent="0.25">
      <c r="B5" s="19"/>
    </row>
    <row r="6" spans="2:33" x14ac:dyDescent="0.2">
      <c r="I6" t="s">
        <v>90</v>
      </c>
      <c r="J6" t="s">
        <v>91</v>
      </c>
    </row>
    <row r="7" spans="2:33" x14ac:dyDescent="0.2">
      <c r="H7" t="s">
        <v>92</v>
      </c>
      <c r="I7">
        <v>11</v>
      </c>
      <c r="J7">
        <v>28</v>
      </c>
      <c r="X7" t="s">
        <v>158</v>
      </c>
    </row>
    <row r="9" spans="2:33" x14ac:dyDescent="0.2">
      <c r="H9" t="s">
        <v>93</v>
      </c>
      <c r="I9">
        <v>5.0000000000000001E-3</v>
      </c>
      <c r="J9">
        <v>268</v>
      </c>
      <c r="AB9">
        <v>1883.4</v>
      </c>
      <c r="AC9">
        <v>3942</v>
      </c>
      <c r="AD9">
        <v>6132</v>
      </c>
      <c r="AE9">
        <v>9636</v>
      </c>
      <c r="AF9">
        <v>14892</v>
      </c>
      <c r="AG9">
        <v>31448.400000000001</v>
      </c>
    </row>
    <row r="11" spans="2:33" x14ac:dyDescent="0.2">
      <c r="Y11" t="s">
        <v>89</v>
      </c>
      <c r="Z11" t="s">
        <v>159</v>
      </c>
      <c r="AA11" t="s">
        <v>160</v>
      </c>
    </row>
    <row r="12" spans="2:33" x14ac:dyDescent="0.2">
      <c r="N12" t="s">
        <v>98</v>
      </c>
      <c r="O12">
        <f>519.667/100</f>
        <v>5.1966700000000001</v>
      </c>
      <c r="Y12">
        <v>5</v>
      </c>
      <c r="Z12">
        <v>86</v>
      </c>
      <c r="AA12">
        <f>Z12*8760/1000</f>
        <v>753.36</v>
      </c>
      <c r="AC12">
        <f>AA12/1000</f>
        <v>0.75336000000000003</v>
      </c>
    </row>
    <row r="13" spans="2:33" x14ac:dyDescent="0.2">
      <c r="N13" t="s">
        <v>95</v>
      </c>
      <c r="O13">
        <v>31.5975</v>
      </c>
      <c r="Y13">
        <v>10</v>
      </c>
      <c r="Z13">
        <v>215</v>
      </c>
      <c r="AA13">
        <f>Z13*8760/1000</f>
        <v>1883.4</v>
      </c>
      <c r="AC13">
        <f t="shared" ref="AC13:AC18" si="0">AA13/1000</f>
        <v>1.8834000000000002</v>
      </c>
    </row>
    <row r="14" spans="2:33" x14ac:dyDescent="0.2">
      <c r="Y14">
        <v>20</v>
      </c>
      <c r="Z14">
        <v>450</v>
      </c>
      <c r="AA14">
        <f t="shared" ref="AA14:AA17" si="1">Z14*8760/1000</f>
        <v>3942</v>
      </c>
      <c r="AC14">
        <f t="shared" si="0"/>
        <v>3.9420000000000002</v>
      </c>
    </row>
    <row r="15" spans="2:33" x14ac:dyDescent="0.2">
      <c r="D15" t="s">
        <v>89</v>
      </c>
      <c r="E15" t="s">
        <v>94</v>
      </c>
      <c r="F15" t="s">
        <v>93</v>
      </c>
      <c r="J15" t="s">
        <v>40</v>
      </c>
      <c r="L15" t="s">
        <v>99</v>
      </c>
      <c r="Y15">
        <v>30</v>
      </c>
      <c r="Z15">
        <v>700</v>
      </c>
      <c r="AA15">
        <f>Z15*8760/1000</f>
        <v>6132</v>
      </c>
      <c r="AC15">
        <f t="shared" si="0"/>
        <v>6.1319999999999997</v>
      </c>
    </row>
    <row r="16" spans="2:33" x14ac:dyDescent="0.2">
      <c r="D16">
        <v>5</v>
      </c>
      <c r="E16">
        <f>$I$7*$J$7*$D16</f>
        <v>1540</v>
      </c>
      <c r="F16">
        <f>$I$9*$J$9*$D16</f>
        <v>6.7</v>
      </c>
      <c r="H16">
        <f>SUM(E16:F16)</f>
        <v>1546.7</v>
      </c>
      <c r="J16">
        <f>(H16/10^6)*365</f>
        <v>0.56454550000000003</v>
      </c>
      <c r="L16">
        <f>$O$12*D16</f>
        <v>25.983350000000002</v>
      </c>
      <c r="M16">
        <f>L16/1000</f>
        <v>2.5983350000000002E-2</v>
      </c>
      <c r="O16">
        <f>J16+M16</f>
        <v>0.59052884999999999</v>
      </c>
      <c r="Y16">
        <v>50</v>
      </c>
      <c r="Z16">
        <v>1100</v>
      </c>
      <c r="AA16">
        <f t="shared" si="1"/>
        <v>9636</v>
      </c>
      <c r="AC16">
        <f t="shared" si="0"/>
        <v>9.6359999999999992</v>
      </c>
    </row>
    <row r="17" spans="4:45" x14ac:dyDescent="0.2">
      <c r="D17">
        <v>10</v>
      </c>
      <c r="E17">
        <f t="shared" ref="E17:E22" si="2">$I$7*$J$7*$D17</f>
        <v>3080</v>
      </c>
      <c r="F17">
        <f t="shared" ref="F17:F22" si="3">$I$9*$J$9*$D17</f>
        <v>13.4</v>
      </c>
      <c r="H17">
        <f t="shared" ref="H17:H22" si="4">SUM(E17:F17)</f>
        <v>3093.4</v>
      </c>
      <c r="J17">
        <f>(H17/10^6)*365</f>
        <v>1.1290910000000001</v>
      </c>
      <c r="L17">
        <f>$O$12*D17</f>
        <v>51.966700000000003</v>
      </c>
      <c r="M17">
        <f>L17/1000</f>
        <v>5.1966700000000005E-2</v>
      </c>
      <c r="O17">
        <f>J17+M17</f>
        <v>1.1810577</v>
      </c>
      <c r="Y17">
        <v>75</v>
      </c>
      <c r="Z17">
        <f>1.7*1000</f>
        <v>1700</v>
      </c>
      <c r="AA17">
        <f t="shared" si="1"/>
        <v>14892</v>
      </c>
      <c r="AC17">
        <f t="shared" si="0"/>
        <v>14.891999999999999</v>
      </c>
    </row>
    <row r="18" spans="4:45" x14ac:dyDescent="0.2">
      <c r="D18">
        <v>20</v>
      </c>
      <c r="E18">
        <f>$I$7*$J$7*$D18</f>
        <v>6160</v>
      </c>
      <c r="F18">
        <f t="shared" si="3"/>
        <v>26.8</v>
      </c>
      <c r="H18">
        <f>SUM(E18:F18)</f>
        <v>6186.8</v>
      </c>
      <c r="J18">
        <f t="shared" ref="J18:J21" si="5">(H18/10^6)*365</f>
        <v>2.2581820000000001</v>
      </c>
      <c r="L18">
        <f>$O$12*D18</f>
        <v>103.93340000000001</v>
      </c>
      <c r="M18">
        <f t="shared" ref="M18:M21" si="6">L18/1000</f>
        <v>0.10393340000000001</v>
      </c>
      <c r="O18">
        <f>J18+M18</f>
        <v>2.3621154</v>
      </c>
      <c r="Y18">
        <v>100</v>
      </c>
      <c r="Z18">
        <f>1000*3.59</f>
        <v>3590</v>
      </c>
      <c r="AA18">
        <f>Z18*8760/1000</f>
        <v>31448.400000000001</v>
      </c>
      <c r="AC18">
        <f t="shared" si="0"/>
        <v>31.448400000000003</v>
      </c>
    </row>
    <row r="19" spans="4:45" x14ac:dyDescent="0.2">
      <c r="D19">
        <v>30</v>
      </c>
      <c r="E19">
        <f t="shared" si="2"/>
        <v>9240</v>
      </c>
      <c r="F19">
        <f t="shared" si="3"/>
        <v>40.200000000000003</v>
      </c>
      <c r="H19">
        <f t="shared" si="4"/>
        <v>9280.2000000000007</v>
      </c>
      <c r="J19">
        <f t="shared" si="5"/>
        <v>3.3872730000000004</v>
      </c>
      <c r="L19">
        <f t="shared" ref="L19:L21" si="7">$O$12*D19</f>
        <v>155.90010000000001</v>
      </c>
      <c r="M19">
        <f t="shared" si="6"/>
        <v>0.15590010000000001</v>
      </c>
      <c r="O19">
        <f t="shared" ref="O19:O21" si="8">J19+M19</f>
        <v>3.5431731000000006</v>
      </c>
    </row>
    <row r="20" spans="4:45" x14ac:dyDescent="0.2">
      <c r="D20">
        <v>50</v>
      </c>
      <c r="E20">
        <f t="shared" si="2"/>
        <v>15400</v>
      </c>
      <c r="F20">
        <f t="shared" si="3"/>
        <v>67</v>
      </c>
      <c r="H20">
        <f t="shared" si="4"/>
        <v>15467</v>
      </c>
      <c r="J20">
        <f t="shared" si="5"/>
        <v>5.6454550000000001</v>
      </c>
      <c r="L20">
        <f t="shared" si="7"/>
        <v>259.83350000000002</v>
      </c>
      <c r="M20">
        <f t="shared" si="6"/>
        <v>0.2598335</v>
      </c>
      <c r="O20">
        <f>J20+M20</f>
        <v>5.9052885000000002</v>
      </c>
    </row>
    <row r="21" spans="4:45" x14ac:dyDescent="0.2">
      <c r="D21">
        <v>75</v>
      </c>
      <c r="E21">
        <f t="shared" si="2"/>
        <v>23100</v>
      </c>
      <c r="F21">
        <f t="shared" si="3"/>
        <v>100.5</v>
      </c>
      <c r="H21">
        <f t="shared" si="4"/>
        <v>23200.5</v>
      </c>
      <c r="J21">
        <f t="shared" si="5"/>
        <v>8.4681824999999993</v>
      </c>
      <c r="L21">
        <f t="shared" si="7"/>
        <v>389.75024999999999</v>
      </c>
      <c r="M21">
        <f t="shared" si="6"/>
        <v>0.38975025000000002</v>
      </c>
      <c r="O21">
        <f t="shared" si="8"/>
        <v>8.8579327499999998</v>
      </c>
      <c r="AB21" s="86" t="s">
        <v>89</v>
      </c>
      <c r="AC21" s="86"/>
      <c r="AD21" s="86"/>
      <c r="AE21" s="86"/>
      <c r="AF21" s="86"/>
      <c r="AG21" s="86"/>
      <c r="AH21" s="86"/>
    </row>
    <row r="22" spans="4:45" x14ac:dyDescent="0.2">
      <c r="D22">
        <v>100</v>
      </c>
      <c r="E22">
        <f t="shared" si="2"/>
        <v>30800</v>
      </c>
      <c r="F22">
        <f t="shared" si="3"/>
        <v>134</v>
      </c>
      <c r="H22">
        <f t="shared" si="4"/>
        <v>30934</v>
      </c>
      <c r="J22">
        <f>(H22/10^6)*365</f>
        <v>11.29091</v>
      </c>
      <c r="L22">
        <f>$O$12*D22</f>
        <v>519.66700000000003</v>
      </c>
      <c r="M22">
        <f>L22/1000</f>
        <v>0.51966699999999999</v>
      </c>
      <c r="O22">
        <f>J22+M22</f>
        <v>11.810577</v>
      </c>
      <c r="Z22" t="s">
        <v>151</v>
      </c>
      <c r="AB22">
        <v>5</v>
      </c>
      <c r="AC22">
        <v>10</v>
      </c>
      <c r="AD22">
        <v>20</v>
      </c>
      <c r="AE22">
        <v>30</v>
      </c>
      <c r="AF22">
        <v>50</v>
      </c>
      <c r="AG22">
        <v>75</v>
      </c>
      <c r="AH22">
        <v>100</v>
      </c>
    </row>
    <row r="23" spans="4:45" x14ac:dyDescent="0.2">
      <c r="Z23" s="23">
        <v>2021</v>
      </c>
      <c r="AA23" s="3">
        <v>134.63396453548401</v>
      </c>
      <c r="AB23">
        <f>($AA23*AA$12)/10^6</f>
        <v>0.10142784352245224</v>
      </c>
      <c r="AC23">
        <f t="shared" ref="AC23:AH32" si="9">($AA23*AB$9)/10^6</f>
        <v>0.25356960880613061</v>
      </c>
      <c r="AD23">
        <f t="shared" si="9"/>
        <v>0.53072708819887804</v>
      </c>
      <c r="AE23">
        <f t="shared" si="9"/>
        <v>0.82557547053158797</v>
      </c>
      <c r="AF23">
        <f t="shared" si="9"/>
        <v>1.2973328822639241</v>
      </c>
      <c r="AG23">
        <f t="shared" si="9"/>
        <v>2.0049689998624278</v>
      </c>
      <c r="AH23">
        <f t="shared" si="9"/>
        <v>4.2340227702977158</v>
      </c>
    </row>
    <row r="24" spans="4:45" x14ac:dyDescent="0.2">
      <c r="E24" t="s">
        <v>97</v>
      </c>
      <c r="O24" t="s">
        <v>97</v>
      </c>
      <c r="Z24" s="23">
        <v>2022</v>
      </c>
      <c r="AA24" s="3">
        <v>129.10289501511778</v>
      </c>
      <c r="AB24">
        <f t="shared" ref="AB24" si="10">($AA24*AA$12)/10^6</f>
        <v>9.7260956988589137E-2</v>
      </c>
      <c r="AC24">
        <f t="shared" si="9"/>
        <v>0.24315239247147286</v>
      </c>
      <c r="AD24">
        <f t="shared" si="9"/>
        <v>0.50892361214959425</v>
      </c>
      <c r="AE24">
        <f t="shared" si="9"/>
        <v>0.79165895223270233</v>
      </c>
      <c r="AF24">
        <f t="shared" si="9"/>
        <v>1.244035496365675</v>
      </c>
      <c r="AG24">
        <f t="shared" si="9"/>
        <v>1.9226003125651339</v>
      </c>
      <c r="AH24">
        <f t="shared" si="9"/>
        <v>4.0600794835934302</v>
      </c>
      <c r="AL24">
        <v>5</v>
      </c>
      <c r="AM24">
        <v>1.6198718792823101</v>
      </c>
      <c r="AO24">
        <v>1.4157879813204246</v>
      </c>
      <c r="AP24">
        <v>1.8946048243399116</v>
      </c>
      <c r="AR24">
        <f>AM24-AO24</f>
        <v>0.20408389796188553</v>
      </c>
      <c r="AS24">
        <f>AP24-AM24</f>
        <v>0.27473294505760149</v>
      </c>
    </row>
    <row r="25" spans="4:45" x14ac:dyDescent="0.2">
      <c r="D25" t="s">
        <v>96</v>
      </c>
      <c r="E25">
        <v>4</v>
      </c>
      <c r="F25">
        <v>2</v>
      </c>
      <c r="G25">
        <v>1</v>
      </c>
      <c r="H25">
        <v>0.66666666666666663</v>
      </c>
      <c r="I25">
        <v>0.5</v>
      </c>
      <c r="J25">
        <v>0.25</v>
      </c>
      <c r="K25">
        <v>0.14285714285714285</v>
      </c>
      <c r="N25" t="s">
        <v>96</v>
      </c>
      <c r="O25">
        <v>4</v>
      </c>
      <c r="P25">
        <v>2</v>
      </c>
      <c r="Q25">
        <v>1</v>
      </c>
      <c r="R25">
        <v>0.66666666666666663</v>
      </c>
      <c r="S25">
        <v>0.5</v>
      </c>
      <c r="T25">
        <v>0.25</v>
      </c>
      <c r="U25">
        <v>0.14285714285714285</v>
      </c>
      <c r="Z25" s="23">
        <v>2023</v>
      </c>
      <c r="AA25" s="3">
        <v>123.79905441239288</v>
      </c>
      <c r="AB25">
        <f t="shared" ref="AB25" si="11">($AA25*AA$12)/10^6</f>
        <v>9.3265255632120306E-2</v>
      </c>
      <c r="AC25">
        <f t="shared" si="9"/>
        <v>0.23316313908030076</v>
      </c>
      <c r="AD25">
        <f t="shared" si="9"/>
        <v>0.48801587249365275</v>
      </c>
      <c r="AE25">
        <f t="shared" si="9"/>
        <v>0.75913580165679306</v>
      </c>
      <c r="AF25">
        <f t="shared" si="9"/>
        <v>1.1929276883178179</v>
      </c>
      <c r="AG25">
        <f t="shared" si="9"/>
        <v>1.8436155183093548</v>
      </c>
      <c r="AH25">
        <f t="shared" si="9"/>
        <v>3.8932821827826967</v>
      </c>
      <c r="AL25">
        <v>10</v>
      </c>
      <c r="AM25">
        <v>4.0496796982057752</v>
      </c>
      <c r="AO25">
        <v>3.5394699533010603</v>
      </c>
      <c r="AP25">
        <v>4.7365120608497797</v>
      </c>
      <c r="AR25">
        <f>AM25-AO25</f>
        <v>0.51020974490471493</v>
      </c>
      <c r="AS25">
        <f t="shared" ref="AS25:AS30" si="12">AP25-AM25</f>
        <v>0.68683236264400449</v>
      </c>
    </row>
    <row r="26" spans="4:45" x14ac:dyDescent="0.2">
      <c r="D26">
        <v>5</v>
      </c>
      <c r="E26">
        <f>$D26*$O$13*E$25</f>
        <v>631.95000000000005</v>
      </c>
      <c r="F26">
        <f>$D26*$O$13*F$25</f>
        <v>315.97500000000002</v>
      </c>
      <c r="G26">
        <f t="shared" ref="F26:K34" si="13">$D26*$O$13*G$25</f>
        <v>157.98750000000001</v>
      </c>
      <c r="H26">
        <f t="shared" si="13"/>
        <v>105.325</v>
      </c>
      <c r="I26">
        <f t="shared" si="13"/>
        <v>78.993750000000006</v>
      </c>
      <c r="J26">
        <f t="shared" si="13"/>
        <v>39.496875000000003</v>
      </c>
      <c r="K26">
        <f t="shared" si="13"/>
        <v>22.569642857142856</v>
      </c>
      <c r="N26">
        <v>5</v>
      </c>
      <c r="O26">
        <f>E26/1000</f>
        <v>0.63195000000000001</v>
      </c>
      <c r="P26">
        <f t="shared" ref="P26:P34" si="14">F26/1000</f>
        <v>0.31597500000000001</v>
      </c>
      <c r="Q26">
        <f t="shared" ref="Q26:Q34" si="15">G26/1000</f>
        <v>0.1579875</v>
      </c>
      <c r="R26">
        <f t="shared" ref="R26:R34" si="16">H26/1000</f>
        <v>0.105325</v>
      </c>
      <c r="S26">
        <f t="shared" ref="S26:S34" si="17">I26/1000</f>
        <v>7.8993750000000001E-2</v>
      </c>
      <c r="T26">
        <f t="shared" ref="T26:T34" si="18">J26/1000</f>
        <v>3.9496875000000001E-2</v>
      </c>
      <c r="U26">
        <f t="shared" ref="U26:U34" si="19">K26/1000</f>
        <v>2.2569642857142858E-2</v>
      </c>
      <c r="Z26" s="23">
        <v>2024</v>
      </c>
      <c r="AA26" s="3">
        <v>118.71310764648565</v>
      </c>
      <c r="AB26">
        <f t="shared" ref="AB26" si="20">($AA26*AA$12)/10^6</f>
        <v>8.9433706776556432E-2</v>
      </c>
      <c r="AC26">
        <f t="shared" si="9"/>
        <v>0.22358426694139108</v>
      </c>
      <c r="AD26">
        <f t="shared" si="9"/>
        <v>0.46796707034244645</v>
      </c>
      <c r="AE26">
        <f t="shared" si="9"/>
        <v>0.72794877608825004</v>
      </c>
      <c r="AF26">
        <f t="shared" si="9"/>
        <v>1.1439195052815356</v>
      </c>
      <c r="AG26">
        <f t="shared" si="9"/>
        <v>1.7678755990714643</v>
      </c>
      <c r="AH26">
        <f t="shared" si="9"/>
        <v>3.7333372945097398</v>
      </c>
      <c r="AL26">
        <v>20</v>
      </c>
      <c r="AM26">
        <v>8.4760737869423188</v>
      </c>
      <c r="AO26">
        <v>7.4081929255138474</v>
      </c>
      <c r="AP26">
        <v>9.9136298948018613</v>
      </c>
      <c r="AR26">
        <f t="shared" ref="AR26:AR30" si="21">AM26-AO26</f>
        <v>1.0678808614284714</v>
      </c>
      <c r="AS26">
        <f t="shared" si="12"/>
        <v>1.4375561078595425</v>
      </c>
    </row>
    <row r="27" spans="4:45" x14ac:dyDescent="0.2">
      <c r="D27">
        <v>10</v>
      </c>
      <c r="E27">
        <f t="shared" ref="E27:E34" si="22">$D27*$O$13*E$25</f>
        <v>1263.9000000000001</v>
      </c>
      <c r="F27">
        <f t="shared" si="13"/>
        <v>631.95000000000005</v>
      </c>
      <c r="G27">
        <f t="shared" si="13"/>
        <v>315.97500000000002</v>
      </c>
      <c r="H27">
        <f t="shared" si="13"/>
        <v>210.65</v>
      </c>
      <c r="I27">
        <f t="shared" si="13"/>
        <v>157.98750000000001</v>
      </c>
      <c r="J27">
        <f t="shared" si="13"/>
        <v>78.993750000000006</v>
      </c>
      <c r="K27">
        <f t="shared" si="13"/>
        <v>45.139285714285712</v>
      </c>
      <c r="N27">
        <v>10</v>
      </c>
      <c r="O27">
        <f t="shared" ref="O27:O33" si="23">E27/1000</f>
        <v>1.2639</v>
      </c>
      <c r="P27">
        <f t="shared" si="14"/>
        <v>0.63195000000000001</v>
      </c>
      <c r="Q27">
        <f t="shared" si="15"/>
        <v>0.31597500000000001</v>
      </c>
      <c r="R27">
        <f t="shared" si="16"/>
        <v>0.21065</v>
      </c>
      <c r="S27">
        <f t="shared" si="17"/>
        <v>0.1579875</v>
      </c>
      <c r="T27">
        <f t="shared" si="18"/>
        <v>7.8993750000000001E-2</v>
      </c>
      <c r="U27">
        <f t="shared" si="19"/>
        <v>4.5139285714285715E-2</v>
      </c>
      <c r="Z27" s="23">
        <v>2025</v>
      </c>
      <c r="AA27" s="3">
        <v>113.83610314292783</v>
      </c>
      <c r="AB27">
        <f t="shared" ref="AB27" si="24">($AA27*AA$12)/10^6</f>
        <v>8.5759566663756115E-2</v>
      </c>
      <c r="AC27">
        <f t="shared" si="9"/>
        <v>0.21439891665939026</v>
      </c>
      <c r="AD27">
        <f t="shared" si="9"/>
        <v>0.44874191858942147</v>
      </c>
      <c r="AE27">
        <f t="shared" si="9"/>
        <v>0.6980429844724334</v>
      </c>
      <c r="AF27">
        <f t="shared" si="9"/>
        <v>1.0969246898852527</v>
      </c>
      <c r="AG27">
        <f t="shared" si="9"/>
        <v>1.6952472480044811</v>
      </c>
      <c r="AH27">
        <f t="shared" si="9"/>
        <v>3.5799633060800518</v>
      </c>
      <c r="AL27">
        <v>30</v>
      </c>
      <c r="AM27">
        <v>13.185003668576945</v>
      </c>
      <c r="AO27">
        <v>11.52385566191043</v>
      </c>
      <c r="AP27">
        <v>15.421202058580674</v>
      </c>
      <c r="AR27">
        <f t="shared" si="21"/>
        <v>1.6611480066665152</v>
      </c>
      <c r="AS27">
        <f t="shared" si="12"/>
        <v>2.2361983900037288</v>
      </c>
    </row>
    <row r="28" spans="4:45" x14ac:dyDescent="0.2">
      <c r="D28">
        <v>20</v>
      </c>
      <c r="E28">
        <f t="shared" si="22"/>
        <v>2527.8000000000002</v>
      </c>
      <c r="F28">
        <f t="shared" si="13"/>
        <v>1263.9000000000001</v>
      </c>
      <c r="G28">
        <f t="shared" si="13"/>
        <v>631.95000000000005</v>
      </c>
      <c r="H28">
        <f t="shared" si="13"/>
        <v>421.3</v>
      </c>
      <c r="I28">
        <f t="shared" si="13"/>
        <v>315.97500000000002</v>
      </c>
      <c r="J28">
        <f t="shared" si="13"/>
        <v>157.98750000000001</v>
      </c>
      <c r="K28">
        <f t="shared" si="13"/>
        <v>90.278571428571425</v>
      </c>
      <c r="N28">
        <v>20</v>
      </c>
      <c r="O28">
        <f t="shared" si="23"/>
        <v>2.5278</v>
      </c>
      <c r="P28">
        <f t="shared" si="14"/>
        <v>1.2639</v>
      </c>
      <c r="Q28">
        <f t="shared" si="15"/>
        <v>0.63195000000000001</v>
      </c>
      <c r="R28">
        <f t="shared" si="16"/>
        <v>0.42130000000000001</v>
      </c>
      <c r="S28">
        <f t="shared" si="17"/>
        <v>0.31597500000000001</v>
      </c>
      <c r="T28">
        <f t="shared" si="18"/>
        <v>0.1579875</v>
      </c>
      <c r="U28">
        <f t="shared" si="19"/>
        <v>9.027857142857143E-2</v>
      </c>
      <c r="Z28" s="23">
        <v>2026</v>
      </c>
      <c r="AA28" s="3">
        <v>109.15945707829279</v>
      </c>
      <c r="AB28">
        <f t="shared" ref="AB28" si="25">($AA28*AA$12)/10^6</f>
        <v>8.2236368584502659E-2</v>
      </c>
      <c r="AC28">
        <f t="shared" si="9"/>
        <v>0.20559092146125665</v>
      </c>
      <c r="AD28">
        <f t="shared" si="9"/>
        <v>0.43030657980263015</v>
      </c>
      <c r="AE28">
        <f t="shared" si="9"/>
        <v>0.66936579080409142</v>
      </c>
      <c r="AF28">
        <f t="shared" si="9"/>
        <v>1.0518605284064293</v>
      </c>
      <c r="AG28">
        <f t="shared" si="9"/>
        <v>1.6256026348099362</v>
      </c>
      <c r="AH28">
        <f t="shared" si="9"/>
        <v>3.4328902699809829</v>
      </c>
      <c r="AL28">
        <v>50</v>
      </c>
      <c r="AM28">
        <v>20.719291479192336</v>
      </c>
      <c r="AO28">
        <v>18.108916040144965</v>
      </c>
      <c r="AP28">
        <v>24.23331752062678</v>
      </c>
      <c r="AR28">
        <f t="shared" si="21"/>
        <v>2.6103754390473703</v>
      </c>
      <c r="AS28">
        <f t="shared" si="12"/>
        <v>3.5140260414344446</v>
      </c>
    </row>
    <row r="29" spans="4:45" x14ac:dyDescent="0.2">
      <c r="D29">
        <v>30</v>
      </c>
      <c r="E29">
        <f t="shared" si="22"/>
        <v>3791.7</v>
      </c>
      <c r="F29">
        <f t="shared" si="13"/>
        <v>1895.85</v>
      </c>
      <c r="G29">
        <f t="shared" si="13"/>
        <v>947.92499999999995</v>
      </c>
      <c r="H29">
        <f t="shared" si="13"/>
        <v>631.94999999999993</v>
      </c>
      <c r="I29">
        <f t="shared" si="13"/>
        <v>473.96249999999998</v>
      </c>
      <c r="J29">
        <f t="shared" si="13"/>
        <v>236.98124999999999</v>
      </c>
      <c r="K29">
        <f t="shared" si="13"/>
        <v>135.41785714285712</v>
      </c>
      <c r="N29">
        <v>30</v>
      </c>
      <c r="O29">
        <f>E29/1000</f>
        <v>3.7916999999999996</v>
      </c>
      <c r="P29">
        <f t="shared" si="14"/>
        <v>1.8958499999999998</v>
      </c>
      <c r="Q29">
        <f t="shared" si="15"/>
        <v>0.94792499999999991</v>
      </c>
      <c r="R29">
        <f t="shared" si="16"/>
        <v>0.6319499999999999</v>
      </c>
      <c r="S29">
        <f t="shared" si="17"/>
        <v>0.47396249999999995</v>
      </c>
      <c r="T29">
        <f t="shared" si="18"/>
        <v>0.23698124999999998</v>
      </c>
      <c r="U29">
        <f t="shared" si="19"/>
        <v>0.13541785714285712</v>
      </c>
      <c r="Z29" s="23">
        <v>2027</v>
      </c>
      <c r="AA29" s="3">
        <v>104.67493827214599</v>
      </c>
      <c r="AB29">
        <f t="shared" ref="AB29" si="26">($AA29*AA$12)/10^6</f>
        <v>7.8857911496703903E-2</v>
      </c>
      <c r="AC29">
        <f t="shared" si="9"/>
        <v>0.19714477874175979</v>
      </c>
      <c r="AD29">
        <f t="shared" si="9"/>
        <v>0.41262860666879952</v>
      </c>
      <c r="AE29">
        <f t="shared" si="9"/>
        <v>0.64186672148479929</v>
      </c>
      <c r="AF29">
        <f t="shared" si="9"/>
        <v>1.0086477051903988</v>
      </c>
      <c r="AG29">
        <f t="shared" si="9"/>
        <v>1.5588191807487981</v>
      </c>
      <c r="AH29">
        <f t="shared" si="9"/>
        <v>3.2918593287577562</v>
      </c>
      <c r="AL29">
        <v>75</v>
      </c>
      <c r="AM29">
        <v>32.020723195115401</v>
      </c>
      <c r="AO29">
        <v>27.98650660749675</v>
      </c>
      <c r="AP29">
        <v>37.451490713695925</v>
      </c>
      <c r="AR29">
        <f t="shared" si="21"/>
        <v>4.0342165876186513</v>
      </c>
      <c r="AS29">
        <f t="shared" si="12"/>
        <v>5.4307675185805238</v>
      </c>
    </row>
    <row r="30" spans="4:45" x14ac:dyDescent="0.2">
      <c r="D30">
        <v>40</v>
      </c>
      <c r="E30">
        <f t="shared" si="22"/>
        <v>5055.6000000000004</v>
      </c>
      <c r="F30">
        <f t="shared" si="13"/>
        <v>2527.8000000000002</v>
      </c>
      <c r="G30">
        <f t="shared" si="13"/>
        <v>1263.9000000000001</v>
      </c>
      <c r="H30">
        <f t="shared" si="13"/>
        <v>842.6</v>
      </c>
      <c r="I30">
        <f t="shared" si="13"/>
        <v>631.95000000000005</v>
      </c>
      <c r="J30">
        <f t="shared" si="13"/>
        <v>315.97500000000002</v>
      </c>
      <c r="K30">
        <f t="shared" si="13"/>
        <v>180.55714285714285</v>
      </c>
      <c r="N30">
        <v>40</v>
      </c>
      <c r="O30">
        <f t="shared" si="23"/>
        <v>5.0556000000000001</v>
      </c>
      <c r="P30">
        <f t="shared" si="14"/>
        <v>2.5278</v>
      </c>
      <c r="Q30">
        <f t="shared" si="15"/>
        <v>1.2639</v>
      </c>
      <c r="R30">
        <f>H30/1000</f>
        <v>0.84260000000000002</v>
      </c>
      <c r="S30">
        <f t="shared" si="17"/>
        <v>0.63195000000000001</v>
      </c>
      <c r="T30">
        <f t="shared" si="18"/>
        <v>0.31597500000000001</v>
      </c>
      <c r="U30">
        <f t="shared" si="19"/>
        <v>0.18055714285714286</v>
      </c>
      <c r="Z30" s="23">
        <v>2028</v>
      </c>
      <c r="AA30" s="3">
        <v>100.37465369967002</v>
      </c>
      <c r="AB30">
        <f t="shared" ref="AB30" si="27">($AA30*AA$12)/10^6</f>
        <v>7.5618249111183408E-2</v>
      </c>
      <c r="AC30">
        <f t="shared" si="9"/>
        <v>0.18904562277795853</v>
      </c>
      <c r="AD30">
        <f t="shared" si="9"/>
        <v>0.39567688488409924</v>
      </c>
      <c r="AE30">
        <f t="shared" si="9"/>
        <v>0.61549737648637648</v>
      </c>
      <c r="AF30">
        <f t="shared" si="9"/>
        <v>0.96721016305002039</v>
      </c>
      <c r="AG30">
        <f t="shared" si="9"/>
        <v>1.4947793428954859</v>
      </c>
      <c r="AH30">
        <f t="shared" si="9"/>
        <v>3.1566222594087026</v>
      </c>
      <c r="AL30">
        <v>100</v>
      </c>
      <c r="AM30">
        <v>67.620233100273168</v>
      </c>
      <c r="AO30">
        <v>59.100916894654908</v>
      </c>
      <c r="AP30">
        <v>79.088736271863766</v>
      </c>
      <c r="AR30">
        <f t="shared" si="21"/>
        <v>8.5193162056182601</v>
      </c>
      <c r="AS30">
        <f t="shared" si="12"/>
        <v>11.468503171590598</v>
      </c>
    </row>
    <row r="31" spans="4:45" x14ac:dyDescent="0.2">
      <c r="D31">
        <v>50</v>
      </c>
      <c r="E31">
        <f t="shared" si="22"/>
        <v>6319.5</v>
      </c>
      <c r="F31">
        <f t="shared" si="13"/>
        <v>3159.75</v>
      </c>
      <c r="G31">
        <f t="shared" si="13"/>
        <v>1579.875</v>
      </c>
      <c r="H31">
        <f t="shared" si="13"/>
        <v>1053.25</v>
      </c>
      <c r="I31">
        <f t="shared" si="13"/>
        <v>789.9375</v>
      </c>
      <c r="J31">
        <f t="shared" si="13"/>
        <v>394.96875</v>
      </c>
      <c r="K31">
        <f t="shared" si="13"/>
        <v>225.69642857142856</v>
      </c>
      <c r="N31">
        <v>50</v>
      </c>
      <c r="O31">
        <f t="shared" si="23"/>
        <v>6.3194999999999997</v>
      </c>
      <c r="P31">
        <f t="shared" si="14"/>
        <v>3.1597499999999998</v>
      </c>
      <c r="Q31">
        <f t="shared" si="15"/>
        <v>1.5798749999999999</v>
      </c>
      <c r="R31">
        <f t="shared" si="16"/>
        <v>1.05325</v>
      </c>
      <c r="S31">
        <f t="shared" si="17"/>
        <v>0.78993749999999996</v>
      </c>
      <c r="T31">
        <f t="shared" si="18"/>
        <v>0.39496874999999998</v>
      </c>
      <c r="U31">
        <f t="shared" si="19"/>
        <v>0.22569642857142855</v>
      </c>
      <c r="Z31" s="23">
        <v>2029</v>
      </c>
      <c r="AA31" s="3">
        <v>96.251034599459899</v>
      </c>
      <c r="AB31">
        <f t="shared" ref="AB31" si="28">($AA31*AA$12)/10^6</f>
        <v>7.2511679425849115E-2</v>
      </c>
      <c r="AC31">
        <f t="shared" si="9"/>
        <v>0.1812791985646228</v>
      </c>
      <c r="AD31">
        <f t="shared" si="9"/>
        <v>0.37942157839107093</v>
      </c>
      <c r="AE31">
        <f t="shared" si="9"/>
        <v>0.5902113441638881</v>
      </c>
      <c r="AF31">
        <f t="shared" si="9"/>
        <v>0.92747496940039564</v>
      </c>
      <c r="AG31">
        <f t="shared" si="9"/>
        <v>1.433370407255157</v>
      </c>
      <c r="AH31">
        <f t="shared" si="9"/>
        <v>3.026941036497655</v>
      </c>
    </row>
    <row r="32" spans="4:45" x14ac:dyDescent="0.2">
      <c r="D32">
        <v>60</v>
      </c>
      <c r="E32">
        <f t="shared" si="22"/>
        <v>7583.4</v>
      </c>
      <c r="F32">
        <f t="shared" si="13"/>
        <v>3791.7</v>
      </c>
      <c r="G32">
        <f t="shared" si="13"/>
        <v>1895.85</v>
      </c>
      <c r="H32">
        <f t="shared" si="13"/>
        <v>1263.8999999999999</v>
      </c>
      <c r="I32">
        <f t="shared" si="13"/>
        <v>947.92499999999995</v>
      </c>
      <c r="J32">
        <f t="shared" si="13"/>
        <v>473.96249999999998</v>
      </c>
      <c r="K32">
        <f t="shared" si="13"/>
        <v>270.83571428571423</v>
      </c>
      <c r="N32">
        <v>60</v>
      </c>
      <c r="O32">
        <f t="shared" si="23"/>
        <v>7.5833999999999993</v>
      </c>
      <c r="P32">
        <f t="shared" si="14"/>
        <v>3.7916999999999996</v>
      </c>
      <c r="Q32">
        <f t="shared" si="15"/>
        <v>1.8958499999999998</v>
      </c>
      <c r="R32">
        <f t="shared" si="16"/>
        <v>1.2638999999999998</v>
      </c>
      <c r="S32">
        <f t="shared" si="17"/>
        <v>0.94792499999999991</v>
      </c>
      <c r="T32">
        <f t="shared" si="18"/>
        <v>0.47396249999999995</v>
      </c>
      <c r="U32">
        <f t="shared" si="19"/>
        <v>0.27083571428571424</v>
      </c>
      <c r="Z32" s="23">
        <v>2030</v>
      </c>
      <c r="AA32" s="3">
        <v>92.296823152047224</v>
      </c>
      <c r="AB32">
        <f t="shared" ref="AB32" si="29">($AA32*AA$12)/10^6</f>
        <v>6.9532734689826292E-2</v>
      </c>
      <c r="AC32">
        <f t="shared" si="9"/>
        <v>0.17383183672456573</v>
      </c>
      <c r="AD32">
        <f t="shared" si="9"/>
        <v>0.36383407686537017</v>
      </c>
      <c r="AE32">
        <f t="shared" si="9"/>
        <v>0.56596411956835369</v>
      </c>
      <c r="AF32">
        <f t="shared" si="9"/>
        <v>0.88937218789312711</v>
      </c>
      <c r="AG32">
        <f t="shared" si="9"/>
        <v>1.3744842903802872</v>
      </c>
      <c r="AH32">
        <f t="shared" si="9"/>
        <v>2.9025874132148419</v>
      </c>
      <c r="AL32">
        <v>5</v>
      </c>
      <c r="AM32">
        <f>AM24/AL24</f>
        <v>0.32397437585646205</v>
      </c>
      <c r="AO32">
        <f>AO24/AL24</f>
        <v>0.28315759626408493</v>
      </c>
      <c r="AP32">
        <f>AP24/AL24</f>
        <v>0.37892096486798232</v>
      </c>
      <c r="AR32">
        <f>AM32-AO32</f>
        <v>4.0816779592377117E-2</v>
      </c>
      <c r="AS32">
        <f>AP32-AM32</f>
        <v>5.4946589011520275E-2</v>
      </c>
    </row>
    <row r="33" spans="3:45" x14ac:dyDescent="0.2">
      <c r="D33">
        <v>70</v>
      </c>
      <c r="E33">
        <f t="shared" si="22"/>
        <v>8847.2999999999993</v>
      </c>
      <c r="F33">
        <f t="shared" si="13"/>
        <v>4423.6499999999996</v>
      </c>
      <c r="G33">
        <f t="shared" si="13"/>
        <v>2211.8249999999998</v>
      </c>
      <c r="H33">
        <f t="shared" si="13"/>
        <v>1474.5499999999997</v>
      </c>
      <c r="I33">
        <f t="shared" si="13"/>
        <v>1105.9124999999999</v>
      </c>
      <c r="J33">
        <f t="shared" si="13"/>
        <v>552.95624999999995</v>
      </c>
      <c r="K33">
        <f t="shared" si="13"/>
        <v>315.97499999999997</v>
      </c>
      <c r="N33">
        <v>70</v>
      </c>
      <c r="O33">
        <f t="shared" si="23"/>
        <v>8.8472999999999988</v>
      </c>
      <c r="P33">
        <f t="shared" si="14"/>
        <v>4.4236499999999994</v>
      </c>
      <c r="Q33">
        <f t="shared" si="15"/>
        <v>2.2118249999999997</v>
      </c>
      <c r="R33">
        <f t="shared" si="16"/>
        <v>1.4745499999999998</v>
      </c>
      <c r="S33">
        <f t="shared" si="17"/>
        <v>1.1059124999999999</v>
      </c>
      <c r="T33">
        <f t="shared" si="18"/>
        <v>0.55295624999999993</v>
      </c>
      <c r="U33">
        <f t="shared" si="19"/>
        <v>0.31597499999999995</v>
      </c>
      <c r="Z33" s="23">
        <v>2031</v>
      </c>
      <c r="AA33" s="3">
        <v>88.505059705696738</v>
      </c>
      <c r="AB33">
        <f>($AA33*AA$12)/10^6</f>
        <v>6.6676171779883692E-2</v>
      </c>
      <c r="AC33">
        <f t="shared" ref="AC33:AH42" si="30">($AA33*AB$9)/10^6</f>
        <v>0.16669042944970924</v>
      </c>
      <c r="AD33">
        <f t="shared" si="30"/>
        <v>0.34888694535985654</v>
      </c>
      <c r="AE33">
        <f t="shared" si="30"/>
        <v>0.54271302611533234</v>
      </c>
      <c r="AF33">
        <f t="shared" si="30"/>
        <v>0.8528347553240937</v>
      </c>
      <c r="AG33">
        <f t="shared" si="30"/>
        <v>1.318017349137236</v>
      </c>
      <c r="AH33">
        <f t="shared" si="30"/>
        <v>2.7833425196486332</v>
      </c>
      <c r="AL33">
        <v>10</v>
      </c>
      <c r="AM33">
        <f t="shared" ref="AM33:AM38" si="31">AM25/AL25</f>
        <v>0.40496796982057753</v>
      </c>
      <c r="AO33">
        <f t="shared" ref="AO33:AO38" si="32">AO25/AL25</f>
        <v>0.35394699533010604</v>
      </c>
      <c r="AP33">
        <f t="shared" ref="AP33:AP38" si="33">AP25/AL25</f>
        <v>0.47365120608497796</v>
      </c>
      <c r="AR33">
        <f t="shared" ref="AR33:AR38" si="34">AM33-AO33</f>
        <v>5.1020974490471493E-2</v>
      </c>
      <c r="AS33">
        <f t="shared" ref="AS33:AS38" si="35">AP33-AM33</f>
        <v>6.8683236264400427E-2</v>
      </c>
    </row>
    <row r="34" spans="3:45" x14ac:dyDescent="0.2">
      <c r="D34">
        <v>80</v>
      </c>
      <c r="E34">
        <f t="shared" si="22"/>
        <v>10111.200000000001</v>
      </c>
      <c r="F34">
        <f t="shared" si="13"/>
        <v>5055.6000000000004</v>
      </c>
      <c r="G34">
        <f t="shared" si="13"/>
        <v>2527.8000000000002</v>
      </c>
      <c r="H34">
        <f t="shared" si="13"/>
        <v>1685.2</v>
      </c>
      <c r="I34">
        <f t="shared" si="13"/>
        <v>1263.9000000000001</v>
      </c>
      <c r="J34">
        <f t="shared" si="13"/>
        <v>631.95000000000005</v>
      </c>
      <c r="K34">
        <f t="shared" si="13"/>
        <v>361.1142857142857</v>
      </c>
      <c r="N34">
        <v>80</v>
      </c>
      <c r="O34">
        <f>E34/1000</f>
        <v>10.1112</v>
      </c>
      <c r="P34">
        <f t="shared" si="14"/>
        <v>5.0556000000000001</v>
      </c>
      <c r="Q34">
        <f t="shared" si="15"/>
        <v>2.5278</v>
      </c>
      <c r="R34">
        <f t="shared" si="16"/>
        <v>1.6852</v>
      </c>
      <c r="S34">
        <f t="shared" si="17"/>
        <v>1.2639</v>
      </c>
      <c r="T34">
        <f t="shared" si="18"/>
        <v>0.63195000000000001</v>
      </c>
      <c r="U34">
        <f t="shared" si="19"/>
        <v>0.36111428571428572</v>
      </c>
      <c r="Z34" s="23">
        <v>2032</v>
      </c>
      <c r="AA34" s="3">
        <v>84.869070526997859</v>
      </c>
      <c r="AB34">
        <f t="shared" ref="AB34" si="36">($AA34*AA$12)/10^6</f>
        <v>6.3936962972219111E-2</v>
      </c>
      <c r="AC34">
        <f t="shared" si="30"/>
        <v>0.15984240743054778</v>
      </c>
      <c r="AD34">
        <f t="shared" si="30"/>
        <v>0.33455387601742553</v>
      </c>
      <c r="AE34">
        <f t="shared" si="30"/>
        <v>0.52041714047155085</v>
      </c>
      <c r="AF34">
        <f t="shared" si="30"/>
        <v>0.81779836359815139</v>
      </c>
      <c r="AG34">
        <f t="shared" si="30"/>
        <v>1.263870198288052</v>
      </c>
      <c r="AH34">
        <f t="shared" si="30"/>
        <v>2.6689964775612398</v>
      </c>
      <c r="AL34">
        <v>20</v>
      </c>
      <c r="AM34">
        <f t="shared" si="31"/>
        <v>0.42380368934711593</v>
      </c>
      <c r="AO34">
        <f t="shared" si="32"/>
        <v>0.37040964627569239</v>
      </c>
      <c r="AP34">
        <f t="shared" si="33"/>
        <v>0.49568149474009304</v>
      </c>
      <c r="AR34">
        <f t="shared" si="34"/>
        <v>5.3394043071423536E-2</v>
      </c>
      <c r="AS34">
        <f t="shared" si="35"/>
        <v>7.1877805392977112E-2</v>
      </c>
    </row>
    <row r="35" spans="3:45" x14ac:dyDescent="0.2">
      <c r="Z35" s="23">
        <v>2033</v>
      </c>
      <c r="AA35" s="3">
        <v>81.382456054689527</v>
      </c>
      <c r="AB35">
        <f t="shared" ref="AB35" si="37">($AA35*AA$12)/10^6</f>
        <v>6.13102870933609E-2</v>
      </c>
      <c r="AC35">
        <f t="shared" si="30"/>
        <v>0.15327571773340226</v>
      </c>
      <c r="AD35">
        <f t="shared" si="30"/>
        <v>0.32080964176758614</v>
      </c>
      <c r="AE35">
        <f t="shared" si="30"/>
        <v>0.49903722052735622</v>
      </c>
      <c r="AF35">
        <f t="shared" si="30"/>
        <v>0.78420134654298834</v>
      </c>
      <c r="AG35">
        <f t="shared" si="30"/>
        <v>1.2119475355664364</v>
      </c>
      <c r="AH35">
        <f t="shared" si="30"/>
        <v>2.5593480309902983</v>
      </c>
      <c r="AL35">
        <v>30</v>
      </c>
      <c r="AM35">
        <f t="shared" si="31"/>
        <v>0.43950012228589819</v>
      </c>
      <c r="AO35">
        <f t="shared" si="32"/>
        <v>0.38412852206368098</v>
      </c>
      <c r="AP35">
        <f t="shared" si="33"/>
        <v>0.51404006861935581</v>
      </c>
      <c r="AR35">
        <f t="shared" si="34"/>
        <v>5.537160022221721E-2</v>
      </c>
      <c r="AS35">
        <f t="shared" si="35"/>
        <v>7.4539946333457618E-2</v>
      </c>
    </row>
    <row r="36" spans="3:45" x14ac:dyDescent="0.2">
      <c r="H36" s="86" t="s">
        <v>100</v>
      </c>
      <c r="I36" s="86"/>
      <c r="K36" s="86" t="s">
        <v>101</v>
      </c>
      <c r="L36" s="86"/>
      <c r="Z36" s="23">
        <v>2034</v>
      </c>
      <c r="AA36" s="3">
        <v>78.039079636044576</v>
      </c>
      <c r="AB36">
        <f t="shared" ref="AB36" si="38">($AA36*AA$12)/10^6</f>
        <v>5.8791521034610543E-2</v>
      </c>
      <c r="AC36">
        <f t="shared" si="30"/>
        <v>0.14697880258652635</v>
      </c>
      <c r="AD36">
        <f t="shared" si="30"/>
        <v>0.3076300519252877</v>
      </c>
      <c r="AE36">
        <f t="shared" si="30"/>
        <v>0.47853563632822532</v>
      </c>
      <c r="AF36">
        <f t="shared" si="30"/>
        <v>0.75198457137292551</v>
      </c>
      <c r="AG36">
        <f t="shared" si="30"/>
        <v>1.1621579739399757</v>
      </c>
      <c r="AH36">
        <f t="shared" si="30"/>
        <v>2.4542041920261846</v>
      </c>
      <c r="AL36">
        <v>50</v>
      </c>
      <c r="AM36">
        <f t="shared" si="31"/>
        <v>0.41438582958384673</v>
      </c>
      <c r="AO36">
        <f t="shared" si="32"/>
        <v>0.3621783208028993</v>
      </c>
      <c r="AP36">
        <f t="shared" si="33"/>
        <v>0.48466635041253558</v>
      </c>
      <c r="AR36">
        <f t="shared" si="34"/>
        <v>5.2207508780947431E-2</v>
      </c>
      <c r="AS36">
        <f t="shared" si="35"/>
        <v>7.0280520828688853E-2</v>
      </c>
    </row>
    <row r="37" spans="3:45" x14ac:dyDescent="0.2">
      <c r="Z37" s="23">
        <v>2035</v>
      </c>
      <c r="AA37" s="3">
        <v>74.833056725989252</v>
      </c>
      <c r="AB37">
        <f t="shared" ref="AB37" si="39">($AA37*AA$12)/10^6</f>
        <v>5.6376231615091268E-2</v>
      </c>
      <c r="AC37">
        <f t="shared" si="30"/>
        <v>0.14094057903772816</v>
      </c>
      <c r="AD37">
        <f t="shared" si="30"/>
        <v>0.29499190961384963</v>
      </c>
      <c r="AE37">
        <f t="shared" si="30"/>
        <v>0.4588763038437661</v>
      </c>
      <c r="AF37">
        <f t="shared" si="30"/>
        <v>0.72109133461163244</v>
      </c>
      <c r="AG37">
        <f t="shared" si="30"/>
        <v>1.1144138807634321</v>
      </c>
      <c r="AH37">
        <f t="shared" si="30"/>
        <v>2.3533799011416008</v>
      </c>
      <c r="AL37">
        <v>75</v>
      </c>
      <c r="AM37">
        <f t="shared" si="31"/>
        <v>0.42694297593487202</v>
      </c>
      <c r="AO37">
        <f t="shared" si="32"/>
        <v>0.37315342143329</v>
      </c>
      <c r="AP37">
        <f t="shared" si="33"/>
        <v>0.4993532095159457</v>
      </c>
      <c r="AR37">
        <f t="shared" si="34"/>
        <v>5.3789554501582015E-2</v>
      </c>
      <c r="AS37">
        <f t="shared" si="35"/>
        <v>7.241023358107368E-2</v>
      </c>
    </row>
    <row r="38" spans="3:45" x14ac:dyDescent="0.2">
      <c r="Z38" s="23">
        <v>2036</v>
      </c>
      <c r="AA38" s="3">
        <v>71.758744529947165</v>
      </c>
      <c r="AB38">
        <f t="shared" ref="AB38" si="40">($AA38*AA$12)/10^6</f>
        <v>5.4060167779081E-2</v>
      </c>
      <c r="AC38">
        <f t="shared" si="30"/>
        <v>0.13515041944770251</v>
      </c>
      <c r="AD38">
        <f t="shared" si="30"/>
        <v>0.28287297093705177</v>
      </c>
      <c r="AE38">
        <f t="shared" si="30"/>
        <v>0.44002462145763599</v>
      </c>
      <c r="AF38">
        <f t="shared" si="30"/>
        <v>0.69146726229057087</v>
      </c>
      <c r="AG38">
        <f t="shared" si="30"/>
        <v>1.0686312235399731</v>
      </c>
      <c r="AH38">
        <f t="shared" si="30"/>
        <v>2.2566977014755905</v>
      </c>
      <c r="AL38">
        <v>100</v>
      </c>
      <c r="AM38">
        <f t="shared" si="31"/>
        <v>0.67620233100273164</v>
      </c>
      <c r="AO38">
        <f t="shared" si="32"/>
        <v>0.59100916894654909</v>
      </c>
      <c r="AP38">
        <f t="shared" si="33"/>
        <v>0.79088736271863769</v>
      </c>
      <c r="AR38">
        <f t="shared" si="34"/>
        <v>8.5193162056182548E-2</v>
      </c>
      <c r="AS38">
        <f t="shared" si="35"/>
        <v>0.11468503171590605</v>
      </c>
    </row>
    <row r="39" spans="3:45" x14ac:dyDescent="0.2">
      <c r="Z39" s="23">
        <v>2037</v>
      </c>
      <c r="AA39" s="3">
        <v>68.810732072179036</v>
      </c>
      <c r="AB39">
        <f t="shared" ref="AB39" si="41">($AA39*AA$12)/10^6</f>
        <v>5.1839253113896797E-2</v>
      </c>
      <c r="AC39">
        <f t="shared" si="30"/>
        <v>0.129598132784742</v>
      </c>
      <c r="AD39">
        <f t="shared" si="30"/>
        <v>0.27125190582852976</v>
      </c>
      <c r="AE39">
        <f t="shared" si="30"/>
        <v>0.42194740906660183</v>
      </c>
      <c r="AF39">
        <f t="shared" si="30"/>
        <v>0.66306021424751715</v>
      </c>
      <c r="AG39">
        <f t="shared" si="30"/>
        <v>1.0247294220188901</v>
      </c>
      <c r="AH39">
        <f t="shared" si="30"/>
        <v>2.1639874264987151</v>
      </c>
    </row>
    <row r="40" spans="3:45" x14ac:dyDescent="0.2">
      <c r="C40" t="s">
        <v>164</v>
      </c>
      <c r="Z40" s="23">
        <v>2038</v>
      </c>
      <c r="AA40" s="3">
        <v>65.983830672137543</v>
      </c>
      <c r="AB40">
        <f>($AA40*AA$12)/10^6</f>
        <v>4.9709578675161535E-2</v>
      </c>
      <c r="AC40">
        <f t="shared" si="30"/>
        <v>0.12427394668790386</v>
      </c>
      <c r="AD40">
        <f t="shared" si="30"/>
        <v>0.2601082605095662</v>
      </c>
      <c r="AE40">
        <f t="shared" si="30"/>
        <v>0.40461284968154743</v>
      </c>
      <c r="AF40">
        <f t="shared" si="30"/>
        <v>0.63582019235671738</v>
      </c>
      <c r="AG40">
        <f t="shared" si="30"/>
        <v>0.98263120636947232</v>
      </c>
      <c r="AH40">
        <f t="shared" si="30"/>
        <v>2.0750859005096505</v>
      </c>
      <c r="AL40">
        <v>5</v>
      </c>
      <c r="AM40">
        <v>4.67</v>
      </c>
      <c r="AN40">
        <f>AM40/AL40</f>
        <v>0.93399999999999994</v>
      </c>
      <c r="AO40">
        <v>0.32397437585646205</v>
      </c>
    </row>
    <row r="41" spans="3:45" x14ac:dyDescent="0.2">
      <c r="Z41" s="23">
        <v>2039</v>
      </c>
      <c r="AA41" s="3">
        <v>63.273064812075084</v>
      </c>
      <c r="AB41">
        <f t="shared" ref="AB41" si="42">($AA41*AA$12)/10^6</f>
        <v>4.7667396106824883E-2</v>
      </c>
      <c r="AC41">
        <f t="shared" si="30"/>
        <v>0.11916849026706222</v>
      </c>
      <c r="AD41">
        <f t="shared" si="30"/>
        <v>0.24942242148919996</v>
      </c>
      <c r="AE41">
        <f t="shared" si="30"/>
        <v>0.38799043342764444</v>
      </c>
      <c r="AF41">
        <f t="shared" si="30"/>
        <v>0.60969925252915547</v>
      </c>
      <c r="AG41">
        <f t="shared" si="30"/>
        <v>0.94226248118142208</v>
      </c>
      <c r="AH41">
        <f t="shared" si="30"/>
        <v>1.9898366514360621</v>
      </c>
      <c r="AL41">
        <v>10</v>
      </c>
      <c r="AM41">
        <v>6.85</v>
      </c>
      <c r="AN41">
        <f t="shared" ref="AN41:AN46" si="43">AM41/AL41</f>
        <v>0.68499999999999994</v>
      </c>
      <c r="AO41">
        <v>0.40496796982057753</v>
      </c>
    </row>
    <row r="42" spans="3:45" x14ac:dyDescent="0.2">
      <c r="Z42" s="23">
        <v>2040</v>
      </c>
      <c r="AA42" s="3">
        <v>60.673663379831204</v>
      </c>
      <c r="AB42">
        <f t="shared" ref="AB42" si="44">($AA42*AA$12)/10^6</f>
        <v>4.5709111043829638E-2</v>
      </c>
      <c r="AC42">
        <f t="shared" si="30"/>
        <v>0.11427277760957411</v>
      </c>
      <c r="AD42">
        <f t="shared" si="30"/>
        <v>0.23917558104329459</v>
      </c>
      <c r="AE42">
        <f t="shared" si="30"/>
        <v>0.37205090384512496</v>
      </c>
      <c r="AF42">
        <f t="shared" si="30"/>
        <v>0.58465142032805351</v>
      </c>
      <c r="AG42">
        <f t="shared" si="30"/>
        <v>0.90355219505244633</v>
      </c>
      <c r="AH42">
        <f t="shared" si="30"/>
        <v>1.9080896354342836</v>
      </c>
      <c r="AL42">
        <v>20</v>
      </c>
      <c r="AM42">
        <v>11</v>
      </c>
      <c r="AN42">
        <f>AM42/AL42</f>
        <v>0.55000000000000004</v>
      </c>
      <c r="AO42">
        <v>0.42380368934711599</v>
      </c>
    </row>
    <row r="43" spans="3:45" x14ac:dyDescent="0.2">
      <c r="C43" t="s">
        <v>89</v>
      </c>
      <c r="D43" t="s">
        <v>165</v>
      </c>
      <c r="E43" t="s">
        <v>166</v>
      </c>
      <c r="F43" t="s">
        <v>167</v>
      </c>
      <c r="H43" t="s">
        <v>168</v>
      </c>
      <c r="Z43" s="23">
        <v>2041</v>
      </c>
      <c r="AA43" s="3">
        <v>58.181051271386011</v>
      </c>
      <c r="AB43">
        <f t="shared" ref="AB43" si="45">($AA43*AA$12)/10^6</f>
        <v>4.3831276785811363E-2</v>
      </c>
      <c r="AC43">
        <f t="shared" ref="AC43:AH48" si="46">($AA43*AB$9)/10^6</f>
        <v>0.10957819196452842</v>
      </c>
      <c r="AD43">
        <f t="shared" si="46"/>
        <v>0.22934970411180364</v>
      </c>
      <c r="AE43">
        <f t="shared" si="46"/>
        <v>0.35676620639613899</v>
      </c>
      <c r="AF43">
        <f t="shared" si="46"/>
        <v>0.56063261005107556</v>
      </c>
      <c r="AG43">
        <f t="shared" si="46"/>
        <v>0.86643221553348049</v>
      </c>
      <c r="AH43">
        <f t="shared" si="46"/>
        <v>1.829700972803056</v>
      </c>
      <c r="AL43">
        <v>30</v>
      </c>
      <c r="AM43">
        <v>26.2</v>
      </c>
      <c r="AN43">
        <f>AM43/AL43</f>
        <v>0.87333333333333329</v>
      </c>
      <c r="AO43">
        <v>0.43950012228589819</v>
      </c>
    </row>
    <row r="44" spans="3:45" x14ac:dyDescent="0.2">
      <c r="C44">
        <v>5</v>
      </c>
      <c r="D44">
        <v>2800</v>
      </c>
      <c r="E44">
        <f>D44*0.3</f>
        <v>840</v>
      </c>
      <c r="F44">
        <f>E44</f>
        <v>840</v>
      </c>
      <c r="H44" t="s">
        <v>169</v>
      </c>
      <c r="J44" s="7" t="s">
        <v>171</v>
      </c>
      <c r="Z44" s="23">
        <v>2042</v>
      </c>
      <c r="AA44" s="3">
        <v>55.7908413383999</v>
      </c>
      <c r="AB44">
        <f>($AA44*AA$12)/10^6</f>
        <v>4.2030588230696948E-2</v>
      </c>
      <c r="AC44">
        <f t="shared" si="46"/>
        <v>0.10507647057674237</v>
      </c>
      <c r="AD44">
        <f t="shared" si="46"/>
        <v>0.21992749655597241</v>
      </c>
      <c r="AE44">
        <f t="shared" si="46"/>
        <v>0.3421094390870682</v>
      </c>
      <c r="AF44">
        <f t="shared" si="46"/>
        <v>0.53760054713682148</v>
      </c>
      <c r="AG44">
        <f t="shared" si="46"/>
        <v>0.83083720921145132</v>
      </c>
      <c r="AH44">
        <f t="shared" si="46"/>
        <v>1.7545326947465356</v>
      </c>
      <c r="AL44">
        <v>50</v>
      </c>
      <c r="AM44">
        <v>33.799999999999997</v>
      </c>
      <c r="AN44">
        <f t="shared" si="43"/>
        <v>0.67599999999999993</v>
      </c>
      <c r="AO44">
        <v>0.41438582958384673</v>
      </c>
    </row>
    <row r="45" spans="3:45" x14ac:dyDescent="0.2">
      <c r="C45">
        <v>10</v>
      </c>
      <c r="D45">
        <v>3800</v>
      </c>
      <c r="E45">
        <f t="shared" ref="E45:E49" si="47">D45*0.3</f>
        <v>1140</v>
      </c>
      <c r="F45">
        <f t="shared" ref="F45:F49" si="48">E45</f>
        <v>1140</v>
      </c>
      <c r="H45" t="s">
        <v>169</v>
      </c>
      <c r="Z45" s="23">
        <v>2043</v>
      </c>
      <c r="AA45" s="3">
        <v>53.498826666566728</v>
      </c>
      <c r="AB45">
        <f t="shared" ref="AB45" si="49">($AA45*AA$12)/10^6</f>
        <v>4.0303876057524717E-2</v>
      </c>
      <c r="AC45">
        <f t="shared" si="46"/>
        <v>0.10075969014381178</v>
      </c>
      <c r="AD45">
        <f t="shared" si="46"/>
        <v>0.21089237471960603</v>
      </c>
      <c r="AE45">
        <f t="shared" si="46"/>
        <v>0.32805480511938717</v>
      </c>
      <c r="AF45">
        <f t="shared" si="46"/>
        <v>0.51551469375903702</v>
      </c>
      <c r="AG45">
        <f t="shared" si="46"/>
        <v>0.79670452671851166</v>
      </c>
      <c r="AH45">
        <f t="shared" si="46"/>
        <v>1.6824525005408573</v>
      </c>
      <c r="AL45">
        <v>75</v>
      </c>
      <c r="AM45">
        <v>48.6</v>
      </c>
      <c r="AN45">
        <f t="shared" si="43"/>
        <v>0.64800000000000002</v>
      </c>
      <c r="AO45">
        <v>0.4269429759348724</v>
      </c>
    </row>
    <row r="46" spans="3:45" x14ac:dyDescent="0.2">
      <c r="C46">
        <v>20</v>
      </c>
      <c r="D46">
        <v>5700</v>
      </c>
      <c r="E46">
        <f t="shared" si="47"/>
        <v>1710</v>
      </c>
      <c r="F46">
        <f t="shared" si="48"/>
        <v>1710</v>
      </c>
      <c r="H46" t="s">
        <v>169</v>
      </c>
      <c r="Z46" s="23">
        <v>2044</v>
      </c>
      <c r="AA46" s="3">
        <v>51.300973171189639</v>
      </c>
      <c r="AB46">
        <f t="shared" ref="AB46" si="50">($AA46*AA$12)/10^6</f>
        <v>3.8648101148247425E-2</v>
      </c>
      <c r="AC46">
        <f t="shared" si="46"/>
        <v>9.6620252870618567E-2</v>
      </c>
      <c r="AD46">
        <f t="shared" si="46"/>
        <v>0.20222843624082956</v>
      </c>
      <c r="AE46">
        <f t="shared" si="46"/>
        <v>0.3145775674857349</v>
      </c>
      <c r="AF46">
        <f t="shared" si="46"/>
        <v>0.49433617747758335</v>
      </c>
      <c r="AG46">
        <f t="shared" si="46"/>
        <v>0.76397409246535608</v>
      </c>
      <c r="AH46">
        <f t="shared" si="46"/>
        <v>1.6133335246768403</v>
      </c>
      <c r="AL46">
        <v>100</v>
      </c>
      <c r="AM46">
        <v>55.3</v>
      </c>
      <c r="AN46">
        <f t="shared" si="43"/>
        <v>0.55299999999999994</v>
      </c>
      <c r="AO46">
        <v>0.67620233100273164</v>
      </c>
    </row>
    <row r="47" spans="3:45" x14ac:dyDescent="0.2">
      <c r="C47">
        <v>30</v>
      </c>
      <c r="D47">
        <v>8000</v>
      </c>
      <c r="E47">
        <f t="shared" si="47"/>
        <v>2400</v>
      </c>
      <c r="F47">
        <f t="shared" si="48"/>
        <v>2400</v>
      </c>
      <c r="H47" t="s">
        <v>170</v>
      </c>
      <c r="Z47" s="23">
        <v>2045</v>
      </c>
      <c r="AA47" s="3">
        <v>49.19341249694763</v>
      </c>
      <c r="AB47">
        <f t="shared" ref="AB47" si="51">($AA47*AA$12)/10^6</f>
        <v>3.7060349238700468E-2</v>
      </c>
      <c r="AC47">
        <f t="shared" si="46"/>
        <v>9.2650873096751171E-2</v>
      </c>
      <c r="AD47">
        <f t="shared" si="46"/>
        <v>0.19392043206296755</v>
      </c>
      <c r="AE47">
        <f t="shared" si="46"/>
        <v>0.30165400543128285</v>
      </c>
      <c r="AF47">
        <f t="shared" si="46"/>
        <v>0.47402772282058736</v>
      </c>
      <c r="AG47">
        <f t="shared" si="46"/>
        <v>0.73258829890454413</v>
      </c>
      <c r="AH47">
        <f t="shared" si="46"/>
        <v>1.5470541135690079</v>
      </c>
    </row>
    <row r="48" spans="3:45" x14ac:dyDescent="0.2">
      <c r="C48">
        <v>50</v>
      </c>
      <c r="D48">
        <v>12000</v>
      </c>
      <c r="E48">
        <f t="shared" si="47"/>
        <v>3600</v>
      </c>
      <c r="F48">
        <f t="shared" si="48"/>
        <v>3600</v>
      </c>
      <c r="H48" t="s">
        <v>170</v>
      </c>
      <c r="Z48" s="23">
        <v>2046</v>
      </c>
      <c r="AA48" s="3">
        <v>47.172435209355797</v>
      </c>
      <c r="AB48">
        <f t="shared" ref="AB48" si="52">($AA48*AA$12)/10^6</f>
        <v>3.5537825789320285E-2</v>
      </c>
      <c r="AC48">
        <f t="shared" si="46"/>
        <v>8.8844564473300705E-2</v>
      </c>
      <c r="AD48">
        <f t="shared" si="46"/>
        <v>0.18595373959528055</v>
      </c>
      <c r="AE48">
        <f t="shared" si="46"/>
        <v>0.28926137270376978</v>
      </c>
      <c r="AF48">
        <f t="shared" si="46"/>
        <v>0.45455358567735243</v>
      </c>
      <c r="AG48">
        <f t="shared" si="46"/>
        <v>0.70249190513772652</v>
      </c>
      <c r="AH48">
        <f t="shared" si="46"/>
        <v>1.4834976114379048</v>
      </c>
    </row>
    <row r="49" spans="2:45" x14ac:dyDescent="0.2">
      <c r="C49">
        <v>75</v>
      </c>
      <c r="D49">
        <v>15000</v>
      </c>
      <c r="E49">
        <f t="shared" si="47"/>
        <v>4500</v>
      </c>
      <c r="F49">
        <f t="shared" si="48"/>
        <v>4500</v>
      </c>
      <c r="H49" t="s">
        <v>170</v>
      </c>
    </row>
    <row r="50" spans="2:45" x14ac:dyDescent="0.2">
      <c r="C50">
        <v>100</v>
      </c>
      <c r="D50">
        <v>20000</v>
      </c>
      <c r="E50">
        <f>D50*0.3</f>
        <v>6000</v>
      </c>
      <c r="F50">
        <f>E50</f>
        <v>6000</v>
      </c>
      <c r="H50" t="s">
        <v>170</v>
      </c>
      <c r="I50" t="s">
        <v>172</v>
      </c>
      <c r="AA50" t="s">
        <v>369</v>
      </c>
      <c r="AB50">
        <f>SUM(AB23:AB48)</f>
        <v>1.6393929713558002</v>
      </c>
      <c r="AC50">
        <f t="shared" ref="AC50:AG50" si="53">SUM(AC23:AC48)</f>
        <v>4.0984824283895005</v>
      </c>
      <c r="AD50">
        <f t="shared" si="53"/>
        <v>8.5782190361640698</v>
      </c>
      <c r="AE50">
        <f t="shared" si="53"/>
        <v>13.343896278477443</v>
      </c>
      <c r="AF50">
        <f t="shared" si="53"/>
        <v>20.968979866178838</v>
      </c>
      <c r="AG50">
        <f t="shared" si="53"/>
        <v>32.406605247730937</v>
      </c>
      <c r="AH50">
        <f>SUM(AH23:AH48)</f>
        <v>68.435125199620032</v>
      </c>
    </row>
    <row r="51" spans="2:45" x14ac:dyDescent="0.2">
      <c r="AA51" t="s">
        <v>369</v>
      </c>
      <c r="AB51">
        <v>1.6198718792823099</v>
      </c>
      <c r="AC51">
        <v>4.0496796982057752</v>
      </c>
      <c r="AD51">
        <v>8.4760737869423188</v>
      </c>
      <c r="AE51">
        <v>13.185003668576945</v>
      </c>
      <c r="AF51">
        <v>20.719291479192336</v>
      </c>
      <c r="AG51">
        <v>32.02072319511543</v>
      </c>
      <c r="AH51">
        <v>67.620233100273197</v>
      </c>
    </row>
    <row r="55" spans="2:45" x14ac:dyDescent="0.2">
      <c r="E55" t="s">
        <v>168</v>
      </c>
      <c r="M55">
        <v>4</v>
      </c>
      <c r="N55">
        <v>100</v>
      </c>
      <c r="O55">
        <v>100</v>
      </c>
      <c r="P55">
        <v>50</v>
      </c>
      <c r="Q55">
        <v>25</v>
      </c>
      <c r="R55">
        <v>16</v>
      </c>
      <c r="S55">
        <v>12</v>
      </c>
      <c r="T55">
        <v>6</v>
      </c>
      <c r="U55">
        <v>3</v>
      </c>
      <c r="Z55" t="s">
        <v>161</v>
      </c>
    </row>
    <row r="56" spans="2:45" x14ac:dyDescent="0.2">
      <c r="E56" t="s">
        <v>169</v>
      </c>
      <c r="F56" t="s">
        <v>170</v>
      </c>
      <c r="M56">
        <v>2</v>
      </c>
      <c r="N56">
        <v>50</v>
      </c>
      <c r="AD56" t="s">
        <v>162</v>
      </c>
      <c r="AM56" t="s">
        <v>163</v>
      </c>
    </row>
    <row r="57" spans="2:45" x14ac:dyDescent="0.2">
      <c r="B57" t="s">
        <v>177</v>
      </c>
      <c r="D57" t="s">
        <v>173</v>
      </c>
      <c r="E57">
        <v>0.53300000000000003</v>
      </c>
      <c r="F57">
        <v>0.221</v>
      </c>
      <c r="G57" t="s">
        <v>179</v>
      </c>
      <c r="M57">
        <v>1</v>
      </c>
      <c r="N57">
        <v>25</v>
      </c>
      <c r="AA57" t="s">
        <v>155</v>
      </c>
      <c r="AB57" t="s">
        <v>156</v>
      </c>
      <c r="AD57">
        <v>5</v>
      </c>
      <c r="AE57">
        <v>10</v>
      </c>
      <c r="AF57">
        <v>20</v>
      </c>
      <c r="AG57">
        <v>30</v>
      </c>
      <c r="AH57">
        <v>50</v>
      </c>
      <c r="AI57">
        <v>75</v>
      </c>
      <c r="AJ57">
        <v>100</v>
      </c>
      <c r="AM57">
        <v>5</v>
      </c>
      <c r="AN57">
        <v>10</v>
      </c>
      <c r="AO57">
        <v>20</v>
      </c>
      <c r="AP57">
        <v>30</v>
      </c>
      <c r="AQ57">
        <v>50</v>
      </c>
      <c r="AR57">
        <v>75</v>
      </c>
      <c r="AS57">
        <v>100</v>
      </c>
    </row>
    <row r="58" spans="2:45" x14ac:dyDescent="0.2">
      <c r="D58" t="s">
        <v>174</v>
      </c>
      <c r="E58">
        <v>0.52700000000000002</v>
      </c>
      <c r="F58">
        <v>0.219</v>
      </c>
      <c r="G58" t="s">
        <v>179</v>
      </c>
      <c r="M58">
        <v>0.66666666666666663</v>
      </c>
      <c r="N58">
        <v>16</v>
      </c>
      <c r="Z58" s="23">
        <v>2021</v>
      </c>
      <c r="AA58">
        <v>123.76981138311956</v>
      </c>
      <c r="AB58">
        <v>145.86435171263011</v>
      </c>
      <c r="AD58">
        <f>($AA58*AA$12)/10^6</f>
        <v>9.3243225103586957E-2</v>
      </c>
      <c r="AE58">
        <f t="shared" ref="AE58:AE83" si="54">($AA58*AB$9)/10^6</f>
        <v>0.23310806275896739</v>
      </c>
      <c r="AF58">
        <f t="shared" ref="AF58:AF83" si="55">($AA58*AC$9)/10^6</f>
        <v>0.48790059647225731</v>
      </c>
      <c r="AG58">
        <f t="shared" ref="AG58:AG83" si="56">($AA58*AD$9)/10^6</f>
        <v>0.75895648340128907</v>
      </c>
      <c r="AH58">
        <f t="shared" ref="AH58:AH83" si="57">($AA58*AE$9)/10^6</f>
        <v>1.1926459024877401</v>
      </c>
      <c r="AI58">
        <f t="shared" ref="AI58:AI83" si="58">($AA58*AF$9)/10^6</f>
        <v>1.8431800311174165</v>
      </c>
      <c r="AJ58">
        <f t="shared" ref="AJ58:AJ83" si="59">($AA58*AG$9)/10^6</f>
        <v>3.8923625363008973</v>
      </c>
      <c r="AM58">
        <f>($AB58*AA$12)/10^6</f>
        <v>0.10988836800622703</v>
      </c>
      <c r="AN58">
        <f t="shared" ref="AN58:AN83" si="60">($AB58*AB$9)/10^6</f>
        <v>0.27472092001556758</v>
      </c>
      <c r="AO58">
        <f t="shared" ref="AO58:AO83" si="61">($AB58*AC$9)/10^6</f>
        <v>0.57499727445118798</v>
      </c>
      <c r="AP58">
        <f t="shared" ref="AP58:AP83" si="62">($AB58*AD$9)/10^6</f>
        <v>0.89444020470184782</v>
      </c>
      <c r="AQ58">
        <f t="shared" ref="AQ58:AQ83" si="63">($AB58*AE$9)/10^6</f>
        <v>1.4055488931029039</v>
      </c>
      <c r="AR58">
        <f t="shared" ref="AR58:AR83" si="64">($AB58*AF$9)/10^6</f>
        <v>2.1722119257044876</v>
      </c>
      <c r="AS58">
        <f t="shared" ref="AS58:AS83" si="65">($AB58*AG$9)/10^6</f>
        <v>4.5872004783994766</v>
      </c>
    </row>
    <row r="59" spans="2:45" x14ac:dyDescent="0.2">
      <c r="D59" t="s">
        <v>175</v>
      </c>
      <c r="E59">
        <v>0.52800000000000002</v>
      </c>
      <c r="F59">
        <v>0.22</v>
      </c>
      <c r="G59" t="s">
        <v>179</v>
      </c>
      <c r="M59">
        <v>0.5</v>
      </c>
      <c r="N59">
        <v>12</v>
      </c>
      <c r="Z59" s="23">
        <v>2022</v>
      </c>
      <c r="AA59">
        <v>117.94713087361266</v>
      </c>
      <c r="AB59">
        <v>140.74701964339349</v>
      </c>
      <c r="AD59">
        <f t="shared" ref="AD59:AD83" si="66">($AA59*AA$12)/10^6</f>
        <v>8.8856650514944832E-2</v>
      </c>
      <c r="AE59">
        <f t="shared" si="54"/>
        <v>0.22214162628736212</v>
      </c>
      <c r="AF59">
        <f t="shared" si="55"/>
        <v>0.46494758990378116</v>
      </c>
      <c r="AG59">
        <f t="shared" si="56"/>
        <v>0.72325180651699283</v>
      </c>
      <c r="AH59">
        <f t="shared" si="57"/>
        <v>1.1365385530981316</v>
      </c>
      <c r="AI59">
        <f t="shared" si="58"/>
        <v>1.7564686729698398</v>
      </c>
      <c r="AJ59">
        <f t="shared" si="59"/>
        <v>3.7092485505657207</v>
      </c>
      <c r="AM59">
        <f t="shared" ref="AM59:AM83" si="67">($AB59*AA$12)/10^6</f>
        <v>0.10603317471854691</v>
      </c>
      <c r="AN59">
        <f t="shared" si="60"/>
        <v>0.2650829367963673</v>
      </c>
      <c r="AO59">
        <f t="shared" si="61"/>
        <v>0.55482475143425714</v>
      </c>
      <c r="AP59">
        <f t="shared" si="62"/>
        <v>0.86306072445328885</v>
      </c>
      <c r="AQ59">
        <f t="shared" si="63"/>
        <v>1.3562382812837397</v>
      </c>
      <c r="AR59">
        <f t="shared" si="64"/>
        <v>2.0960046165294157</v>
      </c>
      <c r="AS59">
        <f t="shared" si="65"/>
        <v>4.4262685725532958</v>
      </c>
    </row>
    <row r="60" spans="2:45" x14ac:dyDescent="0.2">
      <c r="D60" t="s">
        <v>176</v>
      </c>
      <c r="E60">
        <v>0.52900000000000003</v>
      </c>
      <c r="F60">
        <v>0.219</v>
      </c>
      <c r="G60" t="s">
        <v>179</v>
      </c>
      <c r="M60">
        <v>0.25</v>
      </c>
      <c r="N60">
        <v>6</v>
      </c>
      <c r="Z60" s="23">
        <v>2023</v>
      </c>
      <c r="AA60">
        <v>112.39837506300385</v>
      </c>
      <c r="AB60">
        <v>135.80921798854101</v>
      </c>
      <c r="AD60">
        <f t="shared" si="66"/>
        <v>8.4676439837464576E-2</v>
      </c>
      <c r="AE60">
        <f t="shared" si="54"/>
        <v>0.21169109959366147</v>
      </c>
      <c r="AF60">
        <f t="shared" si="55"/>
        <v>0.44307439449836122</v>
      </c>
      <c r="AG60">
        <f t="shared" si="56"/>
        <v>0.68922683588633971</v>
      </c>
      <c r="AH60">
        <f t="shared" si="57"/>
        <v>1.0830707421071053</v>
      </c>
      <c r="AI60">
        <f t="shared" si="58"/>
        <v>1.6738366014382535</v>
      </c>
      <c r="AJ60">
        <f t="shared" si="59"/>
        <v>3.5347490583313705</v>
      </c>
      <c r="AM60">
        <f t="shared" si="67"/>
        <v>0.10231323246384724</v>
      </c>
      <c r="AN60">
        <f t="shared" si="60"/>
        <v>0.25578308115961818</v>
      </c>
      <c r="AO60">
        <f t="shared" si="61"/>
        <v>0.53535993731082865</v>
      </c>
      <c r="AP60">
        <f t="shared" si="62"/>
        <v>0.83278212470573354</v>
      </c>
      <c r="AQ60">
        <f t="shared" si="63"/>
        <v>1.3086576245375812</v>
      </c>
      <c r="AR60">
        <f t="shared" si="64"/>
        <v>2.0224708742853528</v>
      </c>
      <c r="AS60">
        <f t="shared" si="65"/>
        <v>4.2709826109908331</v>
      </c>
    </row>
    <row r="61" spans="2:45" x14ac:dyDescent="0.2">
      <c r="E61">
        <f>AVERAGE(E57:E60)</f>
        <v>0.52925</v>
      </c>
      <c r="F61">
        <f>AVERAGE(F57:F60)</f>
        <v>0.21975</v>
      </c>
      <c r="M61">
        <v>0.14285714285714285</v>
      </c>
      <c r="N61">
        <v>3</v>
      </c>
      <c r="Z61" s="23">
        <v>2024</v>
      </c>
      <c r="AA61">
        <v>107.1106573193469</v>
      </c>
      <c r="AB61">
        <v>131.04464831575422</v>
      </c>
      <c r="AD61">
        <f t="shared" si="66"/>
        <v>8.0692884798103187E-2</v>
      </c>
      <c r="AE61">
        <f t="shared" si="54"/>
        <v>0.20173221199525795</v>
      </c>
      <c r="AF61">
        <f t="shared" si="55"/>
        <v>0.42223021115286552</v>
      </c>
      <c r="AG61">
        <f t="shared" si="56"/>
        <v>0.65680255068223514</v>
      </c>
      <c r="AH61">
        <f t="shared" si="57"/>
        <v>1.0321182939292266</v>
      </c>
      <c r="AI61">
        <f t="shared" si="58"/>
        <v>1.595091908799714</v>
      </c>
      <c r="AJ61">
        <f t="shared" si="59"/>
        <v>3.3684587956417493</v>
      </c>
      <c r="AM61">
        <f t="shared" si="67"/>
        <v>9.8723796255156607E-2</v>
      </c>
      <c r="AN61">
        <f t="shared" si="60"/>
        <v>0.24680949063789148</v>
      </c>
      <c r="AO61">
        <f t="shared" si="61"/>
        <v>0.51657800366070317</v>
      </c>
      <c r="AP61">
        <f t="shared" si="62"/>
        <v>0.80356578347220486</v>
      </c>
      <c r="AQ61">
        <f t="shared" si="63"/>
        <v>1.2627462311706077</v>
      </c>
      <c r="AR61">
        <f t="shared" si="64"/>
        <v>1.9515169027182118</v>
      </c>
      <c r="AS61">
        <f t="shared" si="65"/>
        <v>4.121144518093165</v>
      </c>
    </row>
    <row r="62" spans="2:45" x14ac:dyDescent="0.2">
      <c r="Z62" s="23">
        <v>2025</v>
      </c>
      <c r="AA62">
        <v>102.07169725497943</v>
      </c>
      <c r="AB62">
        <v>126.44723315945063</v>
      </c>
      <c r="AD62">
        <f t="shared" si="66"/>
        <v>7.6896733844011314E-2</v>
      </c>
      <c r="AE62">
        <f t="shared" si="54"/>
        <v>0.19224183461002825</v>
      </c>
      <c r="AF62">
        <f t="shared" si="55"/>
        <v>0.40236663057912891</v>
      </c>
      <c r="AG62">
        <f t="shared" si="56"/>
        <v>0.62590364756753392</v>
      </c>
      <c r="AH62">
        <f t="shared" si="57"/>
        <v>0.98356287474898174</v>
      </c>
      <c r="AI62">
        <f t="shared" si="58"/>
        <v>1.5200517155211535</v>
      </c>
      <c r="AJ62">
        <f t="shared" si="59"/>
        <v>3.2099915639534951</v>
      </c>
      <c r="AM62">
        <f t="shared" si="67"/>
        <v>9.5260287573003741E-2</v>
      </c>
      <c r="AN62">
        <f t="shared" si="60"/>
        <v>0.23815071893250933</v>
      </c>
      <c r="AO62">
        <f t="shared" si="61"/>
        <v>0.49845499311455438</v>
      </c>
      <c r="AP62">
        <f t="shared" si="62"/>
        <v>0.77537443373375126</v>
      </c>
      <c r="AQ62">
        <f t="shared" si="63"/>
        <v>1.2184455387244661</v>
      </c>
      <c r="AR62">
        <f t="shared" si="64"/>
        <v>1.8830521962105387</v>
      </c>
      <c r="AS62">
        <f t="shared" si="65"/>
        <v>3.9765631672916673</v>
      </c>
    </row>
    <row r="63" spans="2:45" x14ac:dyDescent="0.2">
      <c r="E63">
        <f>E61*18</f>
        <v>9.5265000000000004</v>
      </c>
      <c r="Z63" s="23">
        <v>2026</v>
      </c>
      <c r="AA63">
        <v>97.269792206104839</v>
      </c>
      <c r="AB63">
        <v>122.01110826864866</v>
      </c>
      <c r="AD63">
        <f t="shared" si="66"/>
        <v>7.327917065639114E-2</v>
      </c>
      <c r="AE63">
        <f t="shared" si="54"/>
        <v>0.18319792664097784</v>
      </c>
      <c r="AF63">
        <f t="shared" si="55"/>
        <v>0.38343752087646527</v>
      </c>
      <c r="AG63">
        <f t="shared" si="56"/>
        <v>0.59645836580783484</v>
      </c>
      <c r="AH63">
        <f t="shared" si="57"/>
        <v>0.93729171769802622</v>
      </c>
      <c r="AI63">
        <f t="shared" si="58"/>
        <v>1.4485417455333134</v>
      </c>
      <c r="AJ63">
        <f t="shared" si="59"/>
        <v>3.0589793332144675</v>
      </c>
      <c r="AM63">
        <f t="shared" si="67"/>
        <v>9.1918288525269148E-2</v>
      </c>
      <c r="AN63">
        <f t="shared" si="60"/>
        <v>0.22979572131317288</v>
      </c>
      <c r="AO63">
        <f t="shared" si="61"/>
        <v>0.48096778879501301</v>
      </c>
      <c r="AP63">
        <f t="shared" si="62"/>
        <v>0.74817211590335353</v>
      </c>
      <c r="AQ63">
        <f t="shared" si="63"/>
        <v>1.1756990392766984</v>
      </c>
      <c r="AR63">
        <f t="shared" si="64"/>
        <v>1.8169894243367157</v>
      </c>
      <c r="AS63">
        <f t="shared" si="65"/>
        <v>3.8370541372757709</v>
      </c>
    </row>
    <row r="64" spans="2:45" x14ac:dyDescent="0.2">
      <c r="Z64" s="23">
        <v>2027</v>
      </c>
      <c r="AA64">
        <v>92.693790054100958</v>
      </c>
      <c r="AB64">
        <v>117.73061512679904</v>
      </c>
      <c r="AD64">
        <f t="shared" si="66"/>
        <v>6.9831793675157502E-2</v>
      </c>
      <c r="AE64">
        <f t="shared" si="54"/>
        <v>0.17457948418789374</v>
      </c>
      <c r="AF64">
        <f t="shared" si="55"/>
        <v>0.36539892039326594</v>
      </c>
      <c r="AG64">
        <f t="shared" si="56"/>
        <v>0.56839832061174711</v>
      </c>
      <c r="AH64">
        <f t="shared" si="57"/>
        <v>0.89319736096131686</v>
      </c>
      <c r="AI64">
        <f t="shared" si="58"/>
        <v>1.3803959214856716</v>
      </c>
      <c r="AJ64">
        <f t="shared" si="59"/>
        <v>2.915071387137389</v>
      </c>
      <c r="AM64">
        <f t="shared" si="67"/>
        <v>8.8693536211925328E-2</v>
      </c>
      <c r="AN64">
        <f t="shared" si="60"/>
        <v>0.22173384052981332</v>
      </c>
      <c r="AO64">
        <f t="shared" si="61"/>
        <v>0.46409408482984182</v>
      </c>
      <c r="AP64">
        <f t="shared" si="62"/>
        <v>0.72192413195753169</v>
      </c>
      <c r="AQ64">
        <f t="shared" si="63"/>
        <v>1.1344522073618355</v>
      </c>
      <c r="AR64">
        <f t="shared" si="64"/>
        <v>1.7532443204682913</v>
      </c>
      <c r="AS64">
        <f t="shared" si="65"/>
        <v>3.7024394767536268</v>
      </c>
    </row>
    <row r="65" spans="4:45" x14ac:dyDescent="0.2">
      <c r="I65" t="s">
        <v>157</v>
      </c>
      <c r="Z65" s="23">
        <v>2028</v>
      </c>
      <c r="AA65">
        <v>88.333063325434807</v>
      </c>
      <c r="AB65">
        <v>113.60029373404194</v>
      </c>
      <c r="AD65">
        <f t="shared" si="66"/>
        <v>6.6546596586849568E-2</v>
      </c>
      <c r="AE65">
        <f t="shared" si="54"/>
        <v>0.1663664914671239</v>
      </c>
      <c r="AF65">
        <f t="shared" si="55"/>
        <v>0.34820893562886396</v>
      </c>
      <c r="AG65">
        <f t="shared" si="56"/>
        <v>0.54165834431156623</v>
      </c>
      <c r="AH65">
        <f t="shared" si="57"/>
        <v>0.85117739820388982</v>
      </c>
      <c r="AI65">
        <f t="shared" si="58"/>
        <v>1.3154559790423752</v>
      </c>
      <c r="AJ65">
        <f t="shared" si="59"/>
        <v>2.7779335086836041</v>
      </c>
      <c r="AM65">
        <f t="shared" si="67"/>
        <v>8.5581917287477841E-2</v>
      </c>
      <c r="AN65">
        <f t="shared" si="60"/>
        <v>0.21395479321869459</v>
      </c>
      <c r="AO65">
        <f t="shared" si="61"/>
        <v>0.44781235789959328</v>
      </c>
      <c r="AP65">
        <f t="shared" si="62"/>
        <v>0.69659700117714518</v>
      </c>
      <c r="AQ65">
        <f t="shared" si="63"/>
        <v>1.094652430421228</v>
      </c>
      <c r="AR65">
        <f t="shared" si="64"/>
        <v>1.6917355742873526</v>
      </c>
      <c r="AS65">
        <f t="shared" si="65"/>
        <v>3.5725474774656449</v>
      </c>
    </row>
    <row r="66" spans="4:45" x14ac:dyDescent="0.2">
      <c r="E66" t="s">
        <v>181</v>
      </c>
      <c r="F66" t="s">
        <v>178</v>
      </c>
      <c r="G66" t="s">
        <v>180</v>
      </c>
      <c r="H66" t="s">
        <v>182</v>
      </c>
      <c r="I66">
        <v>4</v>
      </c>
      <c r="J66">
        <v>2</v>
      </c>
      <c r="K66">
        <v>1</v>
      </c>
      <c r="L66">
        <v>0.66666666666666663</v>
      </c>
      <c r="M66">
        <v>0.5</v>
      </c>
      <c r="N66">
        <v>0.25</v>
      </c>
      <c r="O66">
        <v>0.14285714285714285</v>
      </c>
      <c r="Z66" s="23">
        <v>2029</v>
      </c>
      <c r="AA66">
        <v>84.177484510032386</v>
      </c>
      <c r="AB66">
        <v>109.61487564268266</v>
      </c>
      <c r="AD66">
        <f t="shared" si="66"/>
        <v>6.3415949730477997E-2</v>
      </c>
      <c r="AE66">
        <f t="shared" si="54"/>
        <v>0.15853987432619501</v>
      </c>
      <c r="AF66">
        <f t="shared" si="55"/>
        <v>0.33182764393854763</v>
      </c>
      <c r="AG66">
        <f t="shared" si="56"/>
        <v>0.51617633501551863</v>
      </c>
      <c r="AH66">
        <f t="shared" si="57"/>
        <v>0.81113424073867213</v>
      </c>
      <c r="AI66">
        <f t="shared" si="58"/>
        <v>1.2535710993234024</v>
      </c>
      <c r="AJ66">
        <f t="shared" si="59"/>
        <v>2.6472472038653025</v>
      </c>
      <c r="AM66">
        <f t="shared" si="67"/>
        <v>8.2579462714171409E-2</v>
      </c>
      <c r="AN66">
        <f t="shared" si="60"/>
        <v>0.20644865678542854</v>
      </c>
      <c r="AO66">
        <f t="shared" si="61"/>
        <v>0.43210183978345507</v>
      </c>
      <c r="AP66">
        <f t="shared" si="62"/>
        <v>0.67215841744093008</v>
      </c>
      <c r="AQ66">
        <f t="shared" si="63"/>
        <v>1.0562489416928902</v>
      </c>
      <c r="AR66">
        <f t="shared" si="64"/>
        <v>1.6323847280708301</v>
      </c>
      <c r="AS66">
        <f t="shared" si="65"/>
        <v>3.4472124551613414</v>
      </c>
    </row>
    <row r="67" spans="4:45" x14ac:dyDescent="0.2">
      <c r="D67" s="92">
        <v>5</v>
      </c>
      <c r="E67">
        <v>5</v>
      </c>
      <c r="F67">
        <f>1.60934*E67*($F$44/1000)</f>
        <v>6.7592279999999993</v>
      </c>
      <c r="G67">
        <f t="shared" ref="G67:G93" si="68">F67*$E$61</f>
        <v>3.5773214189999996</v>
      </c>
      <c r="H67">
        <f>G67/E67</f>
        <v>0.71546428379999993</v>
      </c>
      <c r="I67">
        <f>$G67*O$55</f>
        <v>357.73214189999993</v>
      </c>
      <c r="J67">
        <f>$G67*P$55</f>
        <v>178.86607094999997</v>
      </c>
      <c r="K67">
        <f t="shared" ref="K67:K98" si="69">$G67*Q$55</f>
        <v>89.433035474999983</v>
      </c>
      <c r="L67">
        <f t="shared" ref="L67:L98" si="70">$G67*R$55</f>
        <v>57.237142703999993</v>
      </c>
      <c r="M67">
        <f t="shared" ref="M67:M98" si="71">$G67*S$55</f>
        <v>42.927857027999991</v>
      </c>
      <c r="N67">
        <f t="shared" ref="N67:N98" si="72">$G67*T$55</f>
        <v>21.463928513999996</v>
      </c>
      <c r="O67">
        <f>$G67*U$55</f>
        <v>10.731964256999998</v>
      </c>
      <c r="W67"/>
      <c r="Z67" s="23">
        <v>2030</v>
      </c>
      <c r="AA67">
        <v>80.217402540781421</v>
      </c>
      <c r="AB67">
        <v>105.76927723700234</v>
      </c>
      <c r="AD67">
        <f t="shared" si="66"/>
        <v>6.0432582378123094E-2</v>
      </c>
      <c r="AE67">
        <f t="shared" si="54"/>
        <v>0.15108145594530772</v>
      </c>
      <c r="AF67">
        <f t="shared" si="55"/>
        <v>0.31621700081576032</v>
      </c>
      <c r="AG67">
        <f t="shared" si="56"/>
        <v>0.49189311238007166</v>
      </c>
      <c r="AH67">
        <f t="shared" si="57"/>
        <v>0.77297489088296967</v>
      </c>
      <c r="AI67">
        <f t="shared" si="58"/>
        <v>1.194597558637317</v>
      </c>
      <c r="AJ67">
        <f t="shared" si="59"/>
        <v>2.5227089620635104</v>
      </c>
      <c r="AM67">
        <f t="shared" si="67"/>
        <v>7.9682342699268091E-2</v>
      </c>
      <c r="AN67">
        <f t="shared" si="60"/>
        <v>0.19920585674817021</v>
      </c>
      <c r="AO67">
        <f t="shared" si="61"/>
        <v>0.41694249086826324</v>
      </c>
      <c r="AP67">
        <f t="shared" si="62"/>
        <v>0.64857720801729835</v>
      </c>
      <c r="AQ67">
        <f t="shared" si="63"/>
        <v>1.0191927554557545</v>
      </c>
      <c r="AR67">
        <f t="shared" si="64"/>
        <v>1.5751160766134389</v>
      </c>
      <c r="AS67">
        <f t="shared" si="65"/>
        <v>3.3262745382601446</v>
      </c>
    </row>
    <row r="68" spans="4:45" x14ac:dyDescent="0.2">
      <c r="D68" s="92"/>
      <c r="E68">
        <v>10</v>
      </c>
      <c r="F68">
        <f>1.60934*E68*($F$44/1000)</f>
        <v>13.518455999999999</v>
      </c>
      <c r="G68">
        <f t="shared" si="68"/>
        <v>7.1546428379999991</v>
      </c>
      <c r="H68">
        <f>G68/E68</f>
        <v>0.71546428379999993</v>
      </c>
      <c r="I68">
        <f t="shared" ref="I68:I98" si="73">$G68*O$55</f>
        <v>715.46428379999986</v>
      </c>
      <c r="J68">
        <f t="shared" ref="J68:J98" si="74">$G68*P$55</f>
        <v>357.73214189999993</v>
      </c>
      <c r="K68">
        <f t="shared" si="69"/>
        <v>178.86607094999997</v>
      </c>
      <c r="L68">
        <f t="shared" si="70"/>
        <v>114.47428540799999</v>
      </c>
      <c r="M68">
        <f t="shared" si="71"/>
        <v>85.855714055999982</v>
      </c>
      <c r="N68">
        <f t="shared" si="72"/>
        <v>42.927857027999991</v>
      </c>
      <c r="O68">
        <f>$G68*U$55</f>
        <v>21.463928513999996</v>
      </c>
      <c r="W68"/>
      <c r="Z68" s="23">
        <v>2031</v>
      </c>
      <c r="AA68">
        <v>76.443620379542878</v>
      </c>
      <c r="AB68">
        <v>102.05859324883212</v>
      </c>
      <c r="AD68">
        <f t="shared" si="66"/>
        <v>5.7589565849132419E-2</v>
      </c>
      <c r="AE68">
        <f t="shared" si="54"/>
        <v>0.14397391462283107</v>
      </c>
      <c r="AF68">
        <f t="shared" si="55"/>
        <v>0.30134075153615802</v>
      </c>
      <c r="AG68">
        <f t="shared" si="56"/>
        <v>0.46875228016735693</v>
      </c>
      <c r="AH68">
        <f t="shared" si="57"/>
        <v>0.73661072597727517</v>
      </c>
      <c r="AI68">
        <f t="shared" si="58"/>
        <v>1.1383983946921525</v>
      </c>
      <c r="AJ68">
        <f t="shared" si="59"/>
        <v>2.4040295511440166</v>
      </c>
      <c r="AM68">
        <f t="shared" si="67"/>
        <v>7.6886861809940171E-2</v>
      </c>
      <c r="AN68">
        <f t="shared" si="60"/>
        <v>0.19221715452485041</v>
      </c>
      <c r="AO68">
        <f t="shared" si="61"/>
        <v>0.40231497458689625</v>
      </c>
      <c r="AP68">
        <f t="shared" si="62"/>
        <v>0.62582329380183854</v>
      </c>
      <c r="AQ68">
        <f t="shared" si="63"/>
        <v>0.98343660454574633</v>
      </c>
      <c r="AR68">
        <f t="shared" si="64"/>
        <v>1.5198565706616078</v>
      </c>
      <c r="AS68">
        <f t="shared" si="65"/>
        <v>3.2095794639265725</v>
      </c>
    </row>
    <row r="69" spans="4:45" x14ac:dyDescent="0.2">
      <c r="D69" s="92"/>
      <c r="E69">
        <v>20</v>
      </c>
      <c r="F69">
        <f>1.60934*E69*($F$44/1000)</f>
        <v>27.036911999999997</v>
      </c>
      <c r="G69">
        <f>F69*$E$61</f>
        <v>14.309285675999998</v>
      </c>
      <c r="H69">
        <f t="shared" ref="H69:H129" si="75">G69/E69</f>
        <v>0.71546428379999993</v>
      </c>
      <c r="I69">
        <f>$G69*O$55</f>
        <v>1430.9285675999997</v>
      </c>
      <c r="J69">
        <f t="shared" si="74"/>
        <v>715.46428379999986</v>
      </c>
      <c r="K69">
        <f t="shared" si="69"/>
        <v>357.73214189999993</v>
      </c>
      <c r="L69">
        <f t="shared" si="70"/>
        <v>228.94857081599997</v>
      </c>
      <c r="M69">
        <f t="shared" si="71"/>
        <v>171.71142811199996</v>
      </c>
      <c r="N69">
        <f t="shared" si="72"/>
        <v>85.855714055999982</v>
      </c>
      <c r="O69">
        <f>$G69*U$55</f>
        <v>42.927857027999991</v>
      </c>
      <c r="W69"/>
      <c r="Z69" s="23">
        <v>2032</v>
      </c>
      <c r="AA69">
        <v>72.847373657615535</v>
      </c>
      <c r="AB69">
        <v>98.478090500618833</v>
      </c>
      <c r="AD69">
        <f t="shared" si="66"/>
        <v>5.4880297418701235E-2</v>
      </c>
      <c r="AE69">
        <f t="shared" si="54"/>
        <v>0.1372007435467531</v>
      </c>
      <c r="AF69">
        <f t="shared" si="55"/>
        <v>0.28716434695832044</v>
      </c>
      <c r="AG69">
        <f t="shared" si="56"/>
        <v>0.44670009526849846</v>
      </c>
      <c r="AH69">
        <f t="shared" si="57"/>
        <v>0.70195729256478323</v>
      </c>
      <c r="AI69">
        <f t="shared" si="58"/>
        <v>1.0848430885092106</v>
      </c>
      <c r="AJ69">
        <f t="shared" si="59"/>
        <v>2.2909333457341567</v>
      </c>
      <c r="AM69">
        <f t="shared" si="67"/>
        <v>7.4189454259546206E-2</v>
      </c>
      <c r="AN69">
        <f t="shared" si="60"/>
        <v>0.18547363564886551</v>
      </c>
      <c r="AO69">
        <f t="shared" si="61"/>
        <v>0.38820063275343941</v>
      </c>
      <c r="AP69">
        <f t="shared" si="62"/>
        <v>0.60386765094979467</v>
      </c>
      <c r="AQ69">
        <f t="shared" si="63"/>
        <v>0.94893488006396309</v>
      </c>
      <c r="AR69">
        <f t="shared" si="64"/>
        <v>1.4665357237352157</v>
      </c>
      <c r="AS69">
        <f t="shared" si="65"/>
        <v>3.0969783812996616</v>
      </c>
    </row>
    <row r="70" spans="4:45" x14ac:dyDescent="0.2">
      <c r="D70" s="92"/>
      <c r="E70">
        <v>30</v>
      </c>
      <c r="F70">
        <f>1.60934*E70*($F$44/1000)</f>
        <v>40.555368000000001</v>
      </c>
      <c r="G70">
        <f t="shared" si="68"/>
        <v>21.463928513999999</v>
      </c>
      <c r="H70">
        <f>G70/E70</f>
        <v>0.71546428379999993</v>
      </c>
      <c r="I70">
        <f>$G70*O$55</f>
        <v>2146.3928513999999</v>
      </c>
      <c r="J70">
        <f t="shared" si="74"/>
        <v>1073.1964257</v>
      </c>
      <c r="K70">
        <f t="shared" si="69"/>
        <v>536.59821284999998</v>
      </c>
      <c r="L70">
        <f>$G70*R$55</f>
        <v>343.42285622399999</v>
      </c>
      <c r="M70">
        <f t="shared" si="71"/>
        <v>257.56714216799998</v>
      </c>
      <c r="N70">
        <f t="shared" si="72"/>
        <v>128.78357108399999</v>
      </c>
      <c r="O70">
        <f t="shared" ref="O70:O98" si="76">$G70*U$55</f>
        <v>64.391785541999994</v>
      </c>
      <c r="W70"/>
      <c r="Z70" s="23">
        <v>2033</v>
      </c>
      <c r="AA70">
        <v>69.420310321048049</v>
      </c>
      <c r="AB70">
        <v>95.023201868001919</v>
      </c>
      <c r="AD70">
        <f t="shared" si="66"/>
        <v>5.229848498346476E-2</v>
      </c>
      <c r="AE70">
        <f t="shared" si="54"/>
        <v>0.13074621245866191</v>
      </c>
      <c r="AF70">
        <f t="shared" si="55"/>
        <v>0.27365486328557137</v>
      </c>
      <c r="AG70">
        <f t="shared" si="56"/>
        <v>0.42568534288866666</v>
      </c>
      <c r="AH70">
        <f t="shared" si="57"/>
        <v>0.66893411025361904</v>
      </c>
      <c r="AI70">
        <f t="shared" si="58"/>
        <v>1.0338072613010476</v>
      </c>
      <c r="AJ70">
        <f t="shared" si="59"/>
        <v>2.1831576871004477</v>
      </c>
      <c r="AM70">
        <f t="shared" si="67"/>
        <v>7.1586679359277927E-2</v>
      </c>
      <c r="AN70">
        <f t="shared" si="60"/>
        <v>0.17896669839819482</v>
      </c>
      <c r="AO70">
        <f t="shared" si="61"/>
        <v>0.37458146176366358</v>
      </c>
      <c r="AP70">
        <f t="shared" si="62"/>
        <v>0.58268227385458782</v>
      </c>
      <c r="AQ70">
        <f t="shared" si="63"/>
        <v>0.91564357320006651</v>
      </c>
      <c r="AR70">
        <f t="shared" si="64"/>
        <v>1.4150855222182848</v>
      </c>
      <c r="AS70">
        <f t="shared" si="65"/>
        <v>2.9883276616256715</v>
      </c>
    </row>
    <row r="71" spans="4:45" x14ac:dyDescent="0.2">
      <c r="D71" s="92"/>
      <c r="E71">
        <v>40</v>
      </c>
      <c r="F71">
        <f>1.60934*E71*($F$44/1000)</f>
        <v>54.073823999999995</v>
      </c>
      <c r="G71">
        <f t="shared" si="68"/>
        <v>28.618571351999996</v>
      </c>
      <c r="H71">
        <f t="shared" si="75"/>
        <v>0.71546428379999993</v>
      </c>
      <c r="I71">
        <f>$G71*O$55</f>
        <v>2861.8571351999994</v>
      </c>
      <c r="J71">
        <f>$G71*P$55</f>
        <v>1430.9285675999997</v>
      </c>
      <c r="K71">
        <f t="shared" si="69"/>
        <v>715.46428379999986</v>
      </c>
      <c r="L71">
        <f t="shared" si="70"/>
        <v>457.89714163199994</v>
      </c>
      <c r="M71">
        <f t="shared" si="71"/>
        <v>343.42285622399993</v>
      </c>
      <c r="N71">
        <f t="shared" si="72"/>
        <v>171.71142811199996</v>
      </c>
      <c r="O71">
        <f t="shared" si="76"/>
        <v>85.855714055999982</v>
      </c>
      <c r="W71"/>
      <c r="Z71" s="23">
        <v>2034</v>
      </c>
      <c r="AA71">
        <v>66.154471233525484</v>
      </c>
      <c r="AB71">
        <v>91.689520454199936</v>
      </c>
      <c r="AD71">
        <f t="shared" si="66"/>
        <v>4.983813244848876E-2</v>
      </c>
      <c r="AE71">
        <f t="shared" si="54"/>
        <v>0.1245953311212219</v>
      </c>
      <c r="AF71">
        <f t="shared" si="55"/>
        <v>0.26078092560255745</v>
      </c>
      <c r="AG71">
        <f t="shared" si="56"/>
        <v>0.40565921760397827</v>
      </c>
      <c r="AH71">
        <f t="shared" si="57"/>
        <v>0.63746448480625162</v>
      </c>
      <c r="AI71">
        <f t="shared" si="58"/>
        <v>0.98517238560966147</v>
      </c>
      <c r="AJ71">
        <f t="shared" si="59"/>
        <v>2.0804522731404029</v>
      </c>
      <c r="AM71">
        <f t="shared" si="67"/>
        <v>6.907521712937606E-2</v>
      </c>
      <c r="AN71">
        <f t="shared" si="60"/>
        <v>0.17268804282344016</v>
      </c>
      <c r="AO71">
        <f t="shared" si="61"/>
        <v>0.36144008963045615</v>
      </c>
      <c r="AP71">
        <f t="shared" si="62"/>
        <v>0.56224013942515394</v>
      </c>
      <c r="AQ71">
        <f t="shared" si="63"/>
        <v>0.88352021909667067</v>
      </c>
      <c r="AR71">
        <f t="shared" si="64"/>
        <v>1.3654403386039455</v>
      </c>
      <c r="AS71">
        <f t="shared" si="65"/>
        <v>2.8834887150518616</v>
      </c>
    </row>
    <row r="72" spans="4:45" x14ac:dyDescent="0.2">
      <c r="D72" s="92"/>
      <c r="E72">
        <v>50</v>
      </c>
      <c r="F72">
        <f t="shared" ref="F72:F75" si="77">1.60934*E72*($F$44/1000)</f>
        <v>67.592280000000002</v>
      </c>
      <c r="G72">
        <f t="shared" si="68"/>
        <v>35.773214190000004</v>
      </c>
      <c r="H72">
        <f t="shared" si="75"/>
        <v>0.71546428380000004</v>
      </c>
      <c r="I72">
        <f t="shared" si="73"/>
        <v>3577.3214190000003</v>
      </c>
      <c r="J72">
        <f t="shared" si="74"/>
        <v>1788.6607095000002</v>
      </c>
      <c r="K72">
        <f t="shared" si="69"/>
        <v>894.33035475000008</v>
      </c>
      <c r="L72">
        <f t="shared" si="70"/>
        <v>572.37142704000007</v>
      </c>
      <c r="M72">
        <f t="shared" si="71"/>
        <v>429.27857028000005</v>
      </c>
      <c r="N72">
        <f t="shared" si="72"/>
        <v>214.63928514000003</v>
      </c>
      <c r="O72">
        <f t="shared" si="76"/>
        <v>107.31964257000001</v>
      </c>
      <c r="W72"/>
      <c r="Z72" s="23">
        <v>2035</v>
      </c>
      <c r="AA72">
        <v>63.042271691782325</v>
      </c>
      <c r="AB72">
        <v>88.472793968776045</v>
      </c>
      <c r="AD72">
        <f t="shared" si="66"/>
        <v>4.7493525801721129E-2</v>
      </c>
      <c r="AE72">
        <f t="shared" si="54"/>
        <v>0.11873381450430283</v>
      </c>
      <c r="AF72">
        <f t="shared" si="55"/>
        <v>0.24851263500900592</v>
      </c>
      <c r="AG72">
        <f t="shared" si="56"/>
        <v>0.38657521001400919</v>
      </c>
      <c r="AH72">
        <f t="shared" si="57"/>
        <v>0.60747533002201448</v>
      </c>
      <c r="AI72">
        <f t="shared" si="58"/>
        <v>0.93882551003402237</v>
      </c>
      <c r="AJ72">
        <f t="shared" si="59"/>
        <v>1.9825785770718474</v>
      </c>
      <c r="AM72">
        <f t="shared" si="67"/>
        <v>6.6651864064317126E-2</v>
      </c>
      <c r="AN72">
        <f t="shared" si="60"/>
        <v>0.16662966016079281</v>
      </c>
      <c r="AO72">
        <f t="shared" si="61"/>
        <v>0.34875975382491514</v>
      </c>
      <c r="AP72">
        <f t="shared" si="62"/>
        <v>0.5425151726165347</v>
      </c>
      <c r="AQ72">
        <f t="shared" si="63"/>
        <v>0.85252384268312598</v>
      </c>
      <c r="AR72">
        <f t="shared" si="64"/>
        <v>1.3175368477830127</v>
      </c>
      <c r="AS72">
        <f t="shared" si="65"/>
        <v>2.7823278138476568</v>
      </c>
    </row>
    <row r="73" spans="4:45" x14ac:dyDescent="0.2">
      <c r="D73" s="92"/>
      <c r="E73">
        <v>60</v>
      </c>
      <c r="F73">
        <f t="shared" si="77"/>
        <v>81.110736000000003</v>
      </c>
      <c r="G73">
        <f t="shared" si="68"/>
        <v>42.927857027999998</v>
      </c>
      <c r="H73">
        <f t="shared" si="75"/>
        <v>0.71546428379999993</v>
      </c>
      <c r="I73">
        <f t="shared" si="73"/>
        <v>4292.7857027999999</v>
      </c>
      <c r="J73">
        <f t="shared" si="74"/>
        <v>2146.3928513999999</v>
      </c>
      <c r="K73">
        <f t="shared" si="69"/>
        <v>1073.1964257</v>
      </c>
      <c r="L73">
        <f t="shared" si="70"/>
        <v>686.84571244799997</v>
      </c>
      <c r="M73">
        <f t="shared" si="71"/>
        <v>515.13428433599995</v>
      </c>
      <c r="N73">
        <f t="shared" si="72"/>
        <v>257.56714216799998</v>
      </c>
      <c r="O73">
        <f t="shared" si="76"/>
        <v>128.78357108399999</v>
      </c>
      <c r="W73"/>
      <c r="Z73" s="23">
        <v>2036</v>
      </c>
      <c r="AA73">
        <v>60.07648381061211</v>
      </c>
      <c r="AB73">
        <v>85.36891930361223</v>
      </c>
      <c r="AD73">
        <f t="shared" si="66"/>
        <v>4.5259219843562744E-2</v>
      </c>
      <c r="AE73">
        <f t="shared" si="54"/>
        <v>0.11314804960890684</v>
      </c>
      <c r="AF73">
        <f t="shared" si="55"/>
        <v>0.23682149918143294</v>
      </c>
      <c r="AG73">
        <f t="shared" si="56"/>
        <v>0.36838899872667347</v>
      </c>
      <c r="AH73">
        <f t="shared" si="57"/>
        <v>0.57889699799905836</v>
      </c>
      <c r="AI73">
        <f t="shared" si="58"/>
        <v>0.89465899690763562</v>
      </c>
      <c r="AJ73">
        <f t="shared" si="59"/>
        <v>1.889309293469654</v>
      </c>
      <c r="AM73">
        <f t="shared" si="67"/>
        <v>6.4313529046569312E-2</v>
      </c>
      <c r="AN73">
        <f t="shared" si="60"/>
        <v>0.16078382261642327</v>
      </c>
      <c r="AO73">
        <f t="shared" si="61"/>
        <v>0.33652427989483941</v>
      </c>
      <c r="AP73">
        <f t="shared" si="62"/>
        <v>0.52348221316975019</v>
      </c>
      <c r="AQ73">
        <f t="shared" si="63"/>
        <v>0.82261490640960755</v>
      </c>
      <c r="AR73">
        <f t="shared" si="64"/>
        <v>1.2713139462693934</v>
      </c>
      <c r="AS73">
        <f t="shared" si="65"/>
        <v>2.6847159218277192</v>
      </c>
    </row>
    <row r="74" spans="4:45" x14ac:dyDescent="0.2">
      <c r="D74" s="92"/>
      <c r="E74">
        <v>70</v>
      </c>
      <c r="F74">
        <f t="shared" si="77"/>
        <v>94.629192000000003</v>
      </c>
      <c r="G74">
        <f t="shared" si="68"/>
        <v>50.082499865999999</v>
      </c>
      <c r="H74">
        <f t="shared" si="75"/>
        <v>0.71546428379999993</v>
      </c>
      <c r="I74">
        <f t="shared" si="73"/>
        <v>5008.2499865999998</v>
      </c>
      <c r="J74">
        <f t="shared" si="74"/>
        <v>2504.1249932999999</v>
      </c>
      <c r="K74">
        <f t="shared" si="69"/>
        <v>1252.06249665</v>
      </c>
      <c r="L74">
        <f t="shared" si="70"/>
        <v>801.31999785599999</v>
      </c>
      <c r="M74">
        <f t="shared" si="71"/>
        <v>600.98999839199996</v>
      </c>
      <c r="N74">
        <f t="shared" si="72"/>
        <v>300.49499919599998</v>
      </c>
      <c r="O74">
        <f t="shared" si="76"/>
        <v>150.24749959799999</v>
      </c>
      <c r="W74"/>
      <c r="Z74" s="23">
        <v>2037</v>
      </c>
      <c r="AA74">
        <v>57.250219736564517</v>
      </c>
      <c r="AB74">
        <v>82.373937299173519</v>
      </c>
      <c r="AD74">
        <f t="shared" si="66"/>
        <v>4.3130025540738241E-2</v>
      </c>
      <c r="AE74">
        <f t="shared" si="54"/>
        <v>0.10782506385184561</v>
      </c>
      <c r="AF74">
        <f t="shared" si="55"/>
        <v>0.22568036620153734</v>
      </c>
      <c r="AG74">
        <f t="shared" si="56"/>
        <v>0.35105834742461361</v>
      </c>
      <c r="AH74">
        <f t="shared" si="57"/>
        <v>0.55166311738153573</v>
      </c>
      <c r="AI74">
        <f t="shared" si="58"/>
        <v>0.85257027231691884</v>
      </c>
      <c r="AJ74">
        <f t="shared" si="59"/>
        <v>1.8004278103633755</v>
      </c>
      <c r="AM74">
        <f t="shared" si="67"/>
        <v>6.2057229403705366E-2</v>
      </c>
      <c r="AN74">
        <f t="shared" si="60"/>
        <v>0.15514307350926343</v>
      </c>
      <c r="AO74">
        <f t="shared" si="61"/>
        <v>0.32471806083334204</v>
      </c>
      <c r="AP74">
        <f t="shared" si="62"/>
        <v>0.50511698351853196</v>
      </c>
      <c r="AQ74">
        <f t="shared" si="63"/>
        <v>0.79375525981483608</v>
      </c>
      <c r="AR74">
        <f t="shared" si="64"/>
        <v>1.226712674259292</v>
      </c>
      <c r="AS74">
        <f t="shared" si="65"/>
        <v>2.5905285297593288</v>
      </c>
    </row>
    <row r="75" spans="4:45" x14ac:dyDescent="0.2">
      <c r="D75" s="92"/>
      <c r="E75">
        <v>80</v>
      </c>
      <c r="F75">
        <f t="shared" si="77"/>
        <v>108.14764799999999</v>
      </c>
      <c r="G75">
        <f t="shared" si="68"/>
        <v>57.237142703999993</v>
      </c>
      <c r="H75">
        <f t="shared" si="75"/>
        <v>0.71546428379999993</v>
      </c>
      <c r="I75">
        <f t="shared" si="73"/>
        <v>5723.7142703999989</v>
      </c>
      <c r="J75">
        <f t="shared" si="74"/>
        <v>2861.8571351999994</v>
      </c>
      <c r="K75">
        <f t="shared" si="69"/>
        <v>1430.9285675999997</v>
      </c>
      <c r="L75">
        <f t="shared" si="70"/>
        <v>915.79428326399989</v>
      </c>
      <c r="M75">
        <f t="shared" si="71"/>
        <v>686.84571244799986</v>
      </c>
      <c r="N75">
        <f t="shared" si="72"/>
        <v>343.42285622399993</v>
      </c>
      <c r="O75">
        <f>$G75*U$55</f>
        <v>171.71142811199996</v>
      </c>
      <c r="W75"/>
      <c r="Z75" s="23">
        <v>2038</v>
      </c>
      <c r="AA75">
        <v>54.556915651344397</v>
      </c>
      <c r="AB75">
        <v>79.484027694386597</v>
      </c>
      <c r="AD75">
        <f t="shared" si="66"/>
        <v>4.1100997975096809E-2</v>
      </c>
      <c r="AE75">
        <f t="shared" si="54"/>
        <v>0.10275249493774204</v>
      </c>
      <c r="AF75">
        <f t="shared" si="55"/>
        <v>0.21506336149759961</v>
      </c>
      <c r="AG75">
        <f t="shared" si="56"/>
        <v>0.33454300677404386</v>
      </c>
      <c r="AH75">
        <f t="shared" si="57"/>
        <v>0.52571043921635463</v>
      </c>
      <c r="AI75">
        <f t="shared" si="58"/>
        <v>0.8124615878798207</v>
      </c>
      <c r="AJ75">
        <f t="shared" si="59"/>
        <v>1.7157277061697391</v>
      </c>
      <c r="AM75">
        <f t="shared" si="67"/>
        <v>5.9880087103843085E-2</v>
      </c>
      <c r="AN75">
        <f t="shared" si="60"/>
        <v>0.14970021775960773</v>
      </c>
      <c r="AO75">
        <f t="shared" si="61"/>
        <v>0.313326037171272</v>
      </c>
      <c r="AP75">
        <f t="shared" si="62"/>
        <v>0.48739605782197865</v>
      </c>
      <c r="AQ75">
        <f t="shared" si="63"/>
        <v>0.76590809086310918</v>
      </c>
      <c r="AR75">
        <f t="shared" si="64"/>
        <v>1.1836761404248053</v>
      </c>
      <c r="AS75">
        <f t="shared" si="65"/>
        <v>2.4996454965441472</v>
      </c>
    </row>
    <row r="76" spans="4:45" x14ac:dyDescent="0.2">
      <c r="D76" s="92">
        <v>10</v>
      </c>
      <c r="E76">
        <v>5</v>
      </c>
      <c r="F76">
        <f t="shared" ref="F76:F84" si="78">1.60934*E76*($F$45/1000)</f>
        <v>9.1732379999999978</v>
      </c>
      <c r="G76">
        <f t="shared" si="68"/>
        <v>4.8549362114999992</v>
      </c>
      <c r="H76">
        <f t="shared" si="75"/>
        <v>0.97098724229999989</v>
      </c>
      <c r="I76">
        <f t="shared" si="73"/>
        <v>485.49362114999991</v>
      </c>
      <c r="J76">
        <f t="shared" si="74"/>
        <v>242.74681057499996</v>
      </c>
      <c r="K76">
        <f t="shared" si="69"/>
        <v>121.37340528749998</v>
      </c>
      <c r="L76">
        <f t="shared" si="70"/>
        <v>77.678979383999987</v>
      </c>
      <c r="M76">
        <f t="shared" si="71"/>
        <v>58.259234537999987</v>
      </c>
      <c r="N76">
        <f t="shared" si="72"/>
        <v>29.129617268999993</v>
      </c>
      <c r="O76">
        <f>$G76*U$55</f>
        <v>14.564808634499997</v>
      </c>
      <c r="Z76" s="23">
        <v>2039</v>
      </c>
      <c r="AA76">
        <v>51.990316527761827</v>
      </c>
      <c r="AB76">
        <v>76.695504253690743</v>
      </c>
      <c r="AD76">
        <f t="shared" si="66"/>
        <v>3.9167424859354649E-2</v>
      </c>
      <c r="AE76">
        <f t="shared" si="54"/>
        <v>9.7918562148386623E-2</v>
      </c>
      <c r="AF76">
        <f t="shared" si="55"/>
        <v>0.20494582775243711</v>
      </c>
      <c r="AG76">
        <f t="shared" si="56"/>
        <v>0.31880462094823553</v>
      </c>
      <c r="AH76">
        <f t="shared" si="57"/>
        <v>0.50097869006151297</v>
      </c>
      <c r="AI76">
        <f t="shared" si="58"/>
        <v>0.77423979373142915</v>
      </c>
      <c r="AJ76">
        <f t="shared" si="59"/>
        <v>1.6350122702916652</v>
      </c>
      <c r="AM76">
        <f t="shared" si="67"/>
        <v>5.7779325084560455E-2</v>
      </c>
      <c r="AN76">
        <f t="shared" si="60"/>
        <v>0.14444831271140116</v>
      </c>
      <c r="AO76">
        <f t="shared" si="61"/>
        <v>0.30233367776804887</v>
      </c>
      <c r="AP76">
        <f t="shared" si="62"/>
        <v>0.47029683208363166</v>
      </c>
      <c r="AQ76">
        <f t="shared" si="63"/>
        <v>0.73903787898856399</v>
      </c>
      <c r="AR76">
        <f t="shared" si="64"/>
        <v>1.1421494493459625</v>
      </c>
      <c r="AS76">
        <f t="shared" si="65"/>
        <v>2.4119508959717679</v>
      </c>
    </row>
    <row r="77" spans="4:45" x14ac:dyDescent="0.2">
      <c r="D77" s="92"/>
      <c r="E77">
        <v>10</v>
      </c>
      <c r="F77">
        <f t="shared" si="78"/>
        <v>18.346475999999996</v>
      </c>
      <c r="G77">
        <f t="shared" si="68"/>
        <v>9.7098724229999984</v>
      </c>
      <c r="H77">
        <f t="shared" si="75"/>
        <v>0.97098724229999989</v>
      </c>
      <c r="I77">
        <f t="shared" si="73"/>
        <v>970.98724229999982</v>
      </c>
      <c r="J77">
        <f t="shared" si="74"/>
        <v>485.49362114999991</v>
      </c>
      <c r="K77">
        <f t="shared" si="69"/>
        <v>242.74681057499996</v>
      </c>
      <c r="L77">
        <f t="shared" si="70"/>
        <v>155.35795876799997</v>
      </c>
      <c r="M77">
        <f t="shared" si="71"/>
        <v>116.51846907599997</v>
      </c>
      <c r="N77">
        <f t="shared" si="72"/>
        <v>58.259234537999987</v>
      </c>
      <c r="O77">
        <f t="shared" si="76"/>
        <v>29.129617268999993</v>
      </c>
      <c r="W77"/>
      <c r="Z77" s="23">
        <v>2040</v>
      </c>
      <c r="AA77">
        <v>49.544461602829948</v>
      </c>
      <c r="AB77">
        <v>74.004810065045476</v>
      </c>
      <c r="AD77">
        <f t="shared" si="66"/>
        <v>3.732481559310797E-2</v>
      </c>
      <c r="AE77">
        <f t="shared" si="54"/>
        <v>9.3312038982769921E-2</v>
      </c>
      <c r="AF77">
        <f t="shared" si="55"/>
        <v>0.19530426763835568</v>
      </c>
      <c r="AG77">
        <f t="shared" si="56"/>
        <v>0.30380663854855322</v>
      </c>
      <c r="AH77">
        <f t="shared" si="57"/>
        <v>0.47741043200486938</v>
      </c>
      <c r="AI77">
        <f t="shared" si="58"/>
        <v>0.73781612218934356</v>
      </c>
      <c r="AJ77">
        <f t="shared" si="59"/>
        <v>1.5580940462704373</v>
      </c>
      <c r="AM77">
        <f t="shared" si="67"/>
        <v>5.5752263710602656E-2</v>
      </c>
      <c r="AN77">
        <f t="shared" si="60"/>
        <v>0.13938065927650667</v>
      </c>
      <c r="AO77">
        <f t="shared" si="61"/>
        <v>0.29172696127640929</v>
      </c>
      <c r="AP77">
        <f t="shared" si="62"/>
        <v>0.45379749531885888</v>
      </c>
      <c r="AQ77">
        <f t="shared" si="63"/>
        <v>0.71311034978677823</v>
      </c>
      <c r="AR77">
        <f t="shared" si="64"/>
        <v>1.1020796314886574</v>
      </c>
      <c r="AS77">
        <f t="shared" si="65"/>
        <v>2.3273328688495765</v>
      </c>
    </row>
    <row r="78" spans="4:45" x14ac:dyDescent="0.2">
      <c r="D78" s="92"/>
      <c r="E78">
        <v>20</v>
      </c>
      <c r="F78">
        <f t="shared" si="78"/>
        <v>36.692951999999991</v>
      </c>
      <c r="G78">
        <f t="shared" si="68"/>
        <v>19.419744845999997</v>
      </c>
      <c r="H78">
        <f t="shared" si="75"/>
        <v>0.97098724229999989</v>
      </c>
      <c r="I78">
        <f t="shared" si="73"/>
        <v>1941.9744845999996</v>
      </c>
      <c r="J78">
        <f t="shared" si="74"/>
        <v>970.98724229999982</v>
      </c>
      <c r="K78">
        <f t="shared" si="69"/>
        <v>485.49362114999991</v>
      </c>
      <c r="L78">
        <f t="shared" si="70"/>
        <v>310.71591753599995</v>
      </c>
      <c r="M78">
        <f t="shared" si="71"/>
        <v>233.03693815199995</v>
      </c>
      <c r="N78">
        <f t="shared" si="72"/>
        <v>116.51846907599997</v>
      </c>
      <c r="O78">
        <f t="shared" si="76"/>
        <v>58.259234537999987</v>
      </c>
      <c r="W78"/>
      <c r="Z78" s="23">
        <v>2041</v>
      </c>
      <c r="AA78">
        <v>47.213670534272538</v>
      </c>
      <c r="AB78">
        <v>71.408513002897507</v>
      </c>
      <c r="AD78">
        <f t="shared" si="66"/>
        <v>3.556889083369956E-2</v>
      </c>
      <c r="AE78">
        <f t="shared" si="54"/>
        <v>8.8922227084248906E-2</v>
      </c>
      <c r="AF78">
        <f t="shared" si="55"/>
        <v>0.18611628924610235</v>
      </c>
      <c r="AG78">
        <f t="shared" si="56"/>
        <v>0.2895142277161592</v>
      </c>
      <c r="AH78">
        <f t="shared" si="57"/>
        <v>0.4549509292682502</v>
      </c>
      <c r="AI78">
        <f t="shared" si="58"/>
        <v>0.7031059815963866</v>
      </c>
      <c r="AJ78">
        <f t="shared" si="59"/>
        <v>1.4847943964300165</v>
      </c>
      <c r="AM78">
        <f t="shared" si="67"/>
        <v>5.379631735586287E-2</v>
      </c>
      <c r="AN78">
        <f t="shared" si="60"/>
        <v>0.13449079338965717</v>
      </c>
      <c r="AO78">
        <f t="shared" si="61"/>
        <v>0.28149235825742197</v>
      </c>
      <c r="AP78">
        <f t="shared" si="62"/>
        <v>0.43787700173376753</v>
      </c>
      <c r="AQ78">
        <f t="shared" si="63"/>
        <v>0.68809243129592035</v>
      </c>
      <c r="AR78">
        <f t="shared" si="64"/>
        <v>1.0634155756391497</v>
      </c>
      <c r="AS78">
        <f t="shared" si="65"/>
        <v>2.2456834803203218</v>
      </c>
    </row>
    <row r="79" spans="4:45" x14ac:dyDescent="0.2">
      <c r="D79" s="92"/>
      <c r="E79">
        <v>30</v>
      </c>
      <c r="F79">
        <f t="shared" si="78"/>
        <v>55.039427999999994</v>
      </c>
      <c r="G79">
        <f t="shared" si="68"/>
        <v>29.129617268999997</v>
      </c>
      <c r="H79">
        <f t="shared" si="75"/>
        <v>0.97098724229999989</v>
      </c>
      <c r="I79">
        <f t="shared" si="73"/>
        <v>2912.9617268999996</v>
      </c>
      <c r="J79">
        <f t="shared" si="74"/>
        <v>1456.4808634499998</v>
      </c>
      <c r="K79">
        <f t="shared" si="69"/>
        <v>728.24043172499989</v>
      </c>
      <c r="L79">
        <f t="shared" si="70"/>
        <v>466.07387630399995</v>
      </c>
      <c r="M79">
        <f t="shared" si="71"/>
        <v>349.55540722799998</v>
      </c>
      <c r="N79">
        <f t="shared" si="72"/>
        <v>174.77770361399999</v>
      </c>
      <c r="O79">
        <f t="shared" si="76"/>
        <v>87.388851806999995</v>
      </c>
      <c r="W79"/>
      <c r="Z79" s="23">
        <v>2042</v>
      </c>
      <c r="AA79">
        <v>44.992530208290908</v>
      </c>
      <c r="AB79">
        <v>68.903301350319424</v>
      </c>
      <c r="AD79">
        <f t="shared" si="66"/>
        <v>3.3895572557718044E-2</v>
      </c>
      <c r="AE79">
        <f t="shared" si="54"/>
        <v>8.47389313942951E-2</v>
      </c>
      <c r="AF79">
        <f t="shared" si="55"/>
        <v>0.17736055408108276</v>
      </c>
      <c r="AG79">
        <f t="shared" si="56"/>
        <v>0.27589419523723985</v>
      </c>
      <c r="AH79">
        <f t="shared" si="57"/>
        <v>0.43354802108709117</v>
      </c>
      <c r="AI79">
        <f t="shared" si="58"/>
        <v>0.67002875986186827</v>
      </c>
      <c r="AJ79">
        <f t="shared" si="59"/>
        <v>1.414943087002416</v>
      </c>
      <c r="AM79">
        <f t="shared" si="67"/>
        <v>5.1908991105276643E-2</v>
      </c>
      <c r="AN79">
        <f t="shared" si="60"/>
        <v>0.12977247776319162</v>
      </c>
      <c r="AO79">
        <f t="shared" si="61"/>
        <v>0.27161681392295917</v>
      </c>
      <c r="AP79">
        <f t="shared" si="62"/>
        <v>0.4225150438801587</v>
      </c>
      <c r="AQ79">
        <f t="shared" si="63"/>
        <v>0.66395221181167807</v>
      </c>
      <c r="AR79">
        <f t="shared" si="64"/>
        <v>1.0261079637089567</v>
      </c>
      <c r="AS79">
        <f t="shared" si="65"/>
        <v>2.1668985821853854</v>
      </c>
    </row>
    <row r="80" spans="4:45" x14ac:dyDescent="0.2">
      <c r="D80" s="92"/>
      <c r="E80">
        <v>40</v>
      </c>
      <c r="F80">
        <f t="shared" si="78"/>
        <v>73.385903999999982</v>
      </c>
      <c r="G80">
        <f t="shared" si="68"/>
        <v>38.839489691999994</v>
      </c>
      <c r="H80">
        <f t="shared" si="75"/>
        <v>0.97098724229999989</v>
      </c>
      <c r="I80">
        <f t="shared" si="73"/>
        <v>3883.9489691999993</v>
      </c>
      <c r="J80">
        <f t="shared" si="74"/>
        <v>1941.9744845999996</v>
      </c>
      <c r="K80">
        <f t="shared" si="69"/>
        <v>970.98724229999982</v>
      </c>
      <c r="L80">
        <f t="shared" si="70"/>
        <v>621.4318350719999</v>
      </c>
      <c r="M80">
        <f t="shared" si="71"/>
        <v>466.0738763039999</v>
      </c>
      <c r="N80">
        <f t="shared" si="72"/>
        <v>233.03693815199995</v>
      </c>
      <c r="O80">
        <f t="shared" si="76"/>
        <v>116.51846907599997</v>
      </c>
      <c r="W80"/>
      <c r="Z80" s="23">
        <v>2043</v>
      </c>
      <c r="AA80">
        <v>42.875882167951843</v>
      </c>
      <c r="AB80">
        <v>66.485979574736263</v>
      </c>
      <c r="AD80">
        <f t="shared" si="66"/>
        <v>3.2300974590048201E-2</v>
      </c>
      <c r="AE80">
        <f t="shared" si="54"/>
        <v>8.0752436475120495E-2</v>
      </c>
      <c r="AF80">
        <f t="shared" si="55"/>
        <v>0.16901672750606617</v>
      </c>
      <c r="AG80">
        <f t="shared" si="56"/>
        <v>0.26291490945388069</v>
      </c>
      <c r="AH80">
        <f t="shared" si="57"/>
        <v>0.41315200057038398</v>
      </c>
      <c r="AI80">
        <f t="shared" si="58"/>
        <v>0.63850763724513893</v>
      </c>
      <c r="AJ80">
        <f t="shared" si="59"/>
        <v>1.3483778927706167</v>
      </c>
      <c r="AM80">
        <f t="shared" si="67"/>
        <v>5.0087877572423313E-2</v>
      </c>
      <c r="AN80">
        <f t="shared" si="60"/>
        <v>0.12521969393105828</v>
      </c>
      <c r="AO80">
        <f t="shared" si="61"/>
        <v>0.26208773148361036</v>
      </c>
      <c r="AP80">
        <f t="shared" si="62"/>
        <v>0.40769202675228272</v>
      </c>
      <c r="AQ80">
        <f t="shared" si="63"/>
        <v>0.64065889918215868</v>
      </c>
      <c r="AR80">
        <f t="shared" si="64"/>
        <v>0.99010920782697243</v>
      </c>
      <c r="AS80">
        <f t="shared" si="65"/>
        <v>2.0908776800581359</v>
      </c>
    </row>
    <row r="81" spans="4:45" x14ac:dyDescent="0.2">
      <c r="D81" s="92"/>
      <c r="E81">
        <v>50</v>
      </c>
      <c r="F81">
        <f t="shared" si="78"/>
        <v>91.732379999999992</v>
      </c>
      <c r="G81">
        <f t="shared" si="68"/>
        <v>48.549362114999994</v>
      </c>
      <c r="H81">
        <f t="shared" si="75"/>
        <v>0.97098724229999989</v>
      </c>
      <c r="I81">
        <f t="shared" si="73"/>
        <v>4854.9362114999994</v>
      </c>
      <c r="J81">
        <f t="shared" si="74"/>
        <v>2427.4681057499997</v>
      </c>
      <c r="K81">
        <f t="shared" si="69"/>
        <v>1213.7340528749999</v>
      </c>
      <c r="L81">
        <f t="shared" si="70"/>
        <v>776.7897938399999</v>
      </c>
      <c r="M81">
        <f t="shared" si="71"/>
        <v>582.59234537999987</v>
      </c>
      <c r="N81">
        <f t="shared" si="72"/>
        <v>291.29617268999993</v>
      </c>
      <c r="O81">
        <f t="shared" si="76"/>
        <v>145.64808634499997</v>
      </c>
      <c r="W81"/>
      <c r="Z81" s="23">
        <v>2044</v>
      </c>
      <c r="AA81">
        <v>40.858810633000012</v>
      </c>
      <c r="AB81">
        <v>64.15346425185119</v>
      </c>
      <c r="AD81">
        <f t="shared" si="66"/>
        <v>3.0781393578476892E-2</v>
      </c>
      <c r="AE81">
        <f t="shared" si="54"/>
        <v>7.6953483946192225E-2</v>
      </c>
      <c r="AF81">
        <f t="shared" si="55"/>
        <v>0.16106543151528604</v>
      </c>
      <c r="AG81">
        <f t="shared" si="56"/>
        <v>0.25054622680155608</v>
      </c>
      <c r="AH81">
        <f t="shared" si="57"/>
        <v>0.39371549925958815</v>
      </c>
      <c r="AI81">
        <f t="shared" si="58"/>
        <v>0.60846940794663618</v>
      </c>
      <c r="AJ81">
        <f t="shared" si="59"/>
        <v>1.2849442203108377</v>
      </c>
      <c r="AM81">
        <f t="shared" si="67"/>
        <v>4.8330653828774613E-2</v>
      </c>
      <c r="AN81">
        <f t="shared" si="60"/>
        <v>0.12082663457193653</v>
      </c>
      <c r="AO81">
        <f t="shared" si="61"/>
        <v>0.25289295608079737</v>
      </c>
      <c r="AP81">
        <f t="shared" si="62"/>
        <v>0.39338904279235148</v>
      </c>
      <c r="AQ81">
        <f t="shared" si="63"/>
        <v>0.61818278153083817</v>
      </c>
      <c r="AR81">
        <f t="shared" si="64"/>
        <v>0.95537338963856788</v>
      </c>
      <c r="AS81">
        <f t="shared" si="65"/>
        <v>2.017523805177917</v>
      </c>
    </row>
    <row r="82" spans="4:45" x14ac:dyDescent="0.2">
      <c r="D82" s="92"/>
      <c r="E82">
        <v>60</v>
      </c>
      <c r="F82">
        <f t="shared" si="78"/>
        <v>110.07885599999999</v>
      </c>
      <c r="G82">
        <f t="shared" si="68"/>
        <v>58.259234537999994</v>
      </c>
      <c r="H82">
        <f t="shared" si="75"/>
        <v>0.97098724229999989</v>
      </c>
      <c r="I82">
        <f t="shared" si="73"/>
        <v>5825.9234537999992</v>
      </c>
      <c r="J82">
        <f t="shared" si="74"/>
        <v>2912.9617268999996</v>
      </c>
      <c r="K82">
        <f t="shared" si="69"/>
        <v>1456.4808634499998</v>
      </c>
      <c r="L82">
        <f t="shared" si="70"/>
        <v>932.14775260799991</v>
      </c>
      <c r="M82">
        <f t="shared" si="71"/>
        <v>699.11081445599996</v>
      </c>
      <c r="N82">
        <f t="shared" si="72"/>
        <v>349.55540722799998</v>
      </c>
      <c r="O82">
        <f t="shared" si="76"/>
        <v>174.77770361399999</v>
      </c>
      <c r="W82"/>
      <c r="Z82" s="23">
        <v>2045</v>
      </c>
      <c r="AA82">
        <v>38.936631083271379</v>
      </c>
      <c r="AB82">
        <v>61.90278013257165</v>
      </c>
      <c r="AD82">
        <f t="shared" si="66"/>
        <v>2.9333300392893329E-2</v>
      </c>
      <c r="AE82">
        <f t="shared" si="54"/>
        <v>7.3333250982233325E-2</v>
      </c>
      <c r="AF82">
        <f t="shared" si="55"/>
        <v>0.15348819973025579</v>
      </c>
      <c r="AG82">
        <f t="shared" si="56"/>
        <v>0.23875942180262011</v>
      </c>
      <c r="AH82">
        <f t="shared" si="57"/>
        <v>0.37519337711840306</v>
      </c>
      <c r="AI82">
        <f t="shared" si="58"/>
        <v>0.57984431009207738</v>
      </c>
      <c r="AJ82">
        <f t="shared" si="59"/>
        <v>1.2244947489591518</v>
      </c>
      <c r="AM82">
        <f t="shared" si="67"/>
        <v>4.6635078440674181E-2</v>
      </c>
      <c r="AN82">
        <f t="shared" si="60"/>
        <v>0.11658769610168544</v>
      </c>
      <c r="AO82">
        <f t="shared" si="61"/>
        <v>0.24402075928259745</v>
      </c>
      <c r="AP82">
        <f t="shared" si="62"/>
        <v>0.37958784777292937</v>
      </c>
      <c r="AQ82">
        <f t="shared" si="63"/>
        <v>0.59649518935746038</v>
      </c>
      <c r="AR82">
        <f t="shared" si="64"/>
        <v>0.92185620173425709</v>
      </c>
      <c r="AS82">
        <f t="shared" si="65"/>
        <v>1.9467433907211662</v>
      </c>
    </row>
    <row r="83" spans="4:45" x14ac:dyDescent="0.2">
      <c r="D83" s="92"/>
      <c r="E83">
        <v>70</v>
      </c>
      <c r="F83">
        <f t="shared" si="78"/>
        <v>128.425332</v>
      </c>
      <c r="G83">
        <f t="shared" si="68"/>
        <v>67.969106960999994</v>
      </c>
      <c r="H83">
        <f t="shared" si="75"/>
        <v>0.97098724229999989</v>
      </c>
      <c r="I83">
        <f t="shared" si="73"/>
        <v>6796.9106960999998</v>
      </c>
      <c r="J83">
        <f t="shared" si="74"/>
        <v>3398.4553480499999</v>
      </c>
      <c r="K83">
        <f t="shared" si="69"/>
        <v>1699.2276740249999</v>
      </c>
      <c r="L83">
        <f t="shared" si="70"/>
        <v>1087.5057113759999</v>
      </c>
      <c r="M83">
        <f t="shared" si="71"/>
        <v>815.62928353199993</v>
      </c>
      <c r="N83">
        <f t="shared" si="72"/>
        <v>407.81464176599997</v>
      </c>
      <c r="O83">
        <f t="shared" si="76"/>
        <v>203.90732088299998</v>
      </c>
      <c r="W83"/>
      <c r="Z83" s="23">
        <v>2046</v>
      </c>
      <c r="AA83">
        <v>37.10487937919352</v>
      </c>
      <c r="AB83">
        <v>59.731056347918638</v>
      </c>
      <c r="AD83">
        <f t="shared" si="66"/>
        <v>2.7953331929109232E-2</v>
      </c>
      <c r="AE83">
        <f t="shared" si="54"/>
        <v>6.988332982277308E-2</v>
      </c>
      <c r="AF83">
        <f t="shared" si="55"/>
        <v>0.14626743451278088</v>
      </c>
      <c r="AG83">
        <f t="shared" si="56"/>
        <v>0.22752712035321468</v>
      </c>
      <c r="AH83">
        <f t="shared" si="57"/>
        <v>0.35754261769790879</v>
      </c>
      <c r="AI83">
        <f t="shared" si="58"/>
        <v>0.55256586371494998</v>
      </c>
      <c r="AJ83">
        <f t="shared" si="59"/>
        <v>1.1668890886686296</v>
      </c>
      <c r="AM83">
        <f t="shared" si="67"/>
        <v>4.4998988610267986E-2</v>
      </c>
      <c r="AN83">
        <f t="shared" si="60"/>
        <v>0.11249747152566997</v>
      </c>
      <c r="AO83">
        <f t="shared" si="61"/>
        <v>0.23545982412349525</v>
      </c>
      <c r="AP83">
        <f t="shared" si="62"/>
        <v>0.3662708375254371</v>
      </c>
      <c r="AQ83">
        <f t="shared" si="63"/>
        <v>0.57556845896854403</v>
      </c>
      <c r="AR83">
        <f t="shared" si="64"/>
        <v>0.88951489113320437</v>
      </c>
      <c r="AS83">
        <f t="shared" si="65"/>
        <v>1.8784461524518847</v>
      </c>
    </row>
    <row r="84" spans="4:45" x14ac:dyDescent="0.2">
      <c r="D84" s="92"/>
      <c r="E84">
        <v>80</v>
      </c>
      <c r="F84">
        <f t="shared" si="78"/>
        <v>146.77180799999996</v>
      </c>
      <c r="G84">
        <f t="shared" si="68"/>
        <v>77.678979383999987</v>
      </c>
      <c r="H84">
        <f t="shared" si="75"/>
        <v>0.97098724229999989</v>
      </c>
      <c r="I84">
        <f t="shared" si="73"/>
        <v>7767.8979383999986</v>
      </c>
      <c r="J84">
        <f t="shared" si="74"/>
        <v>3883.9489691999993</v>
      </c>
      <c r="K84">
        <f t="shared" si="69"/>
        <v>1941.9744845999996</v>
      </c>
      <c r="L84">
        <f t="shared" si="70"/>
        <v>1242.8636701439998</v>
      </c>
      <c r="M84">
        <f t="shared" si="71"/>
        <v>932.14775260799979</v>
      </c>
      <c r="N84">
        <f t="shared" si="72"/>
        <v>466.0738763039999</v>
      </c>
      <c r="O84">
        <f t="shared" si="76"/>
        <v>233.03693815199995</v>
      </c>
      <c r="W84"/>
    </row>
    <row r="85" spans="4:45" x14ac:dyDescent="0.2">
      <c r="D85" s="92">
        <v>20</v>
      </c>
      <c r="E85">
        <v>5</v>
      </c>
      <c r="F85">
        <f t="shared" ref="F85:F93" si="79">1.60934*E85*($F$46/1000)</f>
        <v>13.759856999999998</v>
      </c>
      <c r="G85">
        <f t="shared" si="68"/>
        <v>7.2824043172499993</v>
      </c>
      <c r="H85">
        <f t="shared" si="75"/>
        <v>1.4564808634499999</v>
      </c>
      <c r="I85">
        <f t="shared" si="73"/>
        <v>728.24043172499989</v>
      </c>
      <c r="J85">
        <f t="shared" si="74"/>
        <v>364.12021586249995</v>
      </c>
      <c r="K85">
        <f t="shared" si="69"/>
        <v>182.06010793124997</v>
      </c>
      <c r="L85">
        <f t="shared" si="70"/>
        <v>116.51846907599999</v>
      </c>
      <c r="M85">
        <f t="shared" si="71"/>
        <v>87.388851806999995</v>
      </c>
      <c r="N85">
        <f t="shared" si="72"/>
        <v>43.694425903499997</v>
      </c>
      <c r="O85">
        <f t="shared" si="76"/>
        <v>21.847212951749999</v>
      </c>
      <c r="W85"/>
      <c r="AD85">
        <f>SUM(AD58:AD83)</f>
        <v>1.4157879813204246</v>
      </c>
      <c r="AE85">
        <f t="shared" ref="AE85:AJ85" si="80">SUM(AE58:AE83)</f>
        <v>3.5394699533010603</v>
      </c>
      <c r="AF85">
        <f t="shared" si="80"/>
        <v>7.4081929255138474</v>
      </c>
      <c r="AG85">
        <f t="shared" si="80"/>
        <v>11.52385566191043</v>
      </c>
      <c r="AH85">
        <f t="shared" si="80"/>
        <v>18.108916040144965</v>
      </c>
      <c r="AI85">
        <f t="shared" si="80"/>
        <v>27.98650660749675</v>
      </c>
      <c r="AJ85">
        <f t="shared" si="80"/>
        <v>59.100916894654908</v>
      </c>
      <c r="AM85">
        <f>SUM(AM58:AM83)</f>
        <v>1.8946048243399116</v>
      </c>
      <c r="AN85">
        <f t="shared" ref="AN85:AS85" si="81">SUM(AN58:AN83)</f>
        <v>4.7365120608497797</v>
      </c>
      <c r="AO85">
        <f t="shared" si="81"/>
        <v>9.9136298948018613</v>
      </c>
      <c r="AP85">
        <f t="shared" si="81"/>
        <v>15.421202058580674</v>
      </c>
      <c r="AQ85">
        <f t="shared" si="81"/>
        <v>24.23331752062678</v>
      </c>
      <c r="AR85">
        <f t="shared" si="81"/>
        <v>37.451490713695925</v>
      </c>
      <c r="AS85">
        <f t="shared" si="81"/>
        <v>79.088736271863766</v>
      </c>
    </row>
    <row r="86" spans="4:45" x14ac:dyDescent="0.2">
      <c r="D86" s="92"/>
      <c r="E86">
        <v>10</v>
      </c>
      <c r="F86">
        <f t="shared" si="79"/>
        <v>27.519713999999997</v>
      </c>
      <c r="G86">
        <f t="shared" si="68"/>
        <v>14.564808634499999</v>
      </c>
      <c r="H86">
        <f t="shared" si="75"/>
        <v>1.4564808634499999</v>
      </c>
      <c r="I86">
        <f t="shared" si="73"/>
        <v>1456.4808634499998</v>
      </c>
      <c r="J86">
        <f t="shared" si="74"/>
        <v>728.24043172499989</v>
      </c>
      <c r="K86">
        <f t="shared" si="69"/>
        <v>364.12021586249995</v>
      </c>
      <c r="L86">
        <f t="shared" si="70"/>
        <v>233.03693815199998</v>
      </c>
      <c r="M86">
        <f t="shared" si="71"/>
        <v>174.77770361399999</v>
      </c>
      <c r="N86">
        <f t="shared" si="72"/>
        <v>87.388851806999995</v>
      </c>
      <c r="O86">
        <f t="shared" si="76"/>
        <v>43.694425903499997</v>
      </c>
      <c r="AD86">
        <v>1.4157879813204246</v>
      </c>
      <c r="AE86">
        <v>3.5394699533010603</v>
      </c>
      <c r="AF86">
        <v>7.4081929255138474</v>
      </c>
      <c r="AG86">
        <v>11.52385566191043</v>
      </c>
      <c r="AH86">
        <v>18.108916040144965</v>
      </c>
      <c r="AI86">
        <v>27.98650660749675</v>
      </c>
      <c r="AJ86">
        <v>59.100916894654908</v>
      </c>
      <c r="AM86">
        <v>1.8946048243399116</v>
      </c>
      <c r="AN86">
        <v>4.7365120608497797</v>
      </c>
      <c r="AO86">
        <v>9.9136298948018613</v>
      </c>
      <c r="AP86">
        <v>15.421202058580674</v>
      </c>
      <c r="AQ86">
        <v>24.23331752062678</v>
      </c>
      <c r="AR86">
        <v>37.451490713695925</v>
      </c>
      <c r="AS86">
        <v>79.088736271863766</v>
      </c>
    </row>
    <row r="87" spans="4:45" x14ac:dyDescent="0.2">
      <c r="D87" s="92"/>
      <c r="E87">
        <v>20</v>
      </c>
      <c r="F87">
        <f t="shared" si="79"/>
        <v>55.039427999999994</v>
      </c>
      <c r="G87">
        <f t="shared" si="68"/>
        <v>29.129617268999997</v>
      </c>
      <c r="H87">
        <f t="shared" si="75"/>
        <v>1.4564808634499999</v>
      </c>
      <c r="I87">
        <f t="shared" si="73"/>
        <v>2912.9617268999996</v>
      </c>
      <c r="J87">
        <f t="shared" si="74"/>
        <v>1456.4808634499998</v>
      </c>
      <c r="K87">
        <f t="shared" si="69"/>
        <v>728.24043172499989</v>
      </c>
      <c r="L87">
        <f t="shared" si="70"/>
        <v>466.07387630399995</v>
      </c>
      <c r="M87">
        <f t="shared" si="71"/>
        <v>349.55540722799998</v>
      </c>
      <c r="N87">
        <f t="shared" si="72"/>
        <v>174.77770361399999</v>
      </c>
      <c r="O87">
        <f t="shared" si="76"/>
        <v>87.388851806999995</v>
      </c>
    </row>
    <row r="88" spans="4:45" ht="15" x14ac:dyDescent="0.25">
      <c r="D88" s="92"/>
      <c r="E88">
        <v>30</v>
      </c>
      <c r="F88">
        <f t="shared" si="79"/>
        <v>82.559141999999994</v>
      </c>
      <c r="G88">
        <f t="shared" si="68"/>
        <v>43.694425903499997</v>
      </c>
      <c r="H88">
        <f t="shared" si="75"/>
        <v>1.4564808634499999</v>
      </c>
      <c r="I88">
        <f t="shared" si="73"/>
        <v>4369.4425903499996</v>
      </c>
      <c r="J88">
        <f t="shared" si="74"/>
        <v>2184.7212951749998</v>
      </c>
      <c r="K88">
        <f t="shared" si="69"/>
        <v>1092.3606475874999</v>
      </c>
      <c r="L88">
        <f t="shared" si="70"/>
        <v>699.11081445599996</v>
      </c>
      <c r="M88">
        <f t="shared" si="71"/>
        <v>524.333110842</v>
      </c>
      <c r="N88">
        <f t="shared" si="72"/>
        <v>262.166555421</v>
      </c>
      <c r="O88">
        <f t="shared" si="76"/>
        <v>131.0832777105</v>
      </c>
      <c r="Y88" t="s">
        <v>346</v>
      </c>
      <c r="AH88" s="1"/>
    </row>
    <row r="89" spans="4:45" x14ac:dyDescent="0.2">
      <c r="D89" s="92"/>
      <c r="E89">
        <v>40</v>
      </c>
      <c r="F89">
        <f t="shared" si="79"/>
        <v>110.07885599999999</v>
      </c>
      <c r="G89">
        <f t="shared" si="68"/>
        <v>58.259234537999994</v>
      </c>
      <c r="H89">
        <f t="shared" si="75"/>
        <v>1.4564808634499999</v>
      </c>
      <c r="I89">
        <f t="shared" si="73"/>
        <v>5825.9234537999992</v>
      </c>
      <c r="J89">
        <f t="shared" si="74"/>
        <v>2912.9617268999996</v>
      </c>
      <c r="K89">
        <f t="shared" si="69"/>
        <v>1456.4808634499998</v>
      </c>
      <c r="L89">
        <f t="shared" si="70"/>
        <v>932.14775260799991</v>
      </c>
      <c r="M89">
        <f t="shared" si="71"/>
        <v>699.11081445599996</v>
      </c>
      <c r="N89">
        <f t="shared" si="72"/>
        <v>349.55540722799998</v>
      </c>
      <c r="O89">
        <f t="shared" si="76"/>
        <v>174.77770361399999</v>
      </c>
    </row>
    <row r="90" spans="4:45" x14ac:dyDescent="0.2">
      <c r="D90" s="92"/>
      <c r="E90">
        <v>50</v>
      </c>
      <c r="F90">
        <f t="shared" si="79"/>
        <v>137.59857</v>
      </c>
      <c r="G90">
        <f t="shared" si="68"/>
        <v>72.824043172499998</v>
      </c>
      <c r="H90">
        <f t="shared" si="75"/>
        <v>1.4564808634499999</v>
      </c>
      <c r="I90">
        <f t="shared" si="73"/>
        <v>7282.4043172499996</v>
      </c>
      <c r="J90">
        <f t="shared" si="74"/>
        <v>3641.2021586249998</v>
      </c>
      <c r="K90">
        <f t="shared" si="69"/>
        <v>1820.6010793124999</v>
      </c>
      <c r="L90">
        <f t="shared" si="70"/>
        <v>1165.18469076</v>
      </c>
      <c r="M90">
        <f t="shared" si="71"/>
        <v>873.88851806999992</v>
      </c>
      <c r="N90">
        <f t="shared" si="72"/>
        <v>436.94425903499996</v>
      </c>
      <c r="O90">
        <f t="shared" si="76"/>
        <v>218.47212951749998</v>
      </c>
      <c r="Y90">
        <v>2E-3</v>
      </c>
      <c r="Z90" t="s">
        <v>376</v>
      </c>
      <c r="AB90" t="s">
        <v>372</v>
      </c>
      <c r="AC90" t="s">
        <v>373</v>
      </c>
      <c r="AF90" t="s">
        <v>315</v>
      </c>
      <c r="AG90">
        <v>265</v>
      </c>
    </row>
    <row r="91" spans="4:45" x14ac:dyDescent="0.2">
      <c r="D91" s="92"/>
      <c r="E91">
        <v>60</v>
      </c>
      <c r="F91">
        <f t="shared" si="79"/>
        <v>165.11828399999999</v>
      </c>
      <c r="G91">
        <f t="shared" si="68"/>
        <v>87.388851806999995</v>
      </c>
      <c r="H91">
        <f t="shared" si="75"/>
        <v>1.4564808634499999</v>
      </c>
      <c r="I91">
        <f t="shared" si="73"/>
        <v>8738.8851806999992</v>
      </c>
      <c r="J91">
        <f t="shared" si="74"/>
        <v>4369.4425903499996</v>
      </c>
      <c r="K91">
        <f t="shared" si="69"/>
        <v>2184.7212951749998</v>
      </c>
      <c r="L91">
        <f t="shared" si="70"/>
        <v>1398.2216289119999</v>
      </c>
      <c r="M91">
        <f t="shared" si="71"/>
        <v>1048.666221684</v>
      </c>
      <c r="N91">
        <f t="shared" si="72"/>
        <v>524.333110842</v>
      </c>
      <c r="O91">
        <f t="shared" si="76"/>
        <v>262.166555421</v>
      </c>
      <c r="Y91">
        <v>57</v>
      </c>
      <c r="Z91" t="s">
        <v>375</v>
      </c>
      <c r="AB91" t="s">
        <v>374</v>
      </c>
      <c r="AC91" t="s">
        <v>377</v>
      </c>
      <c r="AD91">
        <v>28</v>
      </c>
    </row>
    <row r="92" spans="4:45" x14ac:dyDescent="0.2">
      <c r="D92" s="92"/>
      <c r="E92">
        <v>70</v>
      </c>
      <c r="F92">
        <f t="shared" si="79"/>
        <v>192.63799800000001</v>
      </c>
      <c r="G92">
        <f t="shared" si="68"/>
        <v>101.95366044150001</v>
      </c>
      <c r="H92">
        <f t="shared" si="75"/>
        <v>1.4564808634500002</v>
      </c>
      <c r="I92">
        <f t="shared" si="73"/>
        <v>10195.36604415</v>
      </c>
      <c r="J92">
        <f t="shared" si="74"/>
        <v>5097.6830220749998</v>
      </c>
      <c r="K92">
        <f t="shared" si="69"/>
        <v>2548.8415110374999</v>
      </c>
      <c r="L92">
        <f t="shared" si="70"/>
        <v>1631.2585670640001</v>
      </c>
      <c r="M92">
        <f t="shared" si="71"/>
        <v>1223.4439252980001</v>
      </c>
      <c r="N92">
        <f t="shared" si="72"/>
        <v>611.72196264900003</v>
      </c>
      <c r="O92">
        <f t="shared" si="76"/>
        <v>305.86098132450002</v>
      </c>
    </row>
    <row r="93" spans="4:45" x14ac:dyDescent="0.2">
      <c r="D93" s="92"/>
      <c r="E93">
        <v>80</v>
      </c>
      <c r="F93">
        <f t="shared" si="79"/>
        <v>220.15771199999998</v>
      </c>
      <c r="G93">
        <f t="shared" si="68"/>
        <v>116.51846907599999</v>
      </c>
      <c r="H93">
        <f t="shared" si="75"/>
        <v>1.4564808634499999</v>
      </c>
      <c r="I93">
        <f t="shared" si="73"/>
        <v>11651.846907599998</v>
      </c>
      <c r="J93">
        <f t="shared" si="74"/>
        <v>5825.9234537999992</v>
      </c>
      <c r="K93">
        <f t="shared" si="69"/>
        <v>2912.9617268999996</v>
      </c>
      <c r="L93">
        <f t="shared" si="70"/>
        <v>1864.2955052159998</v>
      </c>
      <c r="M93">
        <f t="shared" si="71"/>
        <v>1398.2216289119999</v>
      </c>
      <c r="N93">
        <f t="shared" si="72"/>
        <v>699.11081445599996</v>
      </c>
      <c r="O93">
        <f t="shared" si="76"/>
        <v>349.55540722799998</v>
      </c>
      <c r="Z93" t="s">
        <v>89</v>
      </c>
    </row>
    <row r="94" spans="4:45" x14ac:dyDescent="0.2">
      <c r="D94" s="92">
        <v>30</v>
      </c>
      <c r="E94">
        <v>5</v>
      </c>
      <c r="F94">
        <f t="shared" ref="F94:F102" si="82">1.60934*E94*($F$47/1000)</f>
        <v>19.312079999999998</v>
      </c>
      <c r="G94">
        <f t="shared" ref="G94:G129" si="83">F94*$F$61</f>
        <v>4.2438295799999999</v>
      </c>
      <c r="H94">
        <f t="shared" si="75"/>
        <v>0.84876591599999995</v>
      </c>
      <c r="I94">
        <f t="shared" si="73"/>
        <v>424.38295799999997</v>
      </c>
      <c r="J94">
        <f t="shared" si="74"/>
        <v>212.19147899999999</v>
      </c>
      <c r="K94">
        <f t="shared" si="69"/>
        <v>106.09573949999999</v>
      </c>
      <c r="L94">
        <f t="shared" si="70"/>
        <v>67.901273279999998</v>
      </c>
      <c r="M94">
        <f t="shared" si="71"/>
        <v>50.925954959999999</v>
      </c>
      <c r="N94">
        <f t="shared" si="72"/>
        <v>25.462977479999999</v>
      </c>
      <c r="O94">
        <f t="shared" si="76"/>
        <v>12.73148874</v>
      </c>
      <c r="Z94">
        <v>5</v>
      </c>
      <c r="AA94">
        <v>10</v>
      </c>
      <c r="AB94">
        <v>20</v>
      </c>
      <c r="AC94">
        <v>30</v>
      </c>
      <c r="AD94">
        <v>50</v>
      </c>
      <c r="AE94">
        <v>75</v>
      </c>
      <c r="AF94">
        <v>100</v>
      </c>
    </row>
    <row r="95" spans="4:45" x14ac:dyDescent="0.2">
      <c r="D95" s="92"/>
      <c r="E95">
        <v>10</v>
      </c>
      <c r="F95">
        <f t="shared" si="82"/>
        <v>38.624159999999996</v>
      </c>
      <c r="G95">
        <f t="shared" si="83"/>
        <v>8.4876591599999998</v>
      </c>
      <c r="H95">
        <f t="shared" si="75"/>
        <v>0.84876591599999995</v>
      </c>
      <c r="I95">
        <f t="shared" si="73"/>
        <v>848.76591599999995</v>
      </c>
      <c r="J95">
        <f t="shared" si="74"/>
        <v>424.38295799999997</v>
      </c>
      <c r="K95">
        <f t="shared" si="69"/>
        <v>212.19147899999999</v>
      </c>
      <c r="L95">
        <f t="shared" si="70"/>
        <v>135.80254656</v>
      </c>
      <c r="M95">
        <f t="shared" si="71"/>
        <v>101.85190992</v>
      </c>
      <c r="N95">
        <f t="shared" si="72"/>
        <v>50.925954959999999</v>
      </c>
      <c r="O95">
        <f t="shared" si="76"/>
        <v>25.462977479999999</v>
      </c>
      <c r="Y95" t="s">
        <v>311</v>
      </c>
      <c r="Z95">
        <v>75</v>
      </c>
      <c r="AA95">
        <v>150</v>
      </c>
      <c r="AB95">
        <v>300</v>
      </c>
      <c r="AC95">
        <v>450</v>
      </c>
      <c r="AD95">
        <v>750</v>
      </c>
      <c r="AE95">
        <v>1125</v>
      </c>
      <c r="AF95">
        <v>1500</v>
      </c>
    </row>
    <row r="96" spans="4:45" x14ac:dyDescent="0.2">
      <c r="D96" s="92"/>
      <c r="E96">
        <v>20</v>
      </c>
      <c r="F96">
        <f t="shared" si="82"/>
        <v>77.248319999999993</v>
      </c>
      <c r="G96">
        <f t="shared" si="83"/>
        <v>16.97531832</v>
      </c>
      <c r="H96">
        <f t="shared" si="75"/>
        <v>0.84876591599999995</v>
      </c>
      <c r="I96">
        <f t="shared" si="73"/>
        <v>1697.5318319999999</v>
      </c>
      <c r="J96">
        <f t="shared" si="74"/>
        <v>848.76591599999995</v>
      </c>
      <c r="K96">
        <f t="shared" si="69"/>
        <v>424.38295799999997</v>
      </c>
      <c r="L96">
        <f t="shared" si="70"/>
        <v>271.60509311999999</v>
      </c>
      <c r="M96">
        <f t="shared" si="71"/>
        <v>203.70381983999999</v>
      </c>
      <c r="N96">
        <f t="shared" si="72"/>
        <v>101.85190992</v>
      </c>
      <c r="O96">
        <f t="shared" si="76"/>
        <v>50.925954959999999</v>
      </c>
    </row>
    <row r="97" spans="4:44" x14ac:dyDescent="0.2">
      <c r="D97" s="92"/>
      <c r="E97">
        <v>30</v>
      </c>
      <c r="F97">
        <f t="shared" si="82"/>
        <v>115.87248</v>
      </c>
      <c r="G97">
        <f t="shared" si="83"/>
        <v>25.462977479999999</v>
      </c>
      <c r="H97">
        <f t="shared" si="75"/>
        <v>0.84876591599999995</v>
      </c>
      <c r="I97">
        <f t="shared" si="73"/>
        <v>2546.297748</v>
      </c>
      <c r="J97">
        <f t="shared" si="74"/>
        <v>1273.148874</v>
      </c>
      <c r="K97">
        <f t="shared" si="69"/>
        <v>636.57443699999999</v>
      </c>
      <c r="L97">
        <f t="shared" si="70"/>
        <v>407.40763967999999</v>
      </c>
      <c r="M97">
        <f t="shared" si="71"/>
        <v>305.55572975999996</v>
      </c>
      <c r="N97">
        <f t="shared" si="72"/>
        <v>152.77786487999998</v>
      </c>
      <c r="O97">
        <f t="shared" si="76"/>
        <v>76.388932439999991</v>
      </c>
      <c r="Y97" t="s">
        <v>379</v>
      </c>
      <c r="Z97">
        <f t="shared" ref="Z97:AF97" si="84">Z95*$Y$90</f>
        <v>0.15</v>
      </c>
      <c r="AA97">
        <f t="shared" si="84"/>
        <v>0.3</v>
      </c>
      <c r="AB97">
        <f t="shared" si="84"/>
        <v>0.6</v>
      </c>
      <c r="AC97">
        <f t="shared" si="84"/>
        <v>0.9</v>
      </c>
      <c r="AD97">
        <f t="shared" si="84"/>
        <v>1.5</v>
      </c>
      <c r="AE97">
        <f t="shared" si="84"/>
        <v>2.25</v>
      </c>
      <c r="AF97">
        <f t="shared" si="84"/>
        <v>3</v>
      </c>
    </row>
    <row r="98" spans="4:44" x14ac:dyDescent="0.2">
      <c r="D98" s="92"/>
      <c r="E98">
        <v>40</v>
      </c>
      <c r="F98">
        <f t="shared" si="82"/>
        <v>154.49663999999999</v>
      </c>
      <c r="G98">
        <f t="shared" si="83"/>
        <v>33.950636639999999</v>
      </c>
      <c r="H98">
        <f t="shared" si="75"/>
        <v>0.84876591599999995</v>
      </c>
      <c r="I98">
        <f t="shared" si="73"/>
        <v>3395.0636639999998</v>
      </c>
      <c r="J98">
        <f t="shared" si="74"/>
        <v>1697.5318319999999</v>
      </c>
      <c r="K98">
        <f t="shared" si="69"/>
        <v>848.76591599999995</v>
      </c>
      <c r="L98">
        <f t="shared" si="70"/>
        <v>543.21018623999998</v>
      </c>
      <c r="M98">
        <f t="shared" si="71"/>
        <v>407.40763967999999</v>
      </c>
      <c r="N98">
        <f t="shared" si="72"/>
        <v>203.70381983999999</v>
      </c>
      <c r="O98">
        <f t="shared" si="76"/>
        <v>101.85190992</v>
      </c>
    </row>
    <row r="99" spans="4:44" x14ac:dyDescent="0.2">
      <c r="D99" s="92"/>
      <c r="E99">
        <v>50</v>
      </c>
      <c r="F99">
        <f t="shared" si="82"/>
        <v>193.1208</v>
      </c>
      <c r="G99">
        <f t="shared" si="83"/>
        <v>42.438295799999999</v>
      </c>
      <c r="H99">
        <f t="shared" si="75"/>
        <v>0.84876591599999995</v>
      </c>
      <c r="I99">
        <f t="shared" ref="I99:I129" si="85">$G99*O$55</f>
        <v>4243.8295799999996</v>
      </c>
      <c r="J99">
        <f t="shared" ref="J99:J129" si="86">$G99*P$55</f>
        <v>2121.9147899999998</v>
      </c>
      <c r="K99">
        <f t="shared" ref="K99:K128" si="87">$G99*Q$55</f>
        <v>1060.9573949999999</v>
      </c>
      <c r="L99">
        <f t="shared" ref="L99:L129" si="88">$G99*R$55</f>
        <v>679.01273279999998</v>
      </c>
      <c r="M99">
        <f t="shared" ref="M99:M129" si="89">$G99*S$55</f>
        <v>509.25954960000001</v>
      </c>
      <c r="N99">
        <f t="shared" ref="N99:N129" si="90">$G99*T$55</f>
        <v>254.62977480000001</v>
      </c>
      <c r="O99">
        <f t="shared" ref="O99:O129" si="91">$G99*U$55</f>
        <v>127.3148874</v>
      </c>
      <c r="Y99" t="s">
        <v>380</v>
      </c>
      <c r="Z99">
        <f>Z97*$AG$90</f>
        <v>39.75</v>
      </c>
      <c r="AA99">
        <f t="shared" ref="AA99:AF99" si="92">AA97*$AG$90</f>
        <v>79.5</v>
      </c>
      <c r="AB99">
        <f t="shared" si="92"/>
        <v>159</v>
      </c>
      <c r="AC99">
        <f t="shared" si="92"/>
        <v>238.5</v>
      </c>
      <c r="AD99">
        <f t="shared" si="92"/>
        <v>397.5</v>
      </c>
      <c r="AE99">
        <f t="shared" si="92"/>
        <v>596.25</v>
      </c>
      <c r="AF99">
        <f t="shared" si="92"/>
        <v>795</v>
      </c>
    </row>
    <row r="100" spans="4:44" x14ac:dyDescent="0.2">
      <c r="D100" s="92"/>
      <c r="E100">
        <v>60</v>
      </c>
      <c r="F100">
        <f t="shared" si="82"/>
        <v>231.74495999999999</v>
      </c>
      <c r="G100">
        <f t="shared" si="83"/>
        <v>50.925954959999999</v>
      </c>
      <c r="H100">
        <f t="shared" si="75"/>
        <v>0.84876591599999995</v>
      </c>
      <c r="I100">
        <f t="shared" si="85"/>
        <v>5092.5954959999999</v>
      </c>
      <c r="J100">
        <f t="shared" si="86"/>
        <v>2546.297748</v>
      </c>
      <c r="K100">
        <f t="shared" si="87"/>
        <v>1273.148874</v>
      </c>
      <c r="L100">
        <f t="shared" si="88"/>
        <v>814.81527935999998</v>
      </c>
      <c r="M100">
        <f t="shared" si="89"/>
        <v>611.11145951999993</v>
      </c>
      <c r="N100">
        <f t="shared" si="90"/>
        <v>305.55572975999996</v>
      </c>
      <c r="O100">
        <f t="shared" si="91"/>
        <v>152.77786487999998</v>
      </c>
      <c r="Y100" t="s">
        <v>378</v>
      </c>
      <c r="Z100">
        <f>(Z99*365.25)/1000</f>
        <v>14.5186875</v>
      </c>
      <c r="AA100">
        <f t="shared" ref="AA100:AE100" si="93">(AA99*365.25)/1000</f>
        <v>29.037375000000001</v>
      </c>
      <c r="AB100">
        <f t="shared" si="93"/>
        <v>58.074750000000002</v>
      </c>
      <c r="AC100">
        <f t="shared" si="93"/>
        <v>87.112125000000006</v>
      </c>
      <c r="AD100">
        <f t="shared" si="93"/>
        <v>145.18687499999999</v>
      </c>
      <c r="AE100">
        <f t="shared" si="93"/>
        <v>217.78031250000001</v>
      </c>
      <c r="AF100">
        <f>(AF99*365.25)/1000</f>
        <v>290.37374999999997</v>
      </c>
    </row>
    <row r="101" spans="4:44" x14ac:dyDescent="0.2">
      <c r="D101" s="92"/>
      <c r="E101">
        <v>70</v>
      </c>
      <c r="F101">
        <f t="shared" si="82"/>
        <v>270.36912000000001</v>
      </c>
      <c r="G101">
        <f t="shared" si="83"/>
        <v>59.413614120000005</v>
      </c>
      <c r="H101">
        <f t="shared" si="75"/>
        <v>0.84876591600000006</v>
      </c>
      <c r="I101">
        <f t="shared" si="85"/>
        <v>5941.3614120000002</v>
      </c>
      <c r="J101">
        <f>$G101*P$55</f>
        <v>2970.6807060000001</v>
      </c>
      <c r="K101">
        <f t="shared" si="87"/>
        <v>1485.3403530000001</v>
      </c>
      <c r="L101">
        <f t="shared" si="88"/>
        <v>950.61782592000009</v>
      </c>
      <c r="M101">
        <f t="shared" si="89"/>
        <v>712.96336944000006</v>
      </c>
      <c r="N101">
        <f t="shared" si="90"/>
        <v>356.48168472000003</v>
      </c>
      <c r="O101">
        <f t="shared" si="91"/>
        <v>178.24084236000002</v>
      </c>
      <c r="AM101" t="s">
        <v>89</v>
      </c>
      <c r="AN101" t="s">
        <v>165</v>
      </c>
      <c r="AO101" t="s">
        <v>166</v>
      </c>
      <c r="AP101" t="s">
        <v>167</v>
      </c>
      <c r="AR101" t="s">
        <v>168</v>
      </c>
    </row>
    <row r="102" spans="4:44" x14ac:dyDescent="0.2">
      <c r="D102" s="92"/>
      <c r="E102">
        <v>80</v>
      </c>
      <c r="F102">
        <f t="shared" si="82"/>
        <v>308.99327999999997</v>
      </c>
      <c r="G102">
        <f t="shared" si="83"/>
        <v>67.901273279999998</v>
      </c>
      <c r="H102">
        <f t="shared" si="75"/>
        <v>0.84876591599999995</v>
      </c>
      <c r="I102">
        <f t="shared" si="85"/>
        <v>6790.1273279999996</v>
      </c>
      <c r="J102">
        <f t="shared" si="86"/>
        <v>3395.0636639999998</v>
      </c>
      <c r="K102">
        <f t="shared" si="87"/>
        <v>1697.5318319999999</v>
      </c>
      <c r="L102">
        <f t="shared" si="88"/>
        <v>1086.42037248</v>
      </c>
      <c r="M102">
        <f t="shared" si="89"/>
        <v>814.81527935999998</v>
      </c>
      <c r="N102">
        <f t="shared" si="90"/>
        <v>407.40763967999999</v>
      </c>
      <c r="O102">
        <f t="shared" si="91"/>
        <v>203.70381983999999</v>
      </c>
      <c r="AM102">
        <v>5</v>
      </c>
      <c r="AN102">
        <v>2800</v>
      </c>
      <c r="AO102">
        <f>AN102*0.3</f>
        <v>840</v>
      </c>
      <c r="AP102">
        <f>AO102</f>
        <v>840</v>
      </c>
      <c r="AR102" t="s">
        <v>169</v>
      </c>
    </row>
    <row r="103" spans="4:44" x14ac:dyDescent="0.2">
      <c r="D103" s="92">
        <v>50</v>
      </c>
      <c r="E103">
        <v>5</v>
      </c>
      <c r="F103">
        <f t="shared" ref="F103:F111" si="94">1.60934*E103*($F$48/1000)</f>
        <v>28.968119999999999</v>
      </c>
      <c r="G103">
        <f t="shared" si="83"/>
        <v>6.3657443699999998</v>
      </c>
      <c r="H103">
        <f t="shared" si="75"/>
        <v>1.2731488739999999</v>
      </c>
      <c r="I103">
        <f t="shared" si="85"/>
        <v>636.57443699999999</v>
      </c>
      <c r="J103">
        <f t="shared" si="86"/>
        <v>318.28721849999999</v>
      </c>
      <c r="K103">
        <f t="shared" si="87"/>
        <v>159.14360925</v>
      </c>
      <c r="L103">
        <f t="shared" si="88"/>
        <v>101.85190992</v>
      </c>
      <c r="M103">
        <f t="shared" si="89"/>
        <v>76.388932439999991</v>
      </c>
      <c r="N103">
        <f t="shared" si="90"/>
        <v>38.194466219999995</v>
      </c>
      <c r="O103">
        <f t="shared" si="91"/>
        <v>19.097233109999998</v>
      </c>
      <c r="Y103" t="s">
        <v>381</v>
      </c>
      <c r="Z103">
        <f>$Y$91*Z94/1000</f>
        <v>0.28499999999999998</v>
      </c>
      <c r="AA103">
        <f t="shared" ref="AA103:AF103" si="95">$Y$91*AA94/1000</f>
        <v>0.56999999999999995</v>
      </c>
      <c r="AB103">
        <f t="shared" si="95"/>
        <v>1.1399999999999999</v>
      </c>
      <c r="AC103">
        <f t="shared" si="95"/>
        <v>1.71</v>
      </c>
      <c r="AD103">
        <f t="shared" si="95"/>
        <v>2.85</v>
      </c>
      <c r="AE103">
        <f t="shared" si="95"/>
        <v>4.2750000000000004</v>
      </c>
      <c r="AF103">
        <f t="shared" si="95"/>
        <v>5.7</v>
      </c>
      <c r="AM103">
        <v>10</v>
      </c>
      <c r="AN103">
        <v>3800</v>
      </c>
      <c r="AO103">
        <f>AN103*0.3</f>
        <v>1140</v>
      </c>
      <c r="AP103">
        <f t="shared" ref="AP103:AP107" si="96">AO103</f>
        <v>1140</v>
      </c>
      <c r="AR103" t="s">
        <v>169</v>
      </c>
    </row>
    <row r="104" spans="4:44" x14ac:dyDescent="0.2">
      <c r="D104" s="92"/>
      <c r="E104">
        <v>10</v>
      </c>
      <c r="F104">
        <f t="shared" si="94"/>
        <v>57.936239999999998</v>
      </c>
      <c r="G104">
        <f t="shared" si="83"/>
        <v>12.73148874</v>
      </c>
      <c r="H104">
        <f t="shared" si="75"/>
        <v>1.2731488739999999</v>
      </c>
      <c r="I104">
        <f t="shared" si="85"/>
        <v>1273.148874</v>
      </c>
      <c r="J104">
        <f t="shared" si="86"/>
        <v>636.57443699999999</v>
      </c>
      <c r="K104">
        <f t="shared" si="87"/>
        <v>318.28721849999999</v>
      </c>
      <c r="L104">
        <f t="shared" si="88"/>
        <v>203.70381983999999</v>
      </c>
      <c r="M104">
        <f t="shared" si="89"/>
        <v>152.77786487999998</v>
      </c>
      <c r="N104">
        <f t="shared" si="90"/>
        <v>76.388932439999991</v>
      </c>
      <c r="O104">
        <f t="shared" si="91"/>
        <v>38.194466219999995</v>
      </c>
      <c r="AM104">
        <v>20</v>
      </c>
      <c r="AN104">
        <v>5700</v>
      </c>
      <c r="AO104">
        <f>AN104*0.3</f>
        <v>1710</v>
      </c>
      <c r="AP104">
        <f t="shared" si="96"/>
        <v>1710</v>
      </c>
      <c r="AR104" t="s">
        <v>169</v>
      </c>
    </row>
    <row r="105" spans="4:44" x14ac:dyDescent="0.2">
      <c r="D105" s="92"/>
      <c r="E105">
        <v>20</v>
      </c>
      <c r="F105">
        <f t="shared" si="94"/>
        <v>115.87248</v>
      </c>
      <c r="G105">
        <f t="shared" si="83"/>
        <v>25.462977479999999</v>
      </c>
      <c r="H105">
        <f t="shared" si="75"/>
        <v>1.2731488739999999</v>
      </c>
      <c r="I105">
        <f t="shared" si="85"/>
        <v>2546.297748</v>
      </c>
      <c r="J105">
        <f t="shared" si="86"/>
        <v>1273.148874</v>
      </c>
      <c r="K105">
        <f t="shared" si="87"/>
        <v>636.57443699999999</v>
      </c>
      <c r="L105">
        <f t="shared" si="88"/>
        <v>407.40763967999999</v>
      </c>
      <c r="M105">
        <f t="shared" si="89"/>
        <v>305.55572975999996</v>
      </c>
      <c r="N105">
        <f t="shared" si="90"/>
        <v>152.77786487999998</v>
      </c>
      <c r="O105">
        <f t="shared" si="91"/>
        <v>76.388932439999991</v>
      </c>
      <c r="Y105" t="s">
        <v>380</v>
      </c>
      <c r="Z105">
        <f t="shared" ref="Z105:AF105" si="97">Z103*$AD$91</f>
        <v>7.9799999999999995</v>
      </c>
      <c r="AA105">
        <f t="shared" si="97"/>
        <v>15.959999999999999</v>
      </c>
      <c r="AB105">
        <f t="shared" si="97"/>
        <v>31.919999999999998</v>
      </c>
      <c r="AC105">
        <f t="shared" si="97"/>
        <v>47.879999999999995</v>
      </c>
      <c r="AD105">
        <f t="shared" si="97"/>
        <v>79.8</v>
      </c>
      <c r="AE105">
        <f t="shared" si="97"/>
        <v>119.70000000000002</v>
      </c>
      <c r="AF105">
        <f t="shared" si="97"/>
        <v>159.6</v>
      </c>
      <c r="AM105">
        <v>30</v>
      </c>
      <c r="AN105">
        <v>8000</v>
      </c>
      <c r="AO105">
        <f t="shared" ref="AO105" si="98">AN105*0.3</f>
        <v>2400</v>
      </c>
      <c r="AP105">
        <f t="shared" si="96"/>
        <v>2400</v>
      </c>
      <c r="AR105" t="s">
        <v>170</v>
      </c>
    </row>
    <row r="106" spans="4:44" x14ac:dyDescent="0.2">
      <c r="D106" s="92"/>
      <c r="E106">
        <v>30</v>
      </c>
      <c r="F106">
        <f t="shared" si="94"/>
        <v>173.80871999999999</v>
      </c>
      <c r="G106">
        <f t="shared" si="83"/>
        <v>38.194466219999995</v>
      </c>
      <c r="H106">
        <f t="shared" si="75"/>
        <v>1.2731488739999999</v>
      </c>
      <c r="I106">
        <f t="shared" si="85"/>
        <v>3819.4466219999995</v>
      </c>
      <c r="J106">
        <f t="shared" si="86"/>
        <v>1909.7233109999997</v>
      </c>
      <c r="K106">
        <f t="shared" si="87"/>
        <v>954.86165549999987</v>
      </c>
      <c r="L106">
        <f t="shared" si="88"/>
        <v>611.11145951999993</v>
      </c>
      <c r="M106">
        <f t="shared" si="89"/>
        <v>458.33359463999994</v>
      </c>
      <c r="N106">
        <f t="shared" si="90"/>
        <v>229.16679731999997</v>
      </c>
      <c r="O106">
        <f t="shared" si="91"/>
        <v>114.58339865999999</v>
      </c>
      <c r="Y106" t="s">
        <v>378</v>
      </c>
      <c r="Z106">
        <f>(Z105*365.25)/1000</f>
        <v>2.9146949999999996</v>
      </c>
      <c r="AA106">
        <f t="shared" ref="AA106:AE106" si="99">(AA105*365.25)/1000</f>
        <v>5.8293899999999992</v>
      </c>
      <c r="AB106">
        <f t="shared" si="99"/>
        <v>11.658779999999998</v>
      </c>
      <c r="AC106">
        <f t="shared" si="99"/>
        <v>17.488169999999997</v>
      </c>
      <c r="AD106">
        <f t="shared" si="99"/>
        <v>29.14695</v>
      </c>
      <c r="AE106">
        <f t="shared" si="99"/>
        <v>43.720425000000006</v>
      </c>
      <c r="AF106">
        <f>(AF105*365.25)/1000</f>
        <v>58.293900000000001</v>
      </c>
      <c r="AM106">
        <v>50</v>
      </c>
      <c r="AN106">
        <v>12000</v>
      </c>
      <c r="AO106">
        <f>AN106*0.3</f>
        <v>3600</v>
      </c>
      <c r="AP106">
        <f t="shared" si="96"/>
        <v>3600</v>
      </c>
      <c r="AR106" t="s">
        <v>170</v>
      </c>
    </row>
    <row r="107" spans="4:44" x14ac:dyDescent="0.2">
      <c r="D107" s="92"/>
      <c r="E107">
        <v>40</v>
      </c>
      <c r="F107">
        <f t="shared" si="94"/>
        <v>231.74495999999999</v>
      </c>
      <c r="G107">
        <f t="shared" si="83"/>
        <v>50.925954959999999</v>
      </c>
      <c r="H107">
        <f t="shared" si="75"/>
        <v>1.2731488739999999</v>
      </c>
      <c r="I107">
        <f t="shared" si="85"/>
        <v>5092.5954959999999</v>
      </c>
      <c r="J107">
        <f t="shared" si="86"/>
        <v>2546.297748</v>
      </c>
      <c r="K107">
        <f t="shared" si="87"/>
        <v>1273.148874</v>
      </c>
      <c r="L107">
        <f t="shared" si="88"/>
        <v>814.81527935999998</v>
      </c>
      <c r="M107">
        <f t="shared" si="89"/>
        <v>611.11145951999993</v>
      </c>
      <c r="N107">
        <f t="shared" si="90"/>
        <v>305.55572975999996</v>
      </c>
      <c r="O107">
        <f t="shared" si="91"/>
        <v>152.77786487999998</v>
      </c>
      <c r="AM107">
        <v>75</v>
      </c>
      <c r="AN107">
        <v>15000</v>
      </c>
      <c r="AO107">
        <f>AN107*0.3</f>
        <v>4500</v>
      </c>
      <c r="AP107">
        <f t="shared" si="96"/>
        <v>4500</v>
      </c>
      <c r="AR107" t="s">
        <v>170</v>
      </c>
    </row>
    <row r="108" spans="4:44" x14ac:dyDescent="0.2">
      <c r="D108" s="92"/>
      <c r="E108">
        <v>50</v>
      </c>
      <c r="F108">
        <f t="shared" si="94"/>
        <v>289.68119999999999</v>
      </c>
      <c r="G108">
        <f t="shared" si="83"/>
        <v>63.657443699999995</v>
      </c>
      <c r="H108">
        <f t="shared" si="75"/>
        <v>1.2731488739999999</v>
      </c>
      <c r="I108">
        <f t="shared" si="85"/>
        <v>6365.7443699999994</v>
      </c>
      <c r="J108">
        <f t="shared" si="86"/>
        <v>3182.8721849999997</v>
      </c>
      <c r="K108">
        <f t="shared" si="87"/>
        <v>1591.4360924999999</v>
      </c>
      <c r="L108">
        <f t="shared" si="88"/>
        <v>1018.5190991999999</v>
      </c>
      <c r="M108">
        <f t="shared" si="89"/>
        <v>763.88932439999996</v>
      </c>
      <c r="N108">
        <f t="shared" si="90"/>
        <v>381.94466219999998</v>
      </c>
      <c r="O108">
        <f t="shared" si="91"/>
        <v>190.97233109999999</v>
      </c>
      <c r="Y108" t="s">
        <v>382</v>
      </c>
      <c r="Z108">
        <f>Z106+Z100</f>
        <v>17.4333825</v>
      </c>
      <c r="AA108">
        <f t="shared" ref="AA108:AE108" si="100">AA106+AA100</f>
        <v>34.866765000000001</v>
      </c>
      <c r="AB108">
        <f t="shared" si="100"/>
        <v>69.733530000000002</v>
      </c>
      <c r="AC108">
        <f t="shared" si="100"/>
        <v>104.600295</v>
      </c>
      <c r="AD108">
        <f t="shared" si="100"/>
        <v>174.33382499999999</v>
      </c>
      <c r="AE108">
        <f t="shared" si="100"/>
        <v>261.50073750000001</v>
      </c>
      <c r="AF108">
        <f>AF106+AF100</f>
        <v>348.66764999999998</v>
      </c>
      <c r="AM108">
        <v>100</v>
      </c>
      <c r="AN108">
        <v>20000</v>
      </c>
      <c r="AO108">
        <f>AN108*0.3</f>
        <v>6000</v>
      </c>
      <c r="AP108">
        <f>AO108</f>
        <v>6000</v>
      </c>
      <c r="AR108" t="s">
        <v>170</v>
      </c>
    </row>
    <row r="109" spans="4:44" x14ac:dyDescent="0.2">
      <c r="D109" s="92"/>
      <c r="E109">
        <v>60</v>
      </c>
      <c r="F109">
        <f t="shared" si="94"/>
        <v>347.61743999999999</v>
      </c>
      <c r="G109">
        <f t="shared" si="83"/>
        <v>76.388932439999991</v>
      </c>
      <c r="H109">
        <f t="shared" si="75"/>
        <v>1.2731488739999999</v>
      </c>
      <c r="I109">
        <f t="shared" si="85"/>
        <v>7638.893243999999</v>
      </c>
      <c r="J109">
        <f t="shared" si="86"/>
        <v>3819.4466219999995</v>
      </c>
      <c r="K109">
        <f t="shared" si="87"/>
        <v>1909.7233109999997</v>
      </c>
      <c r="L109">
        <f t="shared" si="88"/>
        <v>1222.2229190399999</v>
      </c>
      <c r="M109">
        <f t="shared" si="89"/>
        <v>916.66718927999989</v>
      </c>
      <c r="N109">
        <f t="shared" si="90"/>
        <v>458.33359463999994</v>
      </c>
      <c r="O109">
        <f t="shared" si="91"/>
        <v>229.16679731999997</v>
      </c>
      <c r="Y109" t="s">
        <v>383</v>
      </c>
      <c r="Z109">
        <f>Z108*25</f>
        <v>435.8345625</v>
      </c>
      <c r="AA109">
        <f t="shared" ref="AA109:AE109" si="101">AA108*25</f>
        <v>871.66912500000001</v>
      </c>
      <c r="AB109">
        <f t="shared" si="101"/>
        <v>1743.33825</v>
      </c>
      <c r="AC109">
        <f t="shared" si="101"/>
        <v>2615.0073750000001</v>
      </c>
      <c r="AD109">
        <f t="shared" si="101"/>
        <v>4358.3456249999999</v>
      </c>
      <c r="AE109">
        <f t="shared" si="101"/>
        <v>6537.5184375000008</v>
      </c>
      <c r="AF109">
        <f>AF108*25</f>
        <v>8716.6912499999999</v>
      </c>
    </row>
    <row r="110" spans="4:44" x14ac:dyDescent="0.2">
      <c r="D110" s="92"/>
      <c r="E110">
        <v>70</v>
      </c>
      <c r="F110">
        <f t="shared" si="94"/>
        <v>405.55368000000004</v>
      </c>
      <c r="G110">
        <f t="shared" si="83"/>
        <v>89.120421180000008</v>
      </c>
      <c r="H110">
        <f t="shared" si="75"/>
        <v>1.2731488740000001</v>
      </c>
      <c r="I110">
        <f t="shared" si="85"/>
        <v>8912.0421180000012</v>
      </c>
      <c r="J110">
        <f t="shared" si="86"/>
        <v>4456.0210590000006</v>
      </c>
      <c r="K110">
        <f t="shared" si="87"/>
        <v>2228.0105295000003</v>
      </c>
      <c r="L110">
        <f t="shared" si="88"/>
        <v>1425.9267388800001</v>
      </c>
      <c r="M110">
        <f t="shared" si="89"/>
        <v>1069.4450541600002</v>
      </c>
      <c r="N110">
        <f t="shared" si="90"/>
        <v>534.72252708000008</v>
      </c>
      <c r="O110">
        <f t="shared" si="91"/>
        <v>267.36126354000004</v>
      </c>
    </row>
    <row r="111" spans="4:44" x14ac:dyDescent="0.2">
      <c r="D111" s="92"/>
      <c r="E111">
        <v>80</v>
      </c>
      <c r="F111">
        <f t="shared" si="94"/>
        <v>463.48991999999998</v>
      </c>
      <c r="G111">
        <f t="shared" si="83"/>
        <v>101.85190992</v>
      </c>
      <c r="H111">
        <f t="shared" si="75"/>
        <v>1.2731488739999999</v>
      </c>
      <c r="I111">
        <f t="shared" si="85"/>
        <v>10185.190992</v>
      </c>
      <c r="J111">
        <f t="shared" si="86"/>
        <v>5092.5954959999999</v>
      </c>
      <c r="K111">
        <f t="shared" si="87"/>
        <v>2546.297748</v>
      </c>
      <c r="L111">
        <f t="shared" si="88"/>
        <v>1629.63055872</v>
      </c>
      <c r="M111">
        <f t="shared" si="89"/>
        <v>1222.2229190399999</v>
      </c>
      <c r="N111">
        <f t="shared" si="90"/>
        <v>611.11145951999993</v>
      </c>
      <c r="O111">
        <f t="shared" si="91"/>
        <v>305.55572975999996</v>
      </c>
      <c r="Y111" t="s">
        <v>371</v>
      </c>
    </row>
    <row r="112" spans="4:44" x14ac:dyDescent="0.2">
      <c r="D112" s="92">
        <v>75</v>
      </c>
      <c r="E112">
        <v>5</v>
      </c>
      <c r="F112">
        <f t="shared" ref="F112:F120" si="102">1.60934*E112*($F$49/1000)</f>
        <v>36.210149999999999</v>
      </c>
      <c r="G112">
        <f t="shared" si="83"/>
        <v>7.9571804624999993</v>
      </c>
      <c r="H112">
        <f t="shared" si="75"/>
        <v>1.5914360925</v>
      </c>
      <c r="I112">
        <f t="shared" si="85"/>
        <v>795.71804624999993</v>
      </c>
      <c r="J112">
        <f t="shared" si="86"/>
        <v>397.85902312499996</v>
      </c>
      <c r="K112">
        <f t="shared" si="87"/>
        <v>198.92951156249998</v>
      </c>
      <c r="L112">
        <f t="shared" si="88"/>
        <v>127.31488739999999</v>
      </c>
      <c r="M112">
        <f t="shared" si="89"/>
        <v>95.486165549999996</v>
      </c>
      <c r="N112">
        <f t="shared" si="90"/>
        <v>47.743082774999998</v>
      </c>
      <c r="O112">
        <f t="shared" si="91"/>
        <v>23.871541387499999</v>
      </c>
    </row>
    <row r="113" spans="4:44" x14ac:dyDescent="0.2">
      <c r="D113" s="92"/>
      <c r="E113">
        <v>10</v>
      </c>
      <c r="F113">
        <f t="shared" si="102"/>
        <v>72.420299999999997</v>
      </c>
      <c r="G113">
        <f t="shared" si="83"/>
        <v>15.914360924999999</v>
      </c>
      <c r="H113">
        <f t="shared" si="75"/>
        <v>1.5914360925</v>
      </c>
      <c r="I113">
        <f t="shared" si="85"/>
        <v>1591.4360924999999</v>
      </c>
      <c r="J113">
        <f t="shared" si="86"/>
        <v>795.71804624999993</v>
      </c>
      <c r="K113">
        <f t="shared" si="87"/>
        <v>397.85902312499996</v>
      </c>
      <c r="L113">
        <f t="shared" si="88"/>
        <v>254.62977479999998</v>
      </c>
      <c r="M113">
        <f t="shared" si="89"/>
        <v>190.97233109999999</v>
      </c>
      <c r="N113">
        <f t="shared" si="90"/>
        <v>95.486165549999996</v>
      </c>
      <c r="O113">
        <f t="shared" si="91"/>
        <v>47.743082774999998</v>
      </c>
    </row>
    <row r="114" spans="4:44" ht="15" x14ac:dyDescent="0.25">
      <c r="D114" s="92"/>
      <c r="E114">
        <v>20</v>
      </c>
      <c r="F114">
        <f t="shared" si="102"/>
        <v>144.84059999999999</v>
      </c>
      <c r="G114">
        <f t="shared" si="83"/>
        <v>31.828721849999997</v>
      </c>
      <c r="H114">
        <f t="shared" si="75"/>
        <v>1.5914360925</v>
      </c>
      <c r="I114">
        <f t="shared" si="85"/>
        <v>3182.8721849999997</v>
      </c>
      <c r="J114">
        <f t="shared" si="86"/>
        <v>1591.4360924999999</v>
      </c>
      <c r="K114">
        <f t="shared" si="87"/>
        <v>795.71804624999993</v>
      </c>
      <c r="L114">
        <f t="shared" si="88"/>
        <v>509.25954959999996</v>
      </c>
      <c r="M114">
        <f t="shared" si="89"/>
        <v>381.94466219999998</v>
      </c>
      <c r="N114">
        <f t="shared" si="90"/>
        <v>190.97233109999999</v>
      </c>
      <c r="O114">
        <f t="shared" si="91"/>
        <v>95.486165549999996</v>
      </c>
      <c r="Y114" t="s">
        <v>96</v>
      </c>
      <c r="Z114">
        <v>18.25</v>
      </c>
      <c r="AA114">
        <v>12.167</v>
      </c>
      <c r="AB114">
        <v>9.125</v>
      </c>
      <c r="AC114">
        <v>7.3</v>
      </c>
      <c r="AD114" s="30">
        <v>6</v>
      </c>
      <c r="AE114" s="30">
        <v>4</v>
      </c>
      <c r="AF114" s="30">
        <v>3</v>
      </c>
      <c r="AG114" s="30">
        <v>2</v>
      </c>
      <c r="AH114" s="30">
        <v>1.5208333333333333</v>
      </c>
      <c r="AI114" s="30">
        <v>1</v>
      </c>
      <c r="AJ114" s="30">
        <v>0.5</v>
      </c>
      <c r="AM114" t="s">
        <v>89</v>
      </c>
      <c r="AN114" t="s">
        <v>396</v>
      </c>
      <c r="AO114" t="s">
        <v>385</v>
      </c>
      <c r="AP114" t="s">
        <v>167</v>
      </c>
      <c r="AR114" t="s">
        <v>168</v>
      </c>
    </row>
    <row r="115" spans="4:44" x14ac:dyDescent="0.2">
      <c r="D115" s="92"/>
      <c r="E115">
        <v>30</v>
      </c>
      <c r="F115">
        <f t="shared" si="102"/>
        <v>217.26089999999999</v>
      </c>
      <c r="G115">
        <f t="shared" si="83"/>
        <v>47.743082774999998</v>
      </c>
      <c r="H115">
        <f t="shared" si="75"/>
        <v>1.5914360925</v>
      </c>
      <c r="I115">
        <f t="shared" si="85"/>
        <v>4774.3082774999993</v>
      </c>
      <c r="J115">
        <f t="shared" si="86"/>
        <v>2387.1541387499997</v>
      </c>
      <c r="K115">
        <f t="shared" si="87"/>
        <v>1193.5770693749998</v>
      </c>
      <c r="L115">
        <f t="shared" si="88"/>
        <v>763.88932439999996</v>
      </c>
      <c r="M115">
        <f t="shared" si="89"/>
        <v>572.91699329999994</v>
      </c>
      <c r="N115">
        <f t="shared" si="90"/>
        <v>286.45849664999997</v>
      </c>
      <c r="O115">
        <f t="shared" si="91"/>
        <v>143.22924832499999</v>
      </c>
      <c r="Y115">
        <v>5</v>
      </c>
      <c r="AM115">
        <v>5</v>
      </c>
      <c r="AN115">
        <f>4.731/3</f>
        <v>1.577</v>
      </c>
      <c r="AO115" s="4">
        <f>AN115*0.3</f>
        <v>0.47309999999999997</v>
      </c>
      <c r="AP115">
        <f>AO115*1000</f>
        <v>473.09999999999997</v>
      </c>
      <c r="AR115" t="s">
        <v>169</v>
      </c>
    </row>
    <row r="116" spans="4:44" x14ac:dyDescent="0.2">
      <c r="D116" s="92"/>
      <c r="E116">
        <v>40</v>
      </c>
      <c r="F116">
        <f t="shared" si="102"/>
        <v>289.68119999999999</v>
      </c>
      <c r="G116">
        <f t="shared" si="83"/>
        <v>63.657443699999995</v>
      </c>
      <c r="H116">
        <f t="shared" si="75"/>
        <v>1.5914360925</v>
      </c>
      <c r="I116">
        <f t="shared" si="85"/>
        <v>6365.7443699999994</v>
      </c>
      <c r="J116">
        <f t="shared" si="86"/>
        <v>3182.8721849999997</v>
      </c>
      <c r="K116">
        <f t="shared" si="87"/>
        <v>1591.4360924999999</v>
      </c>
      <c r="L116">
        <f t="shared" si="88"/>
        <v>1018.5190991999999</v>
      </c>
      <c r="M116">
        <f t="shared" si="89"/>
        <v>763.88932439999996</v>
      </c>
      <c r="N116">
        <f t="shared" si="90"/>
        <v>381.94466219999998</v>
      </c>
      <c r="O116">
        <f t="shared" si="91"/>
        <v>190.97233109999999</v>
      </c>
      <c r="Y116">
        <v>10</v>
      </c>
      <c r="AM116">
        <v>10</v>
      </c>
      <c r="AN116">
        <f>8.806/3</f>
        <v>2.9353333333333329</v>
      </c>
      <c r="AO116" s="4">
        <f t="shared" ref="AO116:AO120" si="103">AN116*0.3</f>
        <v>0.88059999999999983</v>
      </c>
      <c r="AP116">
        <f t="shared" ref="AP116:AP121" si="104">AO116*1000</f>
        <v>880.5999999999998</v>
      </c>
      <c r="AR116" t="s">
        <v>169</v>
      </c>
    </row>
    <row r="117" spans="4:44" x14ac:dyDescent="0.2">
      <c r="D117" s="92"/>
      <c r="E117">
        <v>50</v>
      </c>
      <c r="F117">
        <f t="shared" si="102"/>
        <v>362.10149999999999</v>
      </c>
      <c r="G117">
        <f t="shared" si="83"/>
        <v>79.571804624999999</v>
      </c>
      <c r="H117">
        <f t="shared" si="75"/>
        <v>1.5914360925</v>
      </c>
      <c r="I117">
        <f t="shared" si="85"/>
        <v>7957.1804624999995</v>
      </c>
      <c r="J117">
        <f t="shared" si="86"/>
        <v>3978.5902312499998</v>
      </c>
      <c r="K117">
        <f t="shared" si="87"/>
        <v>1989.2951156249999</v>
      </c>
      <c r="L117">
        <f t="shared" si="88"/>
        <v>1273.148874</v>
      </c>
      <c r="M117">
        <f t="shared" si="89"/>
        <v>954.86165549999998</v>
      </c>
      <c r="N117">
        <f t="shared" si="90"/>
        <v>477.43082774999999</v>
      </c>
      <c r="O117">
        <f t="shared" si="91"/>
        <v>238.715413875</v>
      </c>
      <c r="Y117">
        <v>20</v>
      </c>
      <c r="AM117">
        <v>20</v>
      </c>
      <c r="AN117">
        <f>14.35/3</f>
        <v>4.7833333333333332</v>
      </c>
      <c r="AO117" s="4">
        <f t="shared" si="103"/>
        <v>1.4349999999999998</v>
      </c>
      <c r="AP117">
        <f>AO117*1000</f>
        <v>1434.9999999999998</v>
      </c>
      <c r="AR117" t="s">
        <v>169</v>
      </c>
    </row>
    <row r="118" spans="4:44" x14ac:dyDescent="0.2">
      <c r="D118" s="92"/>
      <c r="E118">
        <v>60</v>
      </c>
      <c r="F118">
        <f t="shared" si="102"/>
        <v>434.52179999999998</v>
      </c>
      <c r="G118">
        <f t="shared" si="83"/>
        <v>95.486165549999996</v>
      </c>
      <c r="H118">
        <f t="shared" si="75"/>
        <v>1.5914360925</v>
      </c>
      <c r="I118">
        <f t="shared" si="85"/>
        <v>9548.6165549999987</v>
      </c>
      <c r="J118">
        <f t="shared" si="86"/>
        <v>4774.3082774999993</v>
      </c>
      <c r="K118">
        <f t="shared" si="87"/>
        <v>2387.1541387499997</v>
      </c>
      <c r="L118">
        <f t="shared" si="88"/>
        <v>1527.7786487999999</v>
      </c>
      <c r="M118">
        <f t="shared" si="89"/>
        <v>1145.8339865999999</v>
      </c>
      <c r="N118">
        <f t="shared" si="90"/>
        <v>572.91699329999994</v>
      </c>
      <c r="O118">
        <f t="shared" si="91"/>
        <v>286.45849664999997</v>
      </c>
      <c r="Y118">
        <v>30</v>
      </c>
      <c r="AM118">
        <v>30</v>
      </c>
      <c r="AN118">
        <v>8.9466486792452837</v>
      </c>
      <c r="AO118" s="4">
        <f t="shared" si="103"/>
        <v>2.6839946037735851</v>
      </c>
      <c r="AP118">
        <f t="shared" si="104"/>
        <v>2683.9946037735849</v>
      </c>
      <c r="AR118" t="s">
        <v>170</v>
      </c>
    </row>
    <row r="119" spans="4:44" x14ac:dyDescent="0.2">
      <c r="D119" s="92"/>
      <c r="E119">
        <v>70</v>
      </c>
      <c r="F119">
        <f t="shared" si="102"/>
        <v>506.94210000000004</v>
      </c>
      <c r="G119">
        <f t="shared" si="83"/>
        <v>111.40052647500001</v>
      </c>
      <c r="H119">
        <f t="shared" si="75"/>
        <v>1.5914360925000002</v>
      </c>
      <c r="I119">
        <f t="shared" si="85"/>
        <v>11140.052647500001</v>
      </c>
      <c r="J119">
        <f t="shared" si="86"/>
        <v>5570.0263237500003</v>
      </c>
      <c r="K119">
        <f t="shared" si="87"/>
        <v>2785.0131618750002</v>
      </c>
      <c r="L119">
        <f t="shared" si="88"/>
        <v>1782.4084236000001</v>
      </c>
      <c r="M119">
        <f t="shared" si="89"/>
        <v>1336.8063177000001</v>
      </c>
      <c r="N119">
        <f t="shared" si="90"/>
        <v>668.40315885000007</v>
      </c>
      <c r="O119">
        <f t="shared" si="91"/>
        <v>334.20157942500003</v>
      </c>
      <c r="Y119">
        <v>50</v>
      </c>
      <c r="AM119">
        <v>50</v>
      </c>
      <c r="AN119">
        <v>14.884123245283021</v>
      </c>
      <c r="AO119" s="4">
        <f t="shared" si="103"/>
        <v>4.465236973584906</v>
      </c>
      <c r="AP119">
        <f t="shared" si="104"/>
        <v>4465.2369735849061</v>
      </c>
      <c r="AR119" t="s">
        <v>170</v>
      </c>
    </row>
    <row r="120" spans="4:44" x14ac:dyDescent="0.2">
      <c r="D120" s="92"/>
      <c r="E120">
        <v>80</v>
      </c>
      <c r="F120">
        <f t="shared" si="102"/>
        <v>579.36239999999998</v>
      </c>
      <c r="G120">
        <f t="shared" si="83"/>
        <v>127.31488739999999</v>
      </c>
      <c r="H120">
        <f t="shared" si="75"/>
        <v>1.5914360925</v>
      </c>
      <c r="I120">
        <f t="shared" si="85"/>
        <v>12731.488739999999</v>
      </c>
      <c r="J120">
        <f t="shared" si="86"/>
        <v>6365.7443699999994</v>
      </c>
      <c r="K120">
        <f t="shared" si="87"/>
        <v>3182.8721849999997</v>
      </c>
      <c r="L120">
        <f t="shared" si="88"/>
        <v>2037.0381983999998</v>
      </c>
      <c r="M120">
        <f t="shared" si="89"/>
        <v>1527.7786487999999</v>
      </c>
      <c r="N120">
        <f t="shared" si="90"/>
        <v>763.88932439999996</v>
      </c>
      <c r="O120">
        <f t="shared" si="91"/>
        <v>381.94466219999998</v>
      </c>
      <c r="Y120">
        <v>60</v>
      </c>
      <c r="AM120">
        <v>75</v>
      </c>
      <c r="AN120">
        <v>16.475710145568005</v>
      </c>
      <c r="AO120" s="4">
        <f t="shared" si="103"/>
        <v>4.942713043670401</v>
      </c>
      <c r="AP120">
        <f t="shared" si="104"/>
        <v>4942.713043670401</v>
      </c>
      <c r="AR120" t="s">
        <v>170</v>
      </c>
    </row>
    <row r="121" spans="4:44" x14ac:dyDescent="0.2">
      <c r="D121" s="92">
        <v>100</v>
      </c>
      <c r="E121">
        <v>5</v>
      </c>
      <c r="F121">
        <f t="shared" ref="F121:F129" si="105">1.60934*E121*($F$50/1000)</f>
        <v>48.280199999999994</v>
      </c>
      <c r="G121">
        <f t="shared" si="83"/>
        <v>10.609573949999998</v>
      </c>
      <c r="H121">
        <f t="shared" si="75"/>
        <v>2.1219147899999995</v>
      </c>
      <c r="I121">
        <f t="shared" si="85"/>
        <v>1060.9573949999999</v>
      </c>
      <c r="J121">
        <f t="shared" si="86"/>
        <v>530.47869749999995</v>
      </c>
      <c r="K121">
        <f t="shared" si="87"/>
        <v>265.23934874999998</v>
      </c>
      <c r="L121">
        <f t="shared" si="88"/>
        <v>169.75318319999997</v>
      </c>
      <c r="M121">
        <f t="shared" si="89"/>
        <v>127.31488739999998</v>
      </c>
      <c r="N121">
        <f t="shared" si="90"/>
        <v>63.657443699999988</v>
      </c>
      <c r="O121">
        <f t="shared" si="91"/>
        <v>31.828721849999994</v>
      </c>
      <c r="W121"/>
      <c r="Y121">
        <v>70</v>
      </c>
      <c r="AM121">
        <v>100</v>
      </c>
      <c r="AN121">
        <v>19.887115310342068</v>
      </c>
      <c r="AO121" s="4">
        <f>AN121*0.3</f>
        <v>5.9661345931026206</v>
      </c>
      <c r="AP121">
        <f t="shared" si="104"/>
        <v>5966.1345931026208</v>
      </c>
      <c r="AR121" t="s">
        <v>170</v>
      </c>
    </row>
    <row r="122" spans="4:44" x14ac:dyDescent="0.2">
      <c r="D122" s="92"/>
      <c r="E122">
        <v>10</v>
      </c>
      <c r="F122">
        <f t="shared" si="105"/>
        <v>96.560399999999987</v>
      </c>
      <c r="G122">
        <f t="shared" si="83"/>
        <v>21.219147899999996</v>
      </c>
      <c r="H122">
        <f t="shared" si="75"/>
        <v>2.1219147899999995</v>
      </c>
      <c r="I122">
        <f t="shared" si="85"/>
        <v>2121.9147899999998</v>
      </c>
      <c r="J122">
        <f t="shared" si="86"/>
        <v>1060.9573949999999</v>
      </c>
      <c r="K122">
        <f t="shared" si="87"/>
        <v>530.47869749999995</v>
      </c>
      <c r="L122">
        <f t="shared" si="88"/>
        <v>339.50636639999993</v>
      </c>
      <c r="M122">
        <f t="shared" si="89"/>
        <v>254.62977479999995</v>
      </c>
      <c r="N122">
        <f t="shared" si="90"/>
        <v>127.31488739999998</v>
      </c>
      <c r="O122">
        <f t="shared" si="91"/>
        <v>63.657443699999988</v>
      </c>
      <c r="W122"/>
      <c r="Y122">
        <v>80</v>
      </c>
    </row>
    <row r="123" spans="4:44" x14ac:dyDescent="0.2">
      <c r="D123" s="92"/>
      <c r="E123">
        <v>20</v>
      </c>
      <c r="F123">
        <f t="shared" si="105"/>
        <v>193.12079999999997</v>
      </c>
      <c r="G123">
        <f t="shared" si="83"/>
        <v>42.438295799999992</v>
      </c>
      <c r="H123">
        <f t="shared" si="75"/>
        <v>2.1219147899999995</v>
      </c>
      <c r="I123">
        <f t="shared" si="85"/>
        <v>4243.8295799999996</v>
      </c>
      <c r="J123">
        <f t="shared" si="86"/>
        <v>2121.9147899999998</v>
      </c>
      <c r="K123">
        <f t="shared" si="87"/>
        <v>1060.9573949999999</v>
      </c>
      <c r="L123">
        <f t="shared" si="88"/>
        <v>679.01273279999987</v>
      </c>
      <c r="M123">
        <f t="shared" si="89"/>
        <v>509.2595495999999</v>
      </c>
      <c r="N123">
        <f t="shared" si="90"/>
        <v>254.62977479999995</v>
      </c>
      <c r="O123">
        <f t="shared" si="91"/>
        <v>127.31488739999998</v>
      </c>
      <c r="W123"/>
    </row>
    <row r="124" spans="4:44" x14ac:dyDescent="0.2">
      <c r="D124" s="92"/>
      <c r="E124">
        <v>30</v>
      </c>
      <c r="F124">
        <f t="shared" si="105"/>
        <v>289.68119999999999</v>
      </c>
      <c r="G124">
        <f t="shared" si="83"/>
        <v>63.657443699999995</v>
      </c>
      <c r="H124">
        <f t="shared" si="75"/>
        <v>2.1219147899999999</v>
      </c>
      <c r="I124">
        <f t="shared" si="85"/>
        <v>6365.7443699999994</v>
      </c>
      <c r="J124">
        <f t="shared" si="86"/>
        <v>3182.8721849999997</v>
      </c>
      <c r="K124">
        <f t="shared" si="87"/>
        <v>1591.4360924999999</v>
      </c>
      <c r="L124">
        <f t="shared" si="88"/>
        <v>1018.5190991999999</v>
      </c>
      <c r="M124">
        <f t="shared" si="89"/>
        <v>763.88932439999996</v>
      </c>
      <c r="N124">
        <f t="shared" si="90"/>
        <v>381.94466219999998</v>
      </c>
      <c r="O124">
        <f t="shared" si="91"/>
        <v>190.97233109999999</v>
      </c>
      <c r="W124"/>
      <c r="Z124" t="s">
        <v>353</v>
      </c>
    </row>
    <row r="125" spans="4:44" ht="15" x14ac:dyDescent="0.25">
      <c r="D125" s="92"/>
      <c r="E125">
        <v>40</v>
      </c>
      <c r="F125">
        <f t="shared" si="105"/>
        <v>386.24159999999995</v>
      </c>
      <c r="G125">
        <f t="shared" si="83"/>
        <v>84.876591599999983</v>
      </c>
      <c r="H125">
        <f t="shared" si="75"/>
        <v>2.1219147899999995</v>
      </c>
      <c r="I125">
        <f t="shared" si="85"/>
        <v>8487.6591599999992</v>
      </c>
      <c r="J125">
        <f t="shared" si="86"/>
        <v>4243.8295799999996</v>
      </c>
      <c r="K125">
        <f t="shared" si="87"/>
        <v>2121.9147899999998</v>
      </c>
      <c r="L125">
        <f t="shared" si="88"/>
        <v>1358.0254655999997</v>
      </c>
      <c r="M125">
        <f t="shared" si="89"/>
        <v>1018.5190991999998</v>
      </c>
      <c r="N125">
        <f t="shared" si="90"/>
        <v>509.2595495999999</v>
      </c>
      <c r="O125">
        <f t="shared" si="91"/>
        <v>254.62977479999995</v>
      </c>
      <c r="W125"/>
      <c r="Y125" t="s">
        <v>89</v>
      </c>
      <c r="Z125">
        <v>18.25</v>
      </c>
      <c r="AA125">
        <v>12.167</v>
      </c>
      <c r="AB125">
        <v>9.125</v>
      </c>
      <c r="AC125">
        <v>7.3</v>
      </c>
      <c r="AD125" s="30">
        <v>6</v>
      </c>
      <c r="AE125" s="30">
        <v>4</v>
      </c>
      <c r="AF125" s="30">
        <v>3</v>
      </c>
      <c r="AG125" s="30">
        <v>2</v>
      </c>
      <c r="AH125" s="30">
        <v>1.5208333333333333</v>
      </c>
      <c r="AI125" s="30">
        <v>1</v>
      </c>
      <c r="AJ125" s="30">
        <v>0.5</v>
      </c>
    </row>
    <row r="126" spans="4:44" x14ac:dyDescent="0.2">
      <c r="D126" s="92"/>
      <c r="E126">
        <v>50</v>
      </c>
      <c r="F126">
        <f t="shared" si="105"/>
        <v>482.80200000000002</v>
      </c>
      <c r="G126">
        <f t="shared" si="83"/>
        <v>106.09573950000001</v>
      </c>
      <c r="H126">
        <f t="shared" si="75"/>
        <v>2.1219147899999999</v>
      </c>
      <c r="I126">
        <f t="shared" si="85"/>
        <v>10609.57395</v>
      </c>
      <c r="J126">
        <f t="shared" si="86"/>
        <v>5304.786975</v>
      </c>
      <c r="K126">
        <f t="shared" si="87"/>
        <v>2652.3934875</v>
      </c>
      <c r="L126">
        <f t="shared" si="88"/>
        <v>1697.5318320000001</v>
      </c>
      <c r="M126">
        <f t="shared" si="89"/>
        <v>1273.148874</v>
      </c>
      <c r="N126">
        <f t="shared" si="90"/>
        <v>636.57443699999999</v>
      </c>
      <c r="O126">
        <f t="shared" si="91"/>
        <v>318.28721849999999</v>
      </c>
      <c r="W126"/>
      <c r="Y126">
        <v>5</v>
      </c>
      <c r="Z126" t="s">
        <v>368</v>
      </c>
      <c r="AA126" t="s">
        <v>368</v>
      </c>
      <c r="AB126" t="s">
        <v>368</v>
      </c>
      <c r="AC126" t="s">
        <v>368</v>
      </c>
    </row>
    <row r="127" spans="4:44" x14ac:dyDescent="0.2">
      <c r="D127" s="92"/>
      <c r="E127">
        <v>60</v>
      </c>
      <c r="F127">
        <f t="shared" si="105"/>
        <v>579.36239999999998</v>
      </c>
      <c r="G127">
        <f t="shared" si="83"/>
        <v>127.31488739999999</v>
      </c>
      <c r="H127">
        <f t="shared" si="75"/>
        <v>2.1219147899999999</v>
      </c>
      <c r="I127">
        <f t="shared" si="85"/>
        <v>12731.488739999999</v>
      </c>
      <c r="J127">
        <f t="shared" si="86"/>
        <v>6365.7443699999994</v>
      </c>
      <c r="K127">
        <f t="shared" si="87"/>
        <v>3182.8721849999997</v>
      </c>
      <c r="L127">
        <f t="shared" si="88"/>
        <v>2037.0381983999998</v>
      </c>
      <c r="M127">
        <f t="shared" si="89"/>
        <v>1527.7786487999999</v>
      </c>
      <c r="N127">
        <f t="shared" si="90"/>
        <v>763.88932439999996</v>
      </c>
      <c r="O127">
        <f t="shared" si="91"/>
        <v>381.94466219999998</v>
      </c>
      <c r="W127"/>
      <c r="Y127">
        <v>10</v>
      </c>
      <c r="Z127" t="s">
        <v>368</v>
      </c>
      <c r="AA127" t="s">
        <v>368</v>
      </c>
      <c r="AB127" t="s">
        <v>368</v>
      </c>
    </row>
    <row r="128" spans="4:44" x14ac:dyDescent="0.2">
      <c r="D128" s="92"/>
      <c r="E128">
        <v>70</v>
      </c>
      <c r="F128">
        <f t="shared" si="105"/>
        <v>675.92280000000005</v>
      </c>
      <c r="G128">
        <f t="shared" si="83"/>
        <v>148.5340353</v>
      </c>
      <c r="H128">
        <f t="shared" si="75"/>
        <v>2.1219147899999999</v>
      </c>
      <c r="I128">
        <f t="shared" si="85"/>
        <v>14853.40353</v>
      </c>
      <c r="J128">
        <f t="shared" si="86"/>
        <v>7426.7017649999998</v>
      </c>
      <c r="K128">
        <f t="shared" si="87"/>
        <v>3713.3508824999999</v>
      </c>
      <c r="L128">
        <f t="shared" si="88"/>
        <v>2376.5445648</v>
      </c>
      <c r="M128">
        <f t="shared" si="89"/>
        <v>1782.4084235999999</v>
      </c>
      <c r="N128">
        <f t="shared" si="90"/>
        <v>891.20421179999994</v>
      </c>
      <c r="O128">
        <f t="shared" si="91"/>
        <v>445.60210589999997</v>
      </c>
      <c r="W128"/>
      <c r="Y128">
        <v>20</v>
      </c>
      <c r="Z128" t="s">
        <v>368</v>
      </c>
      <c r="AA128" t="s">
        <v>368</v>
      </c>
      <c r="AJ128" t="s">
        <v>368</v>
      </c>
    </row>
    <row r="129" spans="2:41" x14ac:dyDescent="0.2">
      <c r="D129" s="92"/>
      <c r="E129">
        <v>80</v>
      </c>
      <c r="F129">
        <f t="shared" si="105"/>
        <v>772.4831999999999</v>
      </c>
      <c r="G129">
        <f t="shared" si="83"/>
        <v>169.75318319999997</v>
      </c>
      <c r="H129">
        <f t="shared" si="75"/>
        <v>2.1219147899999995</v>
      </c>
      <c r="I129">
        <f t="shared" si="85"/>
        <v>16975.318319999998</v>
      </c>
      <c r="J129">
        <f t="shared" si="86"/>
        <v>8487.6591599999992</v>
      </c>
      <c r="K129">
        <f>$G129*Q$55</f>
        <v>4243.8295799999996</v>
      </c>
      <c r="L129">
        <f t="shared" si="88"/>
        <v>2716.0509311999995</v>
      </c>
      <c r="M129">
        <f t="shared" si="89"/>
        <v>2037.0381983999996</v>
      </c>
      <c r="N129">
        <f t="shared" si="90"/>
        <v>1018.5190991999998</v>
      </c>
      <c r="O129">
        <f t="shared" si="91"/>
        <v>509.2595495999999</v>
      </c>
      <c r="W129"/>
      <c r="Y129">
        <v>30</v>
      </c>
      <c r="Z129" t="s">
        <v>368</v>
      </c>
      <c r="AI129" t="s">
        <v>368</v>
      </c>
      <c r="AJ129" t="s">
        <v>368</v>
      </c>
    </row>
    <row r="130" spans="2:41" x14ac:dyDescent="0.2">
      <c r="Y130">
        <v>50</v>
      </c>
      <c r="Z130" t="s">
        <v>368</v>
      </c>
      <c r="AI130" t="s">
        <v>368</v>
      </c>
      <c r="AJ130" t="s">
        <v>368</v>
      </c>
    </row>
    <row r="131" spans="2:41" x14ac:dyDescent="0.2">
      <c r="Y131">
        <v>75</v>
      </c>
      <c r="AF131" t="s">
        <v>368</v>
      </c>
      <c r="AG131" t="s">
        <v>368</v>
      </c>
      <c r="AH131" t="s">
        <v>368</v>
      </c>
      <c r="AI131" t="s">
        <v>368</v>
      </c>
      <c r="AJ131" t="s">
        <v>368</v>
      </c>
    </row>
    <row r="132" spans="2:41" x14ac:dyDescent="0.2">
      <c r="I132">
        <f>I125-O125</f>
        <v>8233.0293851999995</v>
      </c>
      <c r="Y132">
        <v>100</v>
      </c>
      <c r="AE132" t="s">
        <v>368</v>
      </c>
      <c r="AF132" t="s">
        <v>368</v>
      </c>
      <c r="AG132" t="s">
        <v>368</v>
      </c>
      <c r="AH132" t="s">
        <v>368</v>
      </c>
      <c r="AI132" t="s">
        <v>368</v>
      </c>
      <c r="AJ132" t="s">
        <v>368</v>
      </c>
    </row>
    <row r="133" spans="2:41" x14ac:dyDescent="0.2">
      <c r="I133">
        <f>I132/25</f>
        <v>329.32117540799999</v>
      </c>
    </row>
    <row r="136" spans="2:41" x14ac:dyDescent="0.2">
      <c r="B136" t="s">
        <v>389</v>
      </c>
      <c r="AE136" s="86" t="s">
        <v>353</v>
      </c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</row>
    <row r="137" spans="2:41" ht="15" x14ac:dyDescent="0.25">
      <c r="AA137" t="s">
        <v>181</v>
      </c>
      <c r="AB137" t="s">
        <v>178</v>
      </c>
      <c r="AC137" t="s">
        <v>180</v>
      </c>
      <c r="AD137" t="s">
        <v>182</v>
      </c>
      <c r="AE137">
        <v>18.25</v>
      </c>
      <c r="AF137">
        <v>12.167</v>
      </c>
      <c r="AG137">
        <v>9.125</v>
      </c>
      <c r="AH137">
        <v>7.3</v>
      </c>
      <c r="AI137" s="30">
        <v>6</v>
      </c>
      <c r="AJ137" s="30">
        <v>4</v>
      </c>
      <c r="AK137" s="30">
        <v>3</v>
      </c>
      <c r="AL137" s="30">
        <v>2</v>
      </c>
      <c r="AM137" s="30">
        <v>1.5208333333333333</v>
      </c>
      <c r="AN137" s="30">
        <v>1</v>
      </c>
      <c r="AO137" s="30">
        <v>0.5</v>
      </c>
    </row>
    <row r="138" spans="2:41" x14ac:dyDescent="0.2">
      <c r="B138" t="s">
        <v>40</v>
      </c>
      <c r="C138">
        <v>0.56454550000000003</v>
      </c>
      <c r="D138">
        <v>1.1290910000000001</v>
      </c>
      <c r="E138">
        <v>2.2581820000000001</v>
      </c>
      <c r="F138">
        <v>3.3872730000000004</v>
      </c>
      <c r="G138">
        <v>5.6454550000000001</v>
      </c>
      <c r="H138">
        <v>8.4681824999999993</v>
      </c>
      <c r="I138">
        <v>11.29091</v>
      </c>
      <c r="Z138" s="92">
        <v>5</v>
      </c>
      <c r="AA138">
        <v>5</v>
      </c>
      <c r="AB138">
        <f>1.60934*AA138*($AP$115/1000)</f>
        <v>3.8068937699999994</v>
      </c>
      <c r="AC138">
        <f t="shared" ref="AC138:AC164" si="106">AB138*$E$61</f>
        <v>2.0147985277724998</v>
      </c>
      <c r="AD138">
        <f>AC138/AA138</f>
        <v>0.40295970555449995</v>
      </c>
      <c r="AI138">
        <f t="shared" ref="AH138:AO153" si="107">ROUNDDOWN(AI$137*25,0)*$AC138</f>
        <v>302.21977916587497</v>
      </c>
      <c r="AJ138">
        <f t="shared" si="107"/>
        <v>201.47985277724999</v>
      </c>
      <c r="AK138">
        <f t="shared" si="107"/>
        <v>151.10988958293748</v>
      </c>
      <c r="AL138">
        <f t="shared" si="107"/>
        <v>100.73992638862499</v>
      </c>
      <c r="AM138">
        <f t="shared" si="107"/>
        <v>76.562344055354998</v>
      </c>
      <c r="AN138">
        <f t="shared" si="107"/>
        <v>50.369963194312497</v>
      </c>
      <c r="AO138">
        <f t="shared" si="107"/>
        <v>24.177582333269996</v>
      </c>
    </row>
    <row r="139" spans="2:41" x14ac:dyDescent="0.2">
      <c r="B139" t="s">
        <v>398</v>
      </c>
      <c r="C139">
        <v>2.5983349999999999E-2</v>
      </c>
      <c r="D139">
        <v>5.1966700000000005E-2</v>
      </c>
      <c r="E139">
        <v>0.10393340000000001</v>
      </c>
      <c r="F139">
        <v>0.15590010000000001</v>
      </c>
      <c r="G139">
        <v>0.2598335</v>
      </c>
      <c r="H139">
        <v>0.38975025000000002</v>
      </c>
      <c r="I139">
        <v>0.51966699999999999</v>
      </c>
      <c r="Z139" s="92"/>
      <c r="AA139">
        <v>10</v>
      </c>
      <c r="AB139">
        <f t="shared" ref="AB139:AB146" si="108">1.60934*AA139*($AP$115/1000)</f>
        <v>7.6137875399999988</v>
      </c>
      <c r="AC139">
        <f>AB139*$E$61</f>
        <v>4.0295970555449996</v>
      </c>
      <c r="AD139">
        <f>AC139/AA139</f>
        <v>0.40295970555449995</v>
      </c>
      <c r="AI139">
        <f t="shared" si="107"/>
        <v>604.43955833174994</v>
      </c>
      <c r="AJ139">
        <f t="shared" si="107"/>
        <v>402.95970555449998</v>
      </c>
      <c r="AK139">
        <f t="shared" si="107"/>
        <v>302.21977916587497</v>
      </c>
      <c r="AL139">
        <f t="shared" si="107"/>
        <v>201.47985277724999</v>
      </c>
      <c r="AM139">
        <f t="shared" si="107"/>
        <v>153.12468811071</v>
      </c>
      <c r="AN139">
        <f t="shared" si="107"/>
        <v>100.73992638862499</v>
      </c>
      <c r="AO139">
        <f t="shared" si="107"/>
        <v>48.355164666539991</v>
      </c>
    </row>
    <row r="140" spans="2:41" x14ac:dyDescent="0.2">
      <c r="B140" t="s">
        <v>399</v>
      </c>
      <c r="C140">
        <f>J71/1000</f>
        <v>1.4309285675999996</v>
      </c>
      <c r="D140">
        <f>J80/1000</f>
        <v>1.9419744845999996</v>
      </c>
      <c r="E140">
        <f>J89/1000</f>
        <v>2.9129617268999994</v>
      </c>
      <c r="F140">
        <f>I98/1000</f>
        <v>3.3950636639999998</v>
      </c>
      <c r="G140">
        <f>J107/1000</f>
        <v>2.5462977479999997</v>
      </c>
      <c r="H140">
        <f>J116/1000</f>
        <v>3.1828721849999999</v>
      </c>
      <c r="I140">
        <f>J125/1000</f>
        <v>4.2438295799999999</v>
      </c>
      <c r="Z140" s="92"/>
      <c r="AA140">
        <v>20</v>
      </c>
      <c r="AB140">
        <f t="shared" si="108"/>
        <v>15.227575079999998</v>
      </c>
      <c r="AC140">
        <f t="shared" si="106"/>
        <v>8.0591941110899992</v>
      </c>
      <c r="AD140">
        <f t="shared" ref="AD140" si="109">AC140/AA140</f>
        <v>0.40295970555449995</v>
      </c>
      <c r="AI140">
        <f t="shared" si="107"/>
        <v>1208.8791166634999</v>
      </c>
      <c r="AJ140">
        <f t="shared" si="107"/>
        <v>805.91941110899995</v>
      </c>
      <c r="AK140">
        <f t="shared" si="107"/>
        <v>604.43955833174994</v>
      </c>
      <c r="AL140">
        <f t="shared" si="107"/>
        <v>402.95970555449998</v>
      </c>
      <c r="AM140">
        <f t="shared" si="107"/>
        <v>306.24937622141999</v>
      </c>
      <c r="AN140">
        <f t="shared" si="107"/>
        <v>201.47985277724999</v>
      </c>
      <c r="AO140">
        <f t="shared" si="107"/>
        <v>96.710329333079983</v>
      </c>
    </row>
    <row r="141" spans="2:41" x14ac:dyDescent="0.2">
      <c r="C141">
        <f>C140+C139</f>
        <v>1.4569119175999996</v>
      </c>
      <c r="D141">
        <f t="shared" ref="D141:I141" si="110">D140+D139</f>
        <v>1.9939411845999995</v>
      </c>
      <c r="E141">
        <f t="shared" si="110"/>
        <v>3.0168951268999993</v>
      </c>
      <c r="F141">
        <f t="shared" si="110"/>
        <v>3.550963764</v>
      </c>
      <c r="G141">
        <f t="shared" si="110"/>
        <v>2.8061312479999998</v>
      </c>
      <c r="H141">
        <f t="shared" si="110"/>
        <v>3.572622435</v>
      </c>
      <c r="I141">
        <f t="shared" si="110"/>
        <v>4.76349658</v>
      </c>
      <c r="Z141" s="92"/>
      <c r="AA141">
        <v>30</v>
      </c>
      <c r="AB141">
        <f t="shared" si="108"/>
        <v>22.841362619999998</v>
      </c>
      <c r="AC141">
        <f t="shared" si="106"/>
        <v>12.088791166635</v>
      </c>
      <c r="AD141">
        <f>AC141/AA141</f>
        <v>0.4029597055545</v>
      </c>
      <c r="AI141">
        <f t="shared" si="107"/>
        <v>1813.3186749952499</v>
      </c>
      <c r="AJ141">
        <f t="shared" si="107"/>
        <v>1208.8791166634999</v>
      </c>
      <c r="AK141">
        <f t="shared" si="107"/>
        <v>906.65933749762496</v>
      </c>
      <c r="AL141">
        <f t="shared" si="107"/>
        <v>604.43955833174994</v>
      </c>
      <c r="AM141">
        <f t="shared" si="107"/>
        <v>459.37406433212999</v>
      </c>
      <c r="AN141">
        <f t="shared" si="107"/>
        <v>302.21977916587497</v>
      </c>
      <c r="AO141">
        <f t="shared" si="107"/>
        <v>145.06549399962</v>
      </c>
    </row>
    <row r="142" spans="2:41" x14ac:dyDescent="0.2">
      <c r="C142">
        <f>SUM(C138:C140)</f>
        <v>2.0214574175999998</v>
      </c>
      <c r="D142">
        <f t="shared" ref="D142:I142" si="111">SUM(D138:D140)</f>
        <v>3.1230321845999995</v>
      </c>
      <c r="E142">
        <f t="shared" si="111"/>
        <v>5.2750771268999994</v>
      </c>
      <c r="F142">
        <f t="shared" si="111"/>
        <v>6.9382367640000009</v>
      </c>
      <c r="G142">
        <f t="shared" si="111"/>
        <v>8.4515862479999999</v>
      </c>
      <c r="H142">
        <f t="shared" si="111"/>
        <v>12.040804935000001</v>
      </c>
      <c r="I142">
        <f t="shared" si="111"/>
        <v>16.054406579999998</v>
      </c>
      <c r="Z142" s="92"/>
      <c r="AA142">
        <v>40</v>
      </c>
      <c r="AB142">
        <f t="shared" si="108"/>
        <v>30.455150159999995</v>
      </c>
      <c r="AC142">
        <f t="shared" si="106"/>
        <v>16.118388222179998</v>
      </c>
      <c r="AD142">
        <f t="shared" ref="AD142:AD200" si="112">AC142/AA142</f>
        <v>0.40295970555449995</v>
      </c>
      <c r="AI142">
        <f t="shared" si="107"/>
        <v>2417.7582333269997</v>
      </c>
      <c r="AJ142">
        <f t="shared" si="107"/>
        <v>1611.8388222179999</v>
      </c>
      <c r="AK142">
        <f t="shared" si="107"/>
        <v>1208.8791166634999</v>
      </c>
      <c r="AL142">
        <f t="shared" si="107"/>
        <v>805.91941110899995</v>
      </c>
      <c r="AM142">
        <f t="shared" si="107"/>
        <v>612.49875244283999</v>
      </c>
      <c r="AN142">
        <f t="shared" si="107"/>
        <v>402.95970555449998</v>
      </c>
      <c r="AO142">
        <f t="shared" si="107"/>
        <v>193.42065866615997</v>
      </c>
    </row>
    <row r="143" spans="2:41" x14ac:dyDescent="0.2">
      <c r="Z143" s="92"/>
      <c r="AA143">
        <v>50</v>
      </c>
      <c r="AB143">
        <f t="shared" si="108"/>
        <v>38.068937699999999</v>
      </c>
      <c r="AC143">
        <f t="shared" si="106"/>
        <v>20.147985277724999</v>
      </c>
      <c r="AD143">
        <f t="shared" si="112"/>
        <v>0.4029597055545</v>
      </c>
      <c r="AI143">
        <f t="shared" si="107"/>
        <v>3022.1977916587498</v>
      </c>
      <c r="AJ143">
        <f t="shared" si="107"/>
        <v>2014.7985277724999</v>
      </c>
      <c r="AK143">
        <f t="shared" si="107"/>
        <v>1511.0988958293749</v>
      </c>
      <c r="AL143">
        <f t="shared" si="107"/>
        <v>1007.39926388625</v>
      </c>
      <c r="AM143">
        <f t="shared" si="107"/>
        <v>765.62344055354993</v>
      </c>
      <c r="AN143">
        <f t="shared" si="107"/>
        <v>503.69963194312498</v>
      </c>
      <c r="AO143">
        <f t="shared" si="107"/>
        <v>241.77582333269999</v>
      </c>
    </row>
    <row r="144" spans="2:41" x14ac:dyDescent="0.2">
      <c r="Z144" s="92"/>
      <c r="AA144">
        <v>60</v>
      </c>
      <c r="AB144">
        <f t="shared" si="108"/>
        <v>45.682725239999996</v>
      </c>
      <c r="AC144">
        <f t="shared" si="106"/>
        <v>24.177582333269999</v>
      </c>
      <c r="AD144">
        <f t="shared" si="112"/>
        <v>0.4029597055545</v>
      </c>
      <c r="AI144">
        <f t="shared" si="107"/>
        <v>3626.6373499904998</v>
      </c>
      <c r="AJ144">
        <f t="shared" si="107"/>
        <v>2417.7582333269997</v>
      </c>
      <c r="AK144">
        <f t="shared" si="107"/>
        <v>1813.3186749952499</v>
      </c>
      <c r="AL144">
        <f t="shared" si="107"/>
        <v>1208.8791166634999</v>
      </c>
      <c r="AM144">
        <f t="shared" si="107"/>
        <v>918.74812866425998</v>
      </c>
      <c r="AN144">
        <f t="shared" si="107"/>
        <v>604.43955833174994</v>
      </c>
      <c r="AO144">
        <f t="shared" si="107"/>
        <v>290.13098799924001</v>
      </c>
    </row>
    <row r="145" spans="5:41" x14ac:dyDescent="0.2">
      <c r="Z145" s="92"/>
      <c r="AA145">
        <v>70</v>
      </c>
      <c r="AB145">
        <f t="shared" si="108"/>
        <v>53.29651278</v>
      </c>
      <c r="AC145">
        <f t="shared" si="106"/>
        <v>28.207179388815</v>
      </c>
      <c r="AD145">
        <f t="shared" si="112"/>
        <v>0.4029597055545</v>
      </c>
      <c r="AI145">
        <f t="shared" si="107"/>
        <v>4231.0769083222503</v>
      </c>
      <c r="AJ145">
        <f t="shared" si="107"/>
        <v>2820.7179388814998</v>
      </c>
      <c r="AK145">
        <f t="shared" si="107"/>
        <v>2115.5384541611252</v>
      </c>
      <c r="AL145">
        <f t="shared" si="107"/>
        <v>1410.3589694407499</v>
      </c>
      <c r="AM145">
        <f t="shared" si="107"/>
        <v>1071.87281677497</v>
      </c>
      <c r="AN145">
        <f t="shared" si="107"/>
        <v>705.17948472037494</v>
      </c>
      <c r="AO145">
        <f t="shared" si="107"/>
        <v>338.48615266577997</v>
      </c>
    </row>
    <row r="146" spans="5:41" x14ac:dyDescent="0.2">
      <c r="Z146" s="92"/>
      <c r="AA146">
        <v>80</v>
      </c>
      <c r="AB146">
        <f t="shared" si="108"/>
        <v>60.91030031999999</v>
      </c>
      <c r="AC146">
        <f t="shared" si="106"/>
        <v>32.236776444359997</v>
      </c>
      <c r="AD146">
        <f t="shared" si="112"/>
        <v>0.40295970555449995</v>
      </c>
      <c r="AI146">
        <f t="shared" si="107"/>
        <v>4835.5164666539995</v>
      </c>
      <c r="AJ146">
        <f t="shared" si="107"/>
        <v>3223.6776444359998</v>
      </c>
      <c r="AK146">
        <f t="shared" si="107"/>
        <v>2417.7582333269997</v>
      </c>
      <c r="AL146">
        <f t="shared" si="107"/>
        <v>1611.8388222179999</v>
      </c>
      <c r="AM146">
        <f t="shared" si="107"/>
        <v>1224.99750488568</v>
      </c>
      <c r="AN146">
        <f t="shared" si="107"/>
        <v>805.91941110899995</v>
      </c>
      <c r="AO146">
        <f t="shared" si="107"/>
        <v>386.84131733231993</v>
      </c>
    </row>
    <row r="147" spans="5:41" x14ac:dyDescent="0.2">
      <c r="Z147" s="92">
        <v>10</v>
      </c>
      <c r="AA147">
        <v>5</v>
      </c>
      <c r="AB147">
        <f>1.60934*AA147*($AP$116/1000)</f>
        <v>7.0859240199999984</v>
      </c>
      <c r="AC147">
        <f t="shared" si="106"/>
        <v>3.7502252875849993</v>
      </c>
      <c r="AD147">
        <f t="shared" si="112"/>
        <v>0.7500450575169999</v>
      </c>
      <c r="AH147">
        <f t="shared" si="107"/>
        <v>682.54100234046984</v>
      </c>
      <c r="AI147">
        <f t="shared" si="107"/>
        <v>562.53379313774985</v>
      </c>
      <c r="AJ147">
        <f t="shared" si="107"/>
        <v>375.0225287584999</v>
      </c>
      <c r="AK147">
        <f t="shared" si="107"/>
        <v>281.26689656887493</v>
      </c>
      <c r="AL147">
        <f t="shared" si="107"/>
        <v>187.51126437924995</v>
      </c>
      <c r="AM147">
        <f t="shared" si="107"/>
        <v>142.50856092822997</v>
      </c>
      <c r="AN147">
        <f t="shared" si="107"/>
        <v>93.755632189624976</v>
      </c>
      <c r="AO147">
        <f t="shared" si="107"/>
        <v>45.00270345101999</v>
      </c>
    </row>
    <row r="148" spans="5:41" x14ac:dyDescent="0.2">
      <c r="Z148" s="92"/>
      <c r="AA148">
        <v>10</v>
      </c>
      <c r="AB148">
        <f t="shared" ref="AB148:AB155" si="113">1.60934*AA148*($AP$116/1000)</f>
        <v>14.171848039999997</v>
      </c>
      <c r="AC148">
        <f t="shared" si="106"/>
        <v>7.5004505751699986</v>
      </c>
      <c r="AD148">
        <f t="shared" si="112"/>
        <v>0.7500450575169999</v>
      </c>
      <c r="AH148">
        <f t="shared" si="107"/>
        <v>1365.0820046809397</v>
      </c>
      <c r="AI148">
        <f t="shared" si="107"/>
        <v>1125.0675862754997</v>
      </c>
      <c r="AJ148">
        <f t="shared" si="107"/>
        <v>750.0450575169998</v>
      </c>
      <c r="AK148">
        <f t="shared" si="107"/>
        <v>562.53379313774985</v>
      </c>
      <c r="AL148">
        <f t="shared" si="107"/>
        <v>375.0225287584999</v>
      </c>
      <c r="AM148">
        <f t="shared" si="107"/>
        <v>285.01712185645994</v>
      </c>
      <c r="AN148">
        <f t="shared" si="107"/>
        <v>187.51126437924995</v>
      </c>
      <c r="AO148">
        <f t="shared" si="107"/>
        <v>90.005406902039979</v>
      </c>
    </row>
    <row r="149" spans="5:41" x14ac:dyDescent="0.2">
      <c r="E149">
        <v>5</v>
      </c>
      <c r="F149">
        <v>5</v>
      </c>
      <c r="G149">
        <v>178.86607094999997</v>
      </c>
      <c r="Z149" s="92"/>
      <c r="AA149">
        <v>20</v>
      </c>
      <c r="AB149">
        <f t="shared" si="113"/>
        <v>28.343696079999994</v>
      </c>
      <c r="AC149">
        <f t="shared" si="106"/>
        <v>15.000901150339997</v>
      </c>
      <c r="AD149">
        <f t="shared" si="112"/>
        <v>0.7500450575169999</v>
      </c>
      <c r="AH149">
        <f t="shared" si="107"/>
        <v>2730.1640093618794</v>
      </c>
      <c r="AI149">
        <f t="shared" si="107"/>
        <v>2250.1351725509994</v>
      </c>
      <c r="AJ149">
        <f t="shared" si="107"/>
        <v>1500.0901150339996</v>
      </c>
      <c r="AK149">
        <f t="shared" si="107"/>
        <v>1125.0675862754997</v>
      </c>
      <c r="AL149">
        <f t="shared" si="107"/>
        <v>750.0450575169998</v>
      </c>
      <c r="AM149">
        <f t="shared" si="107"/>
        <v>570.03424371291987</v>
      </c>
      <c r="AN149">
        <f t="shared" si="107"/>
        <v>375.0225287584999</v>
      </c>
      <c r="AO149">
        <f t="shared" si="107"/>
        <v>180.01081380407996</v>
      </c>
    </row>
    <row r="150" spans="5:41" x14ac:dyDescent="0.2">
      <c r="F150">
        <v>10</v>
      </c>
      <c r="G150">
        <v>357.73214189999993</v>
      </c>
      <c r="Z150" s="92"/>
      <c r="AA150">
        <v>30</v>
      </c>
      <c r="AB150">
        <f t="shared" si="113"/>
        <v>42.515544119999994</v>
      </c>
      <c r="AC150">
        <f t="shared" si="106"/>
        <v>22.501351725509998</v>
      </c>
      <c r="AD150">
        <f t="shared" si="112"/>
        <v>0.7500450575169999</v>
      </c>
      <c r="AH150">
        <f t="shared" si="107"/>
        <v>4095.2460140428198</v>
      </c>
      <c r="AI150">
        <f t="shared" si="107"/>
        <v>3375.2027588264996</v>
      </c>
      <c r="AJ150">
        <f t="shared" si="107"/>
        <v>2250.1351725509999</v>
      </c>
      <c r="AK150">
        <f t="shared" si="107"/>
        <v>1687.6013794132498</v>
      </c>
      <c r="AL150">
        <f t="shared" si="107"/>
        <v>1125.0675862754999</v>
      </c>
      <c r="AM150">
        <f t="shared" si="107"/>
        <v>855.05136556937998</v>
      </c>
      <c r="AN150">
        <f t="shared" si="107"/>
        <v>562.53379313774997</v>
      </c>
      <c r="AO150">
        <f t="shared" si="107"/>
        <v>270.01622070611995</v>
      </c>
    </row>
    <row r="151" spans="5:41" x14ac:dyDescent="0.2">
      <c r="F151">
        <v>20</v>
      </c>
      <c r="G151">
        <v>715.46428379999986</v>
      </c>
      <c r="Z151" s="92"/>
      <c r="AA151">
        <v>40</v>
      </c>
      <c r="AB151">
        <f t="shared" si="113"/>
        <v>56.687392159999987</v>
      </c>
      <c r="AC151">
        <f t="shared" si="106"/>
        <v>30.001802300679994</v>
      </c>
      <c r="AD151">
        <f t="shared" si="112"/>
        <v>0.7500450575169999</v>
      </c>
      <c r="AH151">
        <f t="shared" si="107"/>
        <v>5460.3280187237588</v>
      </c>
      <c r="AI151">
        <f t="shared" si="107"/>
        <v>4500.2703451019988</v>
      </c>
      <c r="AJ151">
        <f t="shared" si="107"/>
        <v>3000.1802300679992</v>
      </c>
      <c r="AK151">
        <f t="shared" si="107"/>
        <v>2250.1351725509994</v>
      </c>
      <c r="AL151">
        <f t="shared" si="107"/>
        <v>1500.0901150339996</v>
      </c>
      <c r="AM151">
        <f t="shared" si="107"/>
        <v>1140.0684874258397</v>
      </c>
      <c r="AN151">
        <f t="shared" si="107"/>
        <v>750.0450575169998</v>
      </c>
      <c r="AO151">
        <f t="shared" si="107"/>
        <v>360.02162760815992</v>
      </c>
    </row>
    <row r="152" spans="5:41" x14ac:dyDescent="0.2">
      <c r="F152">
        <v>30</v>
      </c>
      <c r="G152">
        <v>1073.1964257</v>
      </c>
      <c r="Z152" s="92"/>
      <c r="AA152">
        <v>50</v>
      </c>
      <c r="AB152">
        <f t="shared" si="113"/>
        <v>70.859240199999988</v>
      </c>
      <c r="AC152">
        <f t="shared" si="106"/>
        <v>37.50225287584999</v>
      </c>
      <c r="AD152">
        <f t="shared" si="112"/>
        <v>0.75004505751699979</v>
      </c>
      <c r="AH152">
        <f t="shared" si="107"/>
        <v>6825.4100234046982</v>
      </c>
      <c r="AI152">
        <f t="shared" si="107"/>
        <v>5625.3379313774985</v>
      </c>
      <c r="AJ152">
        <f t="shared" si="107"/>
        <v>3750.225287584999</v>
      </c>
      <c r="AK152">
        <f t="shared" si="107"/>
        <v>2812.6689656887493</v>
      </c>
      <c r="AL152">
        <f t="shared" si="107"/>
        <v>1875.1126437924995</v>
      </c>
      <c r="AM152">
        <f t="shared" si="107"/>
        <v>1425.0856092822996</v>
      </c>
      <c r="AN152">
        <f t="shared" si="107"/>
        <v>937.55632189624976</v>
      </c>
      <c r="AO152">
        <f t="shared" si="107"/>
        <v>450.02703451019988</v>
      </c>
    </row>
    <row r="153" spans="5:41" x14ac:dyDescent="0.2">
      <c r="F153">
        <v>40</v>
      </c>
      <c r="G153">
        <v>1430.9285675999997</v>
      </c>
      <c r="Z153" s="92"/>
      <c r="AA153">
        <v>60</v>
      </c>
      <c r="AB153">
        <f t="shared" si="113"/>
        <v>85.031088239999988</v>
      </c>
      <c r="AC153">
        <f t="shared" si="106"/>
        <v>45.002703451019997</v>
      </c>
      <c r="AD153">
        <f t="shared" si="112"/>
        <v>0.7500450575169999</v>
      </c>
      <c r="AH153">
        <f t="shared" si="107"/>
        <v>8190.4920280856395</v>
      </c>
      <c r="AI153">
        <f t="shared" si="107"/>
        <v>6750.4055176529992</v>
      </c>
      <c r="AJ153">
        <f t="shared" si="107"/>
        <v>4500.2703451019997</v>
      </c>
      <c r="AK153">
        <f t="shared" si="107"/>
        <v>3375.2027588264996</v>
      </c>
      <c r="AL153">
        <f t="shared" si="107"/>
        <v>2250.1351725509999</v>
      </c>
      <c r="AM153">
        <f t="shared" si="107"/>
        <v>1710.10273113876</v>
      </c>
      <c r="AN153">
        <f t="shared" si="107"/>
        <v>1125.0675862754999</v>
      </c>
      <c r="AO153">
        <f t="shared" si="107"/>
        <v>540.0324414122399</v>
      </c>
    </row>
    <row r="154" spans="5:41" x14ac:dyDescent="0.2">
      <c r="F154">
        <v>50</v>
      </c>
      <c r="G154">
        <v>1788.6607095000002</v>
      </c>
      <c r="Z154" s="92"/>
      <c r="AA154">
        <v>70</v>
      </c>
      <c r="AB154">
        <f t="shared" si="113"/>
        <v>99.202936279999989</v>
      </c>
      <c r="AC154">
        <f t="shared" si="106"/>
        <v>52.503154026189996</v>
      </c>
      <c r="AD154">
        <f t="shared" si="112"/>
        <v>0.7500450575169999</v>
      </c>
      <c r="AH154">
        <f t="shared" ref="AF154:AO170" si="114">ROUNDDOWN(AH$137*25,0)*$AC154</f>
        <v>9555.574032766579</v>
      </c>
      <c r="AI154">
        <f t="shared" si="114"/>
        <v>7875.4731039284998</v>
      </c>
      <c r="AJ154">
        <f t="shared" si="114"/>
        <v>5250.3154026189995</v>
      </c>
      <c r="AK154">
        <f t="shared" si="114"/>
        <v>3937.7365519642499</v>
      </c>
      <c r="AL154">
        <f t="shared" si="114"/>
        <v>2625.1577013094998</v>
      </c>
      <c r="AM154">
        <f t="shared" si="114"/>
        <v>1995.1198529952198</v>
      </c>
      <c r="AN154">
        <f t="shared" si="114"/>
        <v>1312.5788506547499</v>
      </c>
      <c r="AO154">
        <f t="shared" si="114"/>
        <v>630.03784831427993</v>
      </c>
    </row>
    <row r="155" spans="5:41" x14ac:dyDescent="0.2">
      <c r="F155">
        <v>60</v>
      </c>
      <c r="G155">
        <v>2146.3928513999999</v>
      </c>
      <c r="Z155" s="92"/>
      <c r="AA155">
        <v>80</v>
      </c>
      <c r="AB155">
        <f t="shared" si="113"/>
        <v>113.37478431999997</v>
      </c>
      <c r="AC155">
        <f t="shared" si="106"/>
        <v>60.003604601359989</v>
      </c>
      <c r="AD155">
        <f t="shared" si="112"/>
        <v>0.7500450575169999</v>
      </c>
      <c r="AH155">
        <f t="shared" si="114"/>
        <v>10920.656037447518</v>
      </c>
      <c r="AI155">
        <f t="shared" si="114"/>
        <v>9000.5406902039977</v>
      </c>
      <c r="AJ155">
        <f t="shared" si="114"/>
        <v>6000.3604601359984</v>
      </c>
      <c r="AK155">
        <f t="shared" si="114"/>
        <v>4500.2703451019988</v>
      </c>
      <c r="AL155">
        <f t="shared" si="114"/>
        <v>3000.1802300679992</v>
      </c>
      <c r="AM155">
        <f t="shared" si="114"/>
        <v>2280.1369748516795</v>
      </c>
      <c r="AN155">
        <f t="shared" si="114"/>
        <v>1500.0901150339996</v>
      </c>
      <c r="AO155">
        <f t="shared" si="114"/>
        <v>720.04325521631984</v>
      </c>
    </row>
    <row r="156" spans="5:41" x14ac:dyDescent="0.2">
      <c r="F156">
        <v>70</v>
      </c>
      <c r="G156">
        <v>2504.1249932999999</v>
      </c>
      <c r="Z156" s="92">
        <v>20</v>
      </c>
      <c r="AA156">
        <v>5</v>
      </c>
      <c r="AB156">
        <f>1.60934*AA156*($AP$117/1000)</f>
        <v>11.547014499999998</v>
      </c>
      <c r="AC156">
        <f t="shared" si="106"/>
        <v>6.1112574241249984</v>
      </c>
      <c r="AD156">
        <f t="shared" si="112"/>
        <v>1.2222514848249997</v>
      </c>
      <c r="AG156">
        <f t="shared" si="114"/>
        <v>1393.3666927004997</v>
      </c>
      <c r="AH156">
        <f t="shared" si="114"/>
        <v>1112.2488511907497</v>
      </c>
      <c r="AI156">
        <f t="shared" si="114"/>
        <v>916.68861361874974</v>
      </c>
      <c r="AJ156">
        <f t="shared" si="114"/>
        <v>611.12574241249979</v>
      </c>
      <c r="AK156">
        <f t="shared" si="114"/>
        <v>458.34430680937487</v>
      </c>
      <c r="AL156">
        <f t="shared" si="114"/>
        <v>305.56287120624989</v>
      </c>
      <c r="AM156">
        <f t="shared" si="114"/>
        <v>232.22778211674995</v>
      </c>
      <c r="AN156">
        <f t="shared" si="114"/>
        <v>152.78143560312495</v>
      </c>
    </row>
    <row r="157" spans="5:41" x14ac:dyDescent="0.2">
      <c r="F157">
        <v>80</v>
      </c>
      <c r="G157">
        <v>2861.8571351999994</v>
      </c>
      <c r="Z157" s="92"/>
      <c r="AA157">
        <v>10</v>
      </c>
      <c r="AB157">
        <f t="shared" ref="AB157:AB164" si="115">1.60934*AA157*($AP$117/1000)</f>
        <v>23.094028999999995</v>
      </c>
      <c r="AC157">
        <f t="shared" si="106"/>
        <v>12.222514848249997</v>
      </c>
      <c r="AD157">
        <f t="shared" si="112"/>
        <v>1.2222514848249997</v>
      </c>
      <c r="AG157">
        <f t="shared" si="114"/>
        <v>2786.7333854009994</v>
      </c>
      <c r="AH157">
        <f t="shared" si="114"/>
        <v>2224.4977023814995</v>
      </c>
      <c r="AI157">
        <f t="shared" si="114"/>
        <v>1833.3772272374995</v>
      </c>
      <c r="AJ157">
        <f t="shared" si="114"/>
        <v>1222.2514848249996</v>
      </c>
      <c r="AK157">
        <f t="shared" si="114"/>
        <v>916.68861361874974</v>
      </c>
      <c r="AL157">
        <f t="shared" si="114"/>
        <v>611.12574241249979</v>
      </c>
      <c r="AM157">
        <f t="shared" si="114"/>
        <v>464.4555642334999</v>
      </c>
      <c r="AN157">
        <f t="shared" si="114"/>
        <v>305.56287120624989</v>
      </c>
    </row>
    <row r="158" spans="5:41" x14ac:dyDescent="0.2">
      <c r="E158">
        <v>10</v>
      </c>
      <c r="F158">
        <v>5</v>
      </c>
      <c r="G158">
        <v>242.74681057499996</v>
      </c>
      <c r="Z158" s="92"/>
      <c r="AA158">
        <v>20</v>
      </c>
      <c r="AB158">
        <f t="shared" si="115"/>
        <v>46.188057999999991</v>
      </c>
      <c r="AC158">
        <f t="shared" si="106"/>
        <v>24.445029696499994</v>
      </c>
      <c r="AD158">
        <f t="shared" si="112"/>
        <v>1.2222514848249997</v>
      </c>
      <c r="AG158">
        <f t="shared" si="114"/>
        <v>5573.4667708019988</v>
      </c>
      <c r="AH158">
        <f t="shared" si="114"/>
        <v>4448.995404762999</v>
      </c>
      <c r="AI158">
        <f t="shared" si="114"/>
        <v>3666.754454474999</v>
      </c>
      <c r="AJ158">
        <f t="shared" si="114"/>
        <v>2444.5029696499992</v>
      </c>
      <c r="AK158">
        <f t="shared" si="114"/>
        <v>1833.3772272374995</v>
      </c>
      <c r="AL158">
        <f t="shared" si="114"/>
        <v>1222.2514848249996</v>
      </c>
      <c r="AM158">
        <f t="shared" si="114"/>
        <v>928.9111284669998</v>
      </c>
      <c r="AN158">
        <f t="shared" si="114"/>
        <v>611.12574241249979</v>
      </c>
    </row>
    <row r="159" spans="5:41" x14ac:dyDescent="0.2">
      <c r="F159">
        <v>10</v>
      </c>
      <c r="G159">
        <v>485.49362115000002</v>
      </c>
      <c r="Z159" s="92"/>
      <c r="AA159">
        <v>30</v>
      </c>
      <c r="AB159">
        <f t="shared" si="115"/>
        <v>69.28208699999999</v>
      </c>
      <c r="AC159">
        <f t="shared" si="106"/>
        <v>36.667544544749994</v>
      </c>
      <c r="AD159">
        <f t="shared" si="112"/>
        <v>1.2222514848249999</v>
      </c>
      <c r="AG159">
        <f t="shared" si="114"/>
        <v>8360.2001562029982</v>
      </c>
      <c r="AH159">
        <f t="shared" si="114"/>
        <v>6673.4931071444989</v>
      </c>
      <c r="AI159">
        <f t="shared" si="114"/>
        <v>5500.1316817124989</v>
      </c>
      <c r="AJ159">
        <f t="shared" si="114"/>
        <v>3666.7544544749994</v>
      </c>
      <c r="AK159">
        <f t="shared" si="114"/>
        <v>2750.0658408562495</v>
      </c>
      <c r="AL159">
        <f t="shared" si="114"/>
        <v>1833.3772272374997</v>
      </c>
      <c r="AM159">
        <f t="shared" si="114"/>
        <v>1393.3666927004997</v>
      </c>
      <c r="AN159">
        <f t="shared" si="114"/>
        <v>916.68861361874986</v>
      </c>
    </row>
    <row r="160" spans="5:41" x14ac:dyDescent="0.2">
      <c r="F160">
        <v>20</v>
      </c>
      <c r="G160">
        <v>970.98724229999982</v>
      </c>
      <c r="Z160" s="92"/>
      <c r="AA160">
        <v>40</v>
      </c>
      <c r="AB160">
        <f t="shared" si="115"/>
        <v>92.376115999999982</v>
      </c>
      <c r="AC160">
        <f t="shared" si="106"/>
        <v>48.890059392999987</v>
      </c>
      <c r="AD160">
        <f t="shared" si="112"/>
        <v>1.2222514848249997</v>
      </c>
      <c r="AG160">
        <f t="shared" si="114"/>
        <v>11146.933541603998</v>
      </c>
      <c r="AH160">
        <f t="shared" si="114"/>
        <v>8897.990809525998</v>
      </c>
      <c r="AI160">
        <f t="shared" si="114"/>
        <v>7333.5089089499979</v>
      </c>
      <c r="AJ160">
        <f t="shared" si="114"/>
        <v>4889.0059392999983</v>
      </c>
      <c r="AK160">
        <f t="shared" si="114"/>
        <v>3666.754454474999</v>
      </c>
      <c r="AL160">
        <f t="shared" si="114"/>
        <v>2444.5029696499992</v>
      </c>
      <c r="AM160">
        <f t="shared" si="114"/>
        <v>1857.8222569339996</v>
      </c>
      <c r="AN160">
        <f t="shared" si="114"/>
        <v>1222.2514848249996</v>
      </c>
    </row>
    <row r="161" spans="5:40" x14ac:dyDescent="0.2">
      <c r="F161">
        <v>30</v>
      </c>
      <c r="G161">
        <v>1456.4808634499998</v>
      </c>
      <c r="Z161" s="92"/>
      <c r="AA161">
        <v>50</v>
      </c>
      <c r="AB161">
        <f t="shared" si="115"/>
        <v>115.47014499999999</v>
      </c>
      <c r="AC161">
        <f t="shared" si="106"/>
        <v>61.112574241249995</v>
      </c>
      <c r="AD161">
        <f t="shared" si="112"/>
        <v>1.2222514848249999</v>
      </c>
      <c r="AG161">
        <f t="shared" si="114"/>
        <v>13933.666927004999</v>
      </c>
      <c r="AH161">
        <f t="shared" si="114"/>
        <v>11122.488511907499</v>
      </c>
      <c r="AI161">
        <f t="shared" si="114"/>
        <v>9166.8861361874988</v>
      </c>
      <c r="AJ161">
        <f t="shared" si="114"/>
        <v>6111.2574241249995</v>
      </c>
      <c r="AK161">
        <f t="shared" si="114"/>
        <v>4583.4430680937494</v>
      </c>
      <c r="AL161">
        <f t="shared" si="114"/>
        <v>3055.6287120624997</v>
      </c>
      <c r="AM161">
        <f t="shared" si="114"/>
        <v>2322.2778211675</v>
      </c>
      <c r="AN161">
        <f t="shared" si="114"/>
        <v>1527.8143560312499</v>
      </c>
    </row>
    <row r="162" spans="5:40" x14ac:dyDescent="0.2">
      <c r="F162">
        <v>40</v>
      </c>
      <c r="G162">
        <v>1941.9744845999996</v>
      </c>
      <c r="Z162" s="92"/>
      <c r="AA162">
        <v>60</v>
      </c>
      <c r="AB162">
        <f t="shared" si="115"/>
        <v>138.56417399999998</v>
      </c>
      <c r="AC162">
        <f t="shared" si="106"/>
        <v>73.335089089499988</v>
      </c>
      <c r="AD162">
        <f t="shared" si="112"/>
        <v>1.2222514848249999</v>
      </c>
      <c r="AG162">
        <f t="shared" si="114"/>
        <v>16720.400312405996</v>
      </c>
      <c r="AH162">
        <f t="shared" si="114"/>
        <v>13346.986214288998</v>
      </c>
      <c r="AI162">
        <f t="shared" si="114"/>
        <v>11000.263363424998</v>
      </c>
      <c r="AJ162">
        <f t="shared" si="114"/>
        <v>7333.5089089499988</v>
      </c>
      <c r="AK162">
        <f t="shared" si="114"/>
        <v>5500.1316817124989</v>
      </c>
      <c r="AL162">
        <f t="shared" si="114"/>
        <v>3666.7544544749994</v>
      </c>
      <c r="AM162">
        <f t="shared" si="114"/>
        <v>2786.7333854009994</v>
      </c>
      <c r="AN162">
        <f t="shared" si="114"/>
        <v>1833.3772272374997</v>
      </c>
    </row>
    <row r="163" spans="5:40" x14ac:dyDescent="0.2">
      <c r="F163">
        <v>50</v>
      </c>
      <c r="G163">
        <v>2427.4681057499997</v>
      </c>
      <c r="Z163" s="92"/>
      <c r="AA163">
        <v>70</v>
      </c>
      <c r="AB163">
        <f t="shared" si="115"/>
        <v>161.65820299999999</v>
      </c>
      <c r="AC163">
        <f t="shared" si="106"/>
        <v>85.557603937749988</v>
      </c>
      <c r="AD163">
        <f t="shared" si="112"/>
        <v>1.2222514848249999</v>
      </c>
      <c r="AG163">
        <f t="shared" si="114"/>
        <v>19507.133697806996</v>
      </c>
      <c r="AH163">
        <f t="shared" si="114"/>
        <v>15571.483916670499</v>
      </c>
      <c r="AI163">
        <f t="shared" si="114"/>
        <v>12833.640590662499</v>
      </c>
      <c r="AJ163">
        <f t="shared" si="114"/>
        <v>8555.7603937749991</v>
      </c>
      <c r="AK163">
        <f t="shared" si="114"/>
        <v>6416.8202953312493</v>
      </c>
      <c r="AL163">
        <f t="shared" si="114"/>
        <v>4277.8801968874996</v>
      </c>
      <c r="AM163">
        <f t="shared" si="114"/>
        <v>3251.1889496344997</v>
      </c>
      <c r="AN163">
        <f t="shared" si="114"/>
        <v>2138.9400984437498</v>
      </c>
    </row>
    <row r="164" spans="5:40" x14ac:dyDescent="0.2">
      <c r="F164">
        <v>60</v>
      </c>
      <c r="G164">
        <v>2912.9617268999996</v>
      </c>
      <c r="Z164" s="92"/>
      <c r="AA164">
        <v>80</v>
      </c>
      <c r="AB164">
        <f t="shared" si="115"/>
        <v>184.75223199999996</v>
      </c>
      <c r="AC164">
        <f t="shared" si="106"/>
        <v>97.780118785999974</v>
      </c>
      <c r="AD164">
        <f t="shared" si="112"/>
        <v>1.2222514848249997</v>
      </c>
      <c r="AG164">
        <f t="shared" si="114"/>
        <v>22293.867083207995</v>
      </c>
      <c r="AH164">
        <f t="shared" si="114"/>
        <v>17795.981619051996</v>
      </c>
      <c r="AI164">
        <f t="shared" si="114"/>
        <v>14667.017817899996</v>
      </c>
      <c r="AJ164">
        <f t="shared" si="114"/>
        <v>9778.0118785999966</v>
      </c>
      <c r="AK164">
        <f t="shared" si="114"/>
        <v>7333.5089089499979</v>
      </c>
      <c r="AL164">
        <f t="shared" si="114"/>
        <v>4889.0059392999983</v>
      </c>
      <c r="AM164">
        <f t="shared" si="114"/>
        <v>3715.6445138679992</v>
      </c>
      <c r="AN164">
        <f t="shared" si="114"/>
        <v>2444.5029696499992</v>
      </c>
    </row>
    <row r="165" spans="5:40" x14ac:dyDescent="0.2">
      <c r="F165">
        <v>70</v>
      </c>
      <c r="G165">
        <v>3398.4553480499999</v>
      </c>
      <c r="Z165" s="92">
        <v>30</v>
      </c>
      <c r="AA165">
        <v>5</v>
      </c>
      <c r="AB165">
        <f>1.60934*AA165*($AP$118/1000)</f>
        <v>21.597299378184907</v>
      </c>
      <c r="AC165">
        <f t="shared" ref="AC165:AC200" si="116">AB165*$F$61</f>
        <v>4.7460065383561334</v>
      </c>
      <c r="AD165">
        <f t="shared" si="112"/>
        <v>0.94920130767122668</v>
      </c>
      <c r="AF165">
        <f t="shared" si="114"/>
        <v>1442.7859876602645</v>
      </c>
      <c r="AG165">
        <f t="shared" si="114"/>
        <v>1082.0894907451984</v>
      </c>
      <c r="AH165">
        <f t="shared" si="114"/>
        <v>863.77318998081626</v>
      </c>
      <c r="AI165">
        <f t="shared" si="114"/>
        <v>711.90098075341996</v>
      </c>
      <c r="AJ165">
        <f t="shared" si="114"/>
        <v>474.60065383561334</v>
      </c>
      <c r="AK165">
        <f t="shared" si="114"/>
        <v>355.95049037670998</v>
      </c>
      <c r="AL165">
        <f t="shared" si="114"/>
        <v>237.30032691780667</v>
      </c>
      <c r="AM165">
        <f t="shared" si="114"/>
        <v>180.34824845753306</v>
      </c>
    </row>
    <row r="166" spans="5:40" x14ac:dyDescent="0.2">
      <c r="F166">
        <v>80</v>
      </c>
      <c r="G166">
        <v>3883.9489691999993</v>
      </c>
      <c r="Z166" s="92"/>
      <c r="AA166">
        <v>10</v>
      </c>
      <c r="AB166">
        <f t="shared" ref="AB166:AB173" si="117">1.60934*AA166*($AP$118/1000)</f>
        <v>43.194598756369814</v>
      </c>
      <c r="AC166">
        <f t="shared" si="116"/>
        <v>9.4920130767122668</v>
      </c>
      <c r="AD166">
        <f t="shared" si="112"/>
        <v>0.94920130767122668</v>
      </c>
      <c r="AF166">
        <f t="shared" si="114"/>
        <v>2885.571975320529</v>
      </c>
      <c r="AG166">
        <f t="shared" si="114"/>
        <v>2164.1789814903968</v>
      </c>
      <c r="AH166">
        <f t="shared" si="114"/>
        <v>1727.5463799616325</v>
      </c>
      <c r="AI166">
        <f t="shared" si="114"/>
        <v>1423.8019615068399</v>
      </c>
      <c r="AJ166">
        <f t="shared" si="114"/>
        <v>949.20130767122669</v>
      </c>
      <c r="AK166">
        <f t="shared" si="114"/>
        <v>711.90098075341996</v>
      </c>
      <c r="AL166">
        <f t="shared" si="114"/>
        <v>474.60065383561334</v>
      </c>
      <c r="AM166">
        <f t="shared" si="114"/>
        <v>360.69649691506612</v>
      </c>
    </row>
    <row r="167" spans="5:40" x14ac:dyDescent="0.2">
      <c r="E167">
        <v>20</v>
      </c>
      <c r="F167">
        <v>5</v>
      </c>
      <c r="G167">
        <v>364.12021586249995</v>
      </c>
      <c r="Z167" s="92"/>
      <c r="AA167">
        <v>20</v>
      </c>
      <c r="AB167">
        <f t="shared" si="117"/>
        <v>86.389197512739628</v>
      </c>
      <c r="AC167">
        <f t="shared" si="116"/>
        <v>18.984026153424534</v>
      </c>
      <c r="AD167">
        <f t="shared" si="112"/>
        <v>0.94920130767122668</v>
      </c>
      <c r="AF167">
        <f t="shared" si="114"/>
        <v>5771.1439506410579</v>
      </c>
      <c r="AG167">
        <f t="shared" si="114"/>
        <v>4328.3579629807937</v>
      </c>
      <c r="AH167">
        <f t="shared" si="114"/>
        <v>3455.092759923265</v>
      </c>
      <c r="AI167">
        <f t="shared" si="114"/>
        <v>2847.6039230136798</v>
      </c>
      <c r="AJ167">
        <f t="shared" si="114"/>
        <v>1898.4026153424534</v>
      </c>
      <c r="AK167">
        <f t="shared" si="114"/>
        <v>1423.8019615068399</v>
      </c>
      <c r="AL167">
        <f t="shared" si="114"/>
        <v>949.20130767122669</v>
      </c>
      <c r="AM167">
        <f t="shared" si="114"/>
        <v>721.39299383013224</v>
      </c>
    </row>
    <row r="168" spans="5:40" x14ac:dyDescent="0.2">
      <c r="F168">
        <v>10</v>
      </c>
      <c r="G168">
        <v>728.24043172499989</v>
      </c>
      <c r="Z168" s="92"/>
      <c r="AA168">
        <v>30</v>
      </c>
      <c r="AB168">
        <f t="shared" si="117"/>
        <v>129.58379626910946</v>
      </c>
      <c r="AC168">
        <f t="shared" si="116"/>
        <v>28.476039230136802</v>
      </c>
      <c r="AD168">
        <f t="shared" si="112"/>
        <v>0.94920130767122679</v>
      </c>
      <c r="AF168">
        <f t="shared" si="114"/>
        <v>8656.7159259615873</v>
      </c>
      <c r="AG168">
        <f t="shared" si="114"/>
        <v>6492.5369444711905</v>
      </c>
      <c r="AH168">
        <f t="shared" si="114"/>
        <v>5182.6391398848982</v>
      </c>
      <c r="AI168">
        <f t="shared" si="114"/>
        <v>4271.40588452052</v>
      </c>
      <c r="AJ168">
        <f t="shared" si="114"/>
        <v>2847.6039230136803</v>
      </c>
      <c r="AK168">
        <f t="shared" si="114"/>
        <v>2135.70294226026</v>
      </c>
      <c r="AL168">
        <f t="shared" si="114"/>
        <v>1423.8019615068401</v>
      </c>
      <c r="AM168">
        <f t="shared" si="114"/>
        <v>1082.0894907451984</v>
      </c>
    </row>
    <row r="169" spans="5:40" x14ac:dyDescent="0.2">
      <c r="F169">
        <v>20</v>
      </c>
      <c r="G169">
        <v>1456.4808634499998</v>
      </c>
      <c r="Z169" s="92"/>
      <c r="AA169">
        <v>40</v>
      </c>
      <c r="AB169">
        <f t="shared" si="117"/>
        <v>172.77839502547926</v>
      </c>
      <c r="AC169">
        <f t="shared" si="116"/>
        <v>37.968052306849067</v>
      </c>
      <c r="AD169">
        <f t="shared" si="112"/>
        <v>0.94920130767122668</v>
      </c>
      <c r="AF169">
        <f t="shared" si="114"/>
        <v>11542.287901282116</v>
      </c>
      <c r="AG169">
        <f t="shared" si="114"/>
        <v>8656.7159259615873</v>
      </c>
      <c r="AH169">
        <f t="shared" si="114"/>
        <v>6910.18551984653</v>
      </c>
      <c r="AI169">
        <f t="shared" si="114"/>
        <v>5695.2078460273597</v>
      </c>
      <c r="AJ169">
        <f t="shared" si="114"/>
        <v>3796.8052306849067</v>
      </c>
      <c r="AK169">
        <f t="shared" si="114"/>
        <v>2847.6039230136798</v>
      </c>
      <c r="AL169">
        <f t="shared" si="114"/>
        <v>1898.4026153424534</v>
      </c>
      <c r="AM169">
        <f t="shared" si="114"/>
        <v>1442.7859876602645</v>
      </c>
    </row>
    <row r="170" spans="5:40" x14ac:dyDescent="0.2">
      <c r="F170">
        <v>30</v>
      </c>
      <c r="G170">
        <v>2184.7212951749998</v>
      </c>
      <c r="Z170" s="92"/>
      <c r="AA170">
        <v>50</v>
      </c>
      <c r="AB170">
        <f t="shared" si="117"/>
        <v>215.97299378184908</v>
      </c>
      <c r="AC170">
        <f t="shared" si="116"/>
        <v>47.460065383561336</v>
      </c>
      <c r="AD170">
        <f t="shared" si="112"/>
        <v>0.94920130767122668</v>
      </c>
      <c r="AF170">
        <f t="shared" si="114"/>
        <v>14427.859876602646</v>
      </c>
      <c r="AG170">
        <f t="shared" si="114"/>
        <v>10820.894907451984</v>
      </c>
      <c r="AH170">
        <f t="shared" si="114"/>
        <v>8637.7318998081628</v>
      </c>
      <c r="AI170">
        <f t="shared" si="114"/>
        <v>7119.0098075342003</v>
      </c>
      <c r="AJ170">
        <f t="shared" si="114"/>
        <v>4746.0065383561332</v>
      </c>
      <c r="AK170">
        <f t="shared" si="114"/>
        <v>3559.5049037671001</v>
      </c>
      <c r="AL170">
        <f t="shared" si="114"/>
        <v>2373.0032691780666</v>
      </c>
      <c r="AM170">
        <f t="shared" si="114"/>
        <v>1803.4824845753308</v>
      </c>
    </row>
    <row r="171" spans="5:40" x14ac:dyDescent="0.2">
      <c r="F171">
        <v>40</v>
      </c>
      <c r="G171">
        <v>2912.9617268999996</v>
      </c>
      <c r="Z171" s="92"/>
      <c r="AA171">
        <v>60</v>
      </c>
      <c r="AB171">
        <f t="shared" si="117"/>
        <v>259.16759253821891</v>
      </c>
      <c r="AC171">
        <f t="shared" si="116"/>
        <v>56.952078460273604</v>
      </c>
      <c r="AD171">
        <f t="shared" si="112"/>
        <v>0.94920130767122679</v>
      </c>
      <c r="AF171">
        <f t="shared" ref="AE171:AM194" si="118">ROUNDDOWN(AF$137*25,0)*$AC171</f>
        <v>17313.431851923175</v>
      </c>
      <c r="AG171">
        <f t="shared" si="118"/>
        <v>12985.073888942381</v>
      </c>
      <c r="AH171">
        <f t="shared" si="118"/>
        <v>10365.278279769796</v>
      </c>
      <c r="AI171">
        <f t="shared" si="118"/>
        <v>8542.81176904104</v>
      </c>
      <c r="AJ171">
        <f t="shared" si="118"/>
        <v>5695.2078460273606</v>
      </c>
      <c r="AK171">
        <f t="shared" si="118"/>
        <v>4271.40588452052</v>
      </c>
      <c r="AL171">
        <f t="shared" si="118"/>
        <v>2847.6039230136803</v>
      </c>
      <c r="AM171">
        <f t="shared" si="118"/>
        <v>2164.1789814903968</v>
      </c>
    </row>
    <row r="172" spans="5:40" x14ac:dyDescent="0.2">
      <c r="F172">
        <v>50</v>
      </c>
      <c r="G172">
        <v>3641.2021586249998</v>
      </c>
      <c r="Z172" s="92"/>
      <c r="AA172">
        <v>70</v>
      </c>
      <c r="AB172">
        <f t="shared" si="117"/>
        <v>302.36219129458874</v>
      </c>
      <c r="AC172">
        <f t="shared" si="116"/>
        <v>66.44409153698588</v>
      </c>
      <c r="AD172">
        <f t="shared" si="112"/>
        <v>0.9492013076712269</v>
      </c>
      <c r="AF172">
        <f t="shared" si="118"/>
        <v>20199.003827243709</v>
      </c>
      <c r="AG172">
        <f t="shared" si="118"/>
        <v>15149.252870432781</v>
      </c>
      <c r="AH172">
        <f t="shared" si="118"/>
        <v>12092.82465973143</v>
      </c>
      <c r="AI172">
        <f t="shared" si="118"/>
        <v>9966.6137305478824</v>
      </c>
      <c r="AJ172">
        <f t="shared" si="118"/>
        <v>6644.4091536985879</v>
      </c>
      <c r="AK172">
        <f t="shared" si="118"/>
        <v>4983.3068652739412</v>
      </c>
      <c r="AL172">
        <f t="shared" si="118"/>
        <v>3322.204576849294</v>
      </c>
      <c r="AM172">
        <f t="shared" si="118"/>
        <v>2524.8754784054636</v>
      </c>
    </row>
    <row r="173" spans="5:40" x14ac:dyDescent="0.2">
      <c r="F173">
        <v>60</v>
      </c>
      <c r="G173">
        <v>4369.4425903499996</v>
      </c>
      <c r="Z173" s="92"/>
      <c r="AA173">
        <v>80</v>
      </c>
      <c r="AB173">
        <f t="shared" si="117"/>
        <v>345.55679005095851</v>
      </c>
      <c r="AC173">
        <f t="shared" si="116"/>
        <v>75.936104613698134</v>
      </c>
      <c r="AD173">
        <f t="shared" si="112"/>
        <v>0.94920130767122668</v>
      </c>
      <c r="AF173">
        <f t="shared" si="118"/>
        <v>23084.575802564232</v>
      </c>
      <c r="AG173">
        <f t="shared" si="118"/>
        <v>17313.431851923175</v>
      </c>
      <c r="AH173">
        <f t="shared" si="118"/>
        <v>13820.37103969306</v>
      </c>
      <c r="AI173">
        <f t="shared" si="118"/>
        <v>11390.415692054719</v>
      </c>
      <c r="AJ173">
        <f t="shared" si="118"/>
        <v>7593.6104613698135</v>
      </c>
      <c r="AK173">
        <f t="shared" si="118"/>
        <v>5695.2078460273597</v>
      </c>
      <c r="AL173">
        <f t="shared" si="118"/>
        <v>3796.8052306849067</v>
      </c>
      <c r="AM173">
        <f t="shared" si="118"/>
        <v>2885.571975320529</v>
      </c>
    </row>
    <row r="174" spans="5:40" x14ac:dyDescent="0.2">
      <c r="F174">
        <v>70</v>
      </c>
      <c r="G174">
        <v>5097.6830220749998</v>
      </c>
      <c r="Z174" s="92">
        <v>50</v>
      </c>
      <c r="AA174">
        <v>5</v>
      </c>
      <c r="AB174">
        <f>1.60934*AA174*($AP$119/1000)</f>
        <v>35.930422355345662</v>
      </c>
      <c r="AC174">
        <f t="shared" si="116"/>
        <v>7.8957103125872097</v>
      </c>
      <c r="AD174">
        <f t="shared" si="112"/>
        <v>1.5791420625174419</v>
      </c>
      <c r="AF174">
        <f t="shared" si="118"/>
        <v>2400.2959350265119</v>
      </c>
      <c r="AG174">
        <f t="shared" si="118"/>
        <v>1800.2219512698839</v>
      </c>
      <c r="AH174">
        <f t="shared" si="118"/>
        <v>1437.0192768908721</v>
      </c>
      <c r="AI174">
        <f t="shared" si="118"/>
        <v>1184.3565468880815</v>
      </c>
      <c r="AJ174">
        <f t="shared" si="118"/>
        <v>789.57103125872095</v>
      </c>
      <c r="AK174">
        <f t="shared" si="118"/>
        <v>592.17827344404077</v>
      </c>
      <c r="AL174">
        <f t="shared" si="118"/>
        <v>394.78551562936048</v>
      </c>
      <c r="AM174">
        <f t="shared" si="118"/>
        <v>300.03699187831398</v>
      </c>
    </row>
    <row r="175" spans="5:40" x14ac:dyDescent="0.2">
      <c r="F175">
        <v>80</v>
      </c>
      <c r="G175">
        <v>5825.9234537999992</v>
      </c>
      <c r="Z175" s="92"/>
      <c r="AA175">
        <v>10</v>
      </c>
      <c r="AB175">
        <f t="shared" ref="AB175:AB182" si="119">1.60934*AA175*($AP$119/1000)</f>
        <v>71.860844710691325</v>
      </c>
      <c r="AC175">
        <f t="shared" si="116"/>
        <v>15.791420625174419</v>
      </c>
      <c r="AD175">
        <f t="shared" si="112"/>
        <v>1.5791420625174419</v>
      </c>
      <c r="AF175">
        <f t="shared" si="118"/>
        <v>4800.5918700530237</v>
      </c>
      <c r="AG175">
        <f t="shared" si="118"/>
        <v>3600.4439025397678</v>
      </c>
      <c r="AH175">
        <f t="shared" si="118"/>
        <v>2874.0385537817442</v>
      </c>
      <c r="AI175">
        <f t="shared" si="118"/>
        <v>2368.7130937761631</v>
      </c>
      <c r="AJ175">
        <f t="shared" si="118"/>
        <v>1579.1420625174419</v>
      </c>
      <c r="AK175">
        <f t="shared" si="118"/>
        <v>1184.3565468880815</v>
      </c>
      <c r="AL175">
        <f t="shared" si="118"/>
        <v>789.57103125872095</v>
      </c>
      <c r="AM175">
        <f t="shared" si="118"/>
        <v>600.07398375662797</v>
      </c>
    </row>
    <row r="176" spans="5:40" x14ac:dyDescent="0.2">
      <c r="E176">
        <v>30</v>
      </c>
      <c r="F176">
        <v>5</v>
      </c>
      <c r="G176">
        <v>212.19147899999999</v>
      </c>
      <c r="Z176" s="92"/>
      <c r="AA176">
        <v>20</v>
      </c>
      <c r="AB176">
        <f t="shared" si="119"/>
        <v>143.72168942138265</v>
      </c>
      <c r="AC176">
        <f t="shared" si="116"/>
        <v>31.582841250348839</v>
      </c>
      <c r="AD176">
        <f t="shared" si="112"/>
        <v>1.5791420625174419</v>
      </c>
      <c r="AF176">
        <f t="shared" si="118"/>
        <v>9601.1837401060475</v>
      </c>
      <c r="AG176">
        <f t="shared" si="118"/>
        <v>7200.8878050795356</v>
      </c>
      <c r="AH176">
        <f t="shared" si="118"/>
        <v>5748.0771075634884</v>
      </c>
      <c r="AI176">
        <f t="shared" si="118"/>
        <v>4737.4261875523262</v>
      </c>
      <c r="AJ176">
        <f t="shared" si="118"/>
        <v>3158.2841250348838</v>
      </c>
      <c r="AK176">
        <f t="shared" si="118"/>
        <v>2368.7130937761631</v>
      </c>
      <c r="AL176">
        <f t="shared" si="118"/>
        <v>1579.1420625174419</v>
      </c>
      <c r="AM176">
        <f t="shared" si="118"/>
        <v>1200.1479675132559</v>
      </c>
    </row>
    <row r="177" spans="5:39" x14ac:dyDescent="0.2">
      <c r="F177">
        <v>10</v>
      </c>
      <c r="G177">
        <v>424.38295799999997</v>
      </c>
      <c r="Z177" s="92"/>
      <c r="AA177">
        <v>30</v>
      </c>
      <c r="AB177">
        <f t="shared" si="119"/>
        <v>215.58253413207399</v>
      </c>
      <c r="AC177">
        <f t="shared" si="116"/>
        <v>47.37426187552326</v>
      </c>
      <c r="AD177">
        <f t="shared" si="112"/>
        <v>1.5791420625174419</v>
      </c>
      <c r="AF177">
        <f t="shared" si="118"/>
        <v>14401.775610159071</v>
      </c>
      <c r="AG177">
        <f t="shared" si="118"/>
        <v>10801.331707619303</v>
      </c>
      <c r="AH177">
        <f t="shared" si="118"/>
        <v>8622.1156613452331</v>
      </c>
      <c r="AI177">
        <f t="shared" si="118"/>
        <v>7106.1392813284892</v>
      </c>
      <c r="AJ177">
        <f t="shared" si="118"/>
        <v>4737.4261875523262</v>
      </c>
      <c r="AK177">
        <f t="shared" si="118"/>
        <v>3553.0696406642446</v>
      </c>
      <c r="AL177">
        <f t="shared" si="118"/>
        <v>2368.7130937761631</v>
      </c>
      <c r="AM177">
        <f t="shared" si="118"/>
        <v>1800.2219512698839</v>
      </c>
    </row>
    <row r="178" spans="5:39" x14ac:dyDescent="0.2">
      <c r="F178">
        <v>20</v>
      </c>
      <c r="G178">
        <v>848.76591599999995</v>
      </c>
      <c r="Z178" s="92"/>
      <c r="AA178">
        <v>40</v>
      </c>
      <c r="AB178">
        <f t="shared" si="119"/>
        <v>287.4433788427653</v>
      </c>
      <c r="AC178">
        <f t="shared" si="116"/>
        <v>63.165682500697677</v>
      </c>
      <c r="AD178">
        <f t="shared" si="112"/>
        <v>1.5791420625174419</v>
      </c>
      <c r="AF178">
        <f t="shared" si="118"/>
        <v>19202.367480212095</v>
      </c>
      <c r="AG178">
        <f t="shared" si="118"/>
        <v>14401.775610159071</v>
      </c>
      <c r="AH178">
        <f t="shared" si="118"/>
        <v>11496.154215126977</v>
      </c>
      <c r="AI178">
        <f t="shared" si="118"/>
        <v>9474.8523751046523</v>
      </c>
      <c r="AJ178">
        <f t="shared" si="118"/>
        <v>6316.5682500697676</v>
      </c>
      <c r="AK178">
        <f t="shared" si="118"/>
        <v>4737.4261875523262</v>
      </c>
      <c r="AL178">
        <f t="shared" si="118"/>
        <v>3158.2841250348838</v>
      </c>
      <c r="AM178">
        <f t="shared" si="118"/>
        <v>2400.2959350265119</v>
      </c>
    </row>
    <row r="179" spans="5:39" x14ac:dyDescent="0.2">
      <c r="F179">
        <v>30</v>
      </c>
      <c r="G179">
        <v>1273.148874</v>
      </c>
      <c r="Z179" s="92"/>
      <c r="AA179">
        <v>50</v>
      </c>
      <c r="AB179">
        <f t="shared" si="119"/>
        <v>359.30422355345661</v>
      </c>
      <c r="AC179">
        <f t="shared" si="116"/>
        <v>78.957103125872095</v>
      </c>
      <c r="AD179">
        <f t="shared" si="112"/>
        <v>1.5791420625174419</v>
      </c>
      <c r="AF179">
        <f t="shared" si="118"/>
        <v>24002.959350265119</v>
      </c>
      <c r="AG179">
        <f t="shared" si="118"/>
        <v>18002.219512698837</v>
      </c>
      <c r="AH179">
        <f t="shared" si="118"/>
        <v>14370.192768908721</v>
      </c>
      <c r="AI179">
        <f t="shared" si="118"/>
        <v>11843.565468880814</v>
      </c>
      <c r="AJ179">
        <f t="shared" si="118"/>
        <v>7895.710312587209</v>
      </c>
      <c r="AK179">
        <f t="shared" si="118"/>
        <v>5921.7827344404068</v>
      </c>
      <c r="AL179">
        <f t="shared" si="118"/>
        <v>3947.8551562936045</v>
      </c>
      <c r="AM179">
        <f t="shared" si="118"/>
        <v>3000.3699187831398</v>
      </c>
    </row>
    <row r="180" spans="5:39" x14ac:dyDescent="0.2">
      <c r="F180">
        <v>40</v>
      </c>
      <c r="G180">
        <v>1697.5318319999999</v>
      </c>
      <c r="Z180" s="92"/>
      <c r="AA180">
        <v>60</v>
      </c>
      <c r="AB180">
        <f t="shared" si="119"/>
        <v>431.16506826414798</v>
      </c>
      <c r="AC180">
        <f t="shared" si="116"/>
        <v>94.74852375104652</v>
      </c>
      <c r="AD180">
        <f t="shared" si="112"/>
        <v>1.5791420625174419</v>
      </c>
      <c r="AF180">
        <f t="shared" si="118"/>
        <v>28803.551220318142</v>
      </c>
      <c r="AG180">
        <f t="shared" si="118"/>
        <v>21602.663415238607</v>
      </c>
      <c r="AH180">
        <f t="shared" si="118"/>
        <v>17244.231322690466</v>
      </c>
      <c r="AI180">
        <f t="shared" si="118"/>
        <v>14212.278562656978</v>
      </c>
      <c r="AJ180">
        <f t="shared" si="118"/>
        <v>9474.8523751046523</v>
      </c>
      <c r="AK180">
        <f t="shared" si="118"/>
        <v>7106.1392813284892</v>
      </c>
      <c r="AL180">
        <f t="shared" si="118"/>
        <v>4737.4261875523262</v>
      </c>
      <c r="AM180">
        <f t="shared" si="118"/>
        <v>3600.4439025397678</v>
      </c>
    </row>
    <row r="181" spans="5:39" x14ac:dyDescent="0.2">
      <c r="F181">
        <v>50</v>
      </c>
      <c r="G181">
        <v>2121.9147899999998</v>
      </c>
      <c r="Z181" s="92"/>
      <c r="AA181">
        <v>70</v>
      </c>
      <c r="AB181">
        <f t="shared" si="119"/>
        <v>503.02591297483929</v>
      </c>
      <c r="AC181">
        <f t="shared" si="116"/>
        <v>110.53994437622093</v>
      </c>
      <c r="AD181">
        <f t="shared" si="112"/>
        <v>1.5791420625174419</v>
      </c>
      <c r="AF181">
        <f t="shared" si="118"/>
        <v>33604.143090371166</v>
      </c>
      <c r="AG181">
        <f t="shared" si="118"/>
        <v>25203.107317778373</v>
      </c>
      <c r="AH181">
        <f t="shared" si="118"/>
        <v>20118.269876472208</v>
      </c>
      <c r="AI181">
        <f t="shared" si="118"/>
        <v>16580.99165643314</v>
      </c>
      <c r="AJ181">
        <f t="shared" si="118"/>
        <v>11053.994437622094</v>
      </c>
      <c r="AK181">
        <f t="shared" si="118"/>
        <v>8290.4958282165699</v>
      </c>
      <c r="AL181">
        <f t="shared" si="118"/>
        <v>5526.9972188110469</v>
      </c>
      <c r="AM181">
        <f t="shared" si="118"/>
        <v>4200.5178862963958</v>
      </c>
    </row>
    <row r="182" spans="5:39" x14ac:dyDescent="0.2">
      <c r="F182">
        <v>60</v>
      </c>
      <c r="G182">
        <v>2546.297748</v>
      </c>
      <c r="Z182" s="92"/>
      <c r="AA182">
        <v>80</v>
      </c>
      <c r="AB182">
        <f t="shared" si="119"/>
        <v>574.8867576855306</v>
      </c>
      <c r="AC182">
        <f t="shared" si="116"/>
        <v>126.33136500139535</v>
      </c>
      <c r="AD182">
        <f t="shared" si="112"/>
        <v>1.5791420625174419</v>
      </c>
      <c r="AF182">
        <f t="shared" si="118"/>
        <v>38404.73496042419</v>
      </c>
      <c r="AG182">
        <f t="shared" si="118"/>
        <v>28803.551220318142</v>
      </c>
      <c r="AH182">
        <f t="shared" si="118"/>
        <v>22992.308430253954</v>
      </c>
      <c r="AI182">
        <f t="shared" si="118"/>
        <v>18949.704750209305</v>
      </c>
      <c r="AJ182">
        <f t="shared" si="118"/>
        <v>12633.136500139535</v>
      </c>
      <c r="AK182">
        <f t="shared" si="118"/>
        <v>9474.8523751046523</v>
      </c>
      <c r="AL182">
        <f t="shared" si="118"/>
        <v>6316.5682500697676</v>
      </c>
      <c r="AM182">
        <f t="shared" si="118"/>
        <v>4800.5918700530237</v>
      </c>
    </row>
    <row r="183" spans="5:39" x14ac:dyDescent="0.2">
      <c r="F183">
        <v>70</v>
      </c>
      <c r="G183">
        <v>2970.6807060000001</v>
      </c>
      <c r="Z183" s="92">
        <v>75</v>
      </c>
      <c r="AA183">
        <v>5</v>
      </c>
      <c r="AB183">
        <f>1.60934*AA183*($AP$120/1000)</f>
        <v>39.772529048502612</v>
      </c>
      <c r="AC183">
        <f t="shared" si="116"/>
        <v>8.7400132584084496</v>
      </c>
      <c r="AD183">
        <f t="shared" si="112"/>
        <v>1.74800265168169</v>
      </c>
      <c r="AE183">
        <f t="shared" si="118"/>
        <v>3985.4460458342528</v>
      </c>
      <c r="AF183">
        <f t="shared" si="118"/>
        <v>2656.9640305561688</v>
      </c>
      <c r="AG183">
        <f t="shared" si="118"/>
        <v>1992.7230229171264</v>
      </c>
      <c r="AH183">
        <f t="shared" si="118"/>
        <v>1590.6824130303378</v>
      </c>
      <c r="AI183">
        <f t="shared" si="118"/>
        <v>1311.0019887612675</v>
      </c>
      <c r="AJ183">
        <f t="shared" si="118"/>
        <v>874.00132584084497</v>
      </c>
      <c r="AK183">
        <f t="shared" si="118"/>
        <v>655.50099438063376</v>
      </c>
      <c r="AL183">
        <f t="shared" si="118"/>
        <v>437.00066292042249</v>
      </c>
    </row>
    <row r="184" spans="5:39" x14ac:dyDescent="0.2">
      <c r="F184">
        <v>80</v>
      </c>
      <c r="G184">
        <v>3395.0636639999998</v>
      </c>
      <c r="Z184" s="92"/>
      <c r="AA184">
        <v>10</v>
      </c>
      <c r="AB184">
        <f t="shared" ref="AB184:AB191" si="120">1.60934*AA184*($AP$120/1000)</f>
        <v>79.545058097005224</v>
      </c>
      <c r="AC184">
        <f t="shared" si="116"/>
        <v>17.480026516816899</v>
      </c>
      <c r="AD184">
        <f t="shared" si="112"/>
        <v>1.74800265168169</v>
      </c>
      <c r="AE184">
        <f t="shared" si="118"/>
        <v>7970.8920916685056</v>
      </c>
      <c r="AF184">
        <f t="shared" si="118"/>
        <v>5313.9280611123377</v>
      </c>
      <c r="AG184">
        <f t="shared" si="118"/>
        <v>3985.4460458342528</v>
      </c>
      <c r="AH184">
        <f t="shared" si="118"/>
        <v>3181.3648260606756</v>
      </c>
      <c r="AI184">
        <f t="shared" si="118"/>
        <v>2622.003977522535</v>
      </c>
      <c r="AJ184">
        <f t="shared" si="118"/>
        <v>1748.0026516816899</v>
      </c>
      <c r="AK184">
        <f t="shared" si="118"/>
        <v>1311.0019887612675</v>
      </c>
      <c r="AL184">
        <f t="shared" si="118"/>
        <v>874.00132584084497</v>
      </c>
    </row>
    <row r="185" spans="5:39" x14ac:dyDescent="0.2">
      <c r="E185">
        <v>50</v>
      </c>
      <c r="F185">
        <v>5</v>
      </c>
      <c r="G185">
        <v>318.28721849999999</v>
      </c>
      <c r="Z185" s="92"/>
      <c r="AA185">
        <v>20</v>
      </c>
      <c r="AB185">
        <f t="shared" si="120"/>
        <v>159.09011619401045</v>
      </c>
      <c r="AC185">
        <f t="shared" si="116"/>
        <v>34.960053033633798</v>
      </c>
      <c r="AD185">
        <f t="shared" si="112"/>
        <v>1.74800265168169</v>
      </c>
      <c r="AE185">
        <f t="shared" si="118"/>
        <v>15941.784183337011</v>
      </c>
      <c r="AF185">
        <f t="shared" si="118"/>
        <v>10627.856122224675</v>
      </c>
      <c r="AG185">
        <f t="shared" si="118"/>
        <v>7970.8920916685056</v>
      </c>
      <c r="AH185">
        <f t="shared" si="118"/>
        <v>6362.7296521213511</v>
      </c>
      <c r="AI185">
        <f t="shared" si="118"/>
        <v>5244.00795504507</v>
      </c>
      <c r="AJ185">
        <f t="shared" si="118"/>
        <v>3496.0053033633799</v>
      </c>
      <c r="AK185">
        <f t="shared" si="118"/>
        <v>2622.003977522535</v>
      </c>
      <c r="AL185">
        <f t="shared" si="118"/>
        <v>1748.0026516816899</v>
      </c>
    </row>
    <row r="186" spans="5:39" x14ac:dyDescent="0.2">
      <c r="F186">
        <v>10</v>
      </c>
      <c r="G186">
        <v>636.57443699999999</v>
      </c>
      <c r="Z186" s="92"/>
      <c r="AA186">
        <v>30</v>
      </c>
      <c r="AB186">
        <f t="shared" si="120"/>
        <v>238.63517429101569</v>
      </c>
      <c r="AC186">
        <f t="shared" si="116"/>
        <v>52.440079550450697</v>
      </c>
      <c r="AD186">
        <f t="shared" si="112"/>
        <v>1.74800265168169</v>
      </c>
      <c r="AE186">
        <f t="shared" si="118"/>
        <v>23912.676275005517</v>
      </c>
      <c r="AF186">
        <f t="shared" si="118"/>
        <v>15941.784183337011</v>
      </c>
      <c r="AG186">
        <f t="shared" si="118"/>
        <v>11956.338137502758</v>
      </c>
      <c r="AH186">
        <f t="shared" si="118"/>
        <v>9544.0944781820272</v>
      </c>
      <c r="AI186">
        <f t="shared" si="118"/>
        <v>7866.0119325676042</v>
      </c>
      <c r="AJ186">
        <f t="shared" si="118"/>
        <v>5244.00795504507</v>
      </c>
      <c r="AK186">
        <f t="shared" si="118"/>
        <v>3933.0059662838021</v>
      </c>
      <c r="AL186">
        <f t="shared" si="118"/>
        <v>2622.003977522535</v>
      </c>
    </row>
    <row r="187" spans="5:39" x14ac:dyDescent="0.2">
      <c r="F187">
        <v>20</v>
      </c>
      <c r="G187">
        <v>1273.148874</v>
      </c>
      <c r="Z187" s="92"/>
      <c r="AA187">
        <v>40</v>
      </c>
      <c r="AB187">
        <f t="shared" si="120"/>
        <v>318.1802323880209</v>
      </c>
      <c r="AC187">
        <f t="shared" si="116"/>
        <v>69.920106067267596</v>
      </c>
      <c r="AD187">
        <f t="shared" si="112"/>
        <v>1.74800265168169</v>
      </c>
      <c r="AE187">
        <f t="shared" si="118"/>
        <v>31883.568366674022</v>
      </c>
      <c r="AF187">
        <f t="shared" si="118"/>
        <v>21255.712244449351</v>
      </c>
      <c r="AG187">
        <f t="shared" si="118"/>
        <v>15941.784183337011</v>
      </c>
      <c r="AH187">
        <f t="shared" si="118"/>
        <v>12725.459304242702</v>
      </c>
      <c r="AI187">
        <f t="shared" si="118"/>
        <v>10488.01591009014</v>
      </c>
      <c r="AJ187">
        <f t="shared" si="118"/>
        <v>6992.0106067267598</v>
      </c>
      <c r="AK187">
        <f t="shared" si="118"/>
        <v>5244.00795504507</v>
      </c>
      <c r="AL187">
        <f t="shared" si="118"/>
        <v>3496.0053033633799</v>
      </c>
    </row>
    <row r="188" spans="5:39" x14ac:dyDescent="0.2">
      <c r="F188">
        <v>30</v>
      </c>
      <c r="G188">
        <v>1909.7233109999997</v>
      </c>
      <c r="Z188" s="92"/>
      <c r="AA188">
        <v>50</v>
      </c>
      <c r="AB188">
        <f t="shared" si="120"/>
        <v>397.72529048502616</v>
      </c>
      <c r="AC188">
        <f t="shared" si="116"/>
        <v>87.400132584084503</v>
      </c>
      <c r="AD188">
        <f t="shared" si="112"/>
        <v>1.74800265168169</v>
      </c>
      <c r="AE188">
        <f t="shared" si="118"/>
        <v>39854.460458342532</v>
      </c>
      <c r="AF188">
        <f t="shared" si="118"/>
        <v>26569.64030556169</v>
      </c>
      <c r="AG188">
        <f t="shared" si="118"/>
        <v>19927.230229171266</v>
      </c>
      <c r="AH188">
        <f t="shared" si="118"/>
        <v>15906.824130303379</v>
      </c>
      <c r="AI188">
        <f t="shared" si="118"/>
        <v>13110.019887612676</v>
      </c>
      <c r="AJ188">
        <f t="shared" si="118"/>
        <v>8740.0132584084495</v>
      </c>
      <c r="AK188">
        <f t="shared" si="118"/>
        <v>6555.009943806338</v>
      </c>
      <c r="AL188">
        <f t="shared" si="118"/>
        <v>4370.0066292042247</v>
      </c>
    </row>
    <row r="189" spans="5:39" x14ac:dyDescent="0.2">
      <c r="F189">
        <v>40</v>
      </c>
      <c r="G189">
        <v>2546.297748</v>
      </c>
      <c r="Z189" s="92"/>
      <c r="AA189">
        <v>60</v>
      </c>
      <c r="AB189">
        <f t="shared" si="120"/>
        <v>477.27034858203137</v>
      </c>
      <c r="AC189">
        <f t="shared" si="116"/>
        <v>104.88015910090139</v>
      </c>
      <c r="AD189">
        <f t="shared" si="112"/>
        <v>1.74800265168169</v>
      </c>
      <c r="AE189">
        <f t="shared" si="118"/>
        <v>47825.352550011034</v>
      </c>
      <c r="AF189">
        <f t="shared" si="118"/>
        <v>31883.568366674022</v>
      </c>
      <c r="AG189">
        <f t="shared" si="118"/>
        <v>23912.676275005517</v>
      </c>
      <c r="AH189">
        <f t="shared" si="118"/>
        <v>19088.188956364054</v>
      </c>
      <c r="AI189">
        <f t="shared" si="118"/>
        <v>15732.023865135208</v>
      </c>
      <c r="AJ189">
        <f t="shared" si="118"/>
        <v>10488.01591009014</v>
      </c>
      <c r="AK189">
        <f t="shared" si="118"/>
        <v>7866.0119325676042</v>
      </c>
      <c r="AL189">
        <f t="shared" si="118"/>
        <v>5244.00795504507</v>
      </c>
    </row>
    <row r="190" spans="5:39" x14ac:dyDescent="0.2">
      <c r="F190">
        <v>50</v>
      </c>
      <c r="G190">
        <v>3182.8721849999997</v>
      </c>
      <c r="Z190" s="92"/>
      <c r="AA190">
        <v>70</v>
      </c>
      <c r="AB190">
        <f t="shared" si="120"/>
        <v>556.81540667903664</v>
      </c>
      <c r="AC190">
        <f t="shared" si="116"/>
        <v>122.3601856177183</v>
      </c>
      <c r="AD190">
        <f t="shared" si="112"/>
        <v>1.74800265168169</v>
      </c>
      <c r="AE190">
        <f t="shared" si="118"/>
        <v>55796.244641679543</v>
      </c>
      <c r="AF190">
        <f t="shared" si="118"/>
        <v>37197.496427786362</v>
      </c>
      <c r="AG190">
        <f t="shared" si="118"/>
        <v>27898.122320839771</v>
      </c>
      <c r="AH190">
        <f t="shared" si="118"/>
        <v>22269.553782424729</v>
      </c>
      <c r="AI190">
        <f t="shared" si="118"/>
        <v>18354.027842657746</v>
      </c>
      <c r="AJ190">
        <f t="shared" si="118"/>
        <v>12236.018561771831</v>
      </c>
      <c r="AK190">
        <f t="shared" si="118"/>
        <v>9177.013921328873</v>
      </c>
      <c r="AL190">
        <f t="shared" si="118"/>
        <v>6118.0092808859154</v>
      </c>
    </row>
    <row r="191" spans="5:39" x14ac:dyDescent="0.2">
      <c r="F191">
        <v>60</v>
      </c>
      <c r="G191">
        <v>3819.4466219999995</v>
      </c>
      <c r="Z191" s="92"/>
      <c r="AA191">
        <v>80</v>
      </c>
      <c r="AB191">
        <f t="shared" si="120"/>
        <v>636.36046477604179</v>
      </c>
      <c r="AC191">
        <f t="shared" si="116"/>
        <v>139.84021213453519</v>
      </c>
      <c r="AD191">
        <f t="shared" si="112"/>
        <v>1.74800265168169</v>
      </c>
      <c r="AE191">
        <f t="shared" si="118"/>
        <v>63767.136733348045</v>
      </c>
      <c r="AF191">
        <f t="shared" si="118"/>
        <v>42511.424488898701</v>
      </c>
      <c r="AG191">
        <f t="shared" si="118"/>
        <v>31883.568366674022</v>
      </c>
      <c r="AH191">
        <f t="shared" si="118"/>
        <v>25450.918608485405</v>
      </c>
      <c r="AI191">
        <f t="shared" si="118"/>
        <v>20976.03182018028</v>
      </c>
      <c r="AJ191">
        <f t="shared" si="118"/>
        <v>13984.02121345352</v>
      </c>
      <c r="AK191">
        <f t="shared" si="118"/>
        <v>10488.01591009014</v>
      </c>
      <c r="AL191">
        <f t="shared" si="118"/>
        <v>6992.0106067267598</v>
      </c>
    </row>
    <row r="192" spans="5:39" x14ac:dyDescent="0.2">
      <c r="F192">
        <v>70</v>
      </c>
      <c r="G192">
        <v>4456.0210590000006</v>
      </c>
      <c r="Z192" s="92">
        <v>100</v>
      </c>
      <c r="AA192">
        <v>5</v>
      </c>
      <c r="AB192">
        <f>1.60934*AA192*($AP$121/1000)</f>
        <v>48.007695230318852</v>
      </c>
      <c r="AC192">
        <f t="shared" si="116"/>
        <v>10.549691026862568</v>
      </c>
      <c r="AD192">
        <f t="shared" si="112"/>
        <v>2.1099382053725138</v>
      </c>
      <c r="AE192">
        <f t="shared" si="118"/>
        <v>4810.6591082493314</v>
      </c>
      <c r="AF192">
        <f t="shared" si="118"/>
        <v>3207.1060721662207</v>
      </c>
      <c r="AG192">
        <f t="shared" si="118"/>
        <v>2405.3295541246657</v>
      </c>
      <c r="AH192">
        <f t="shared" si="118"/>
        <v>1920.0437668889874</v>
      </c>
      <c r="AI192">
        <f t="shared" si="118"/>
        <v>1582.4536540293852</v>
      </c>
      <c r="AJ192">
        <f t="shared" si="118"/>
        <v>1054.9691026862567</v>
      </c>
      <c r="AK192">
        <f t="shared" si="118"/>
        <v>791.22682701469262</v>
      </c>
      <c r="AL192">
        <f t="shared" si="118"/>
        <v>527.48455134312837</v>
      </c>
    </row>
    <row r="193" spans="5:38" x14ac:dyDescent="0.2">
      <c r="F193">
        <v>80</v>
      </c>
      <c r="G193">
        <v>5092.5954959999999</v>
      </c>
      <c r="Z193" s="92"/>
      <c r="AA193">
        <v>10</v>
      </c>
      <c r="AB193">
        <f t="shared" ref="AB193:AB200" si="121">1.60934*AA193*($AP$121/1000)</f>
        <v>96.015390460637704</v>
      </c>
      <c r="AC193">
        <f t="shared" si="116"/>
        <v>21.099382053725137</v>
      </c>
      <c r="AD193">
        <f t="shared" si="112"/>
        <v>2.1099382053725138</v>
      </c>
      <c r="AE193">
        <f t="shared" si="118"/>
        <v>9621.3182164986629</v>
      </c>
      <c r="AF193">
        <f t="shared" si="118"/>
        <v>6414.2121443324413</v>
      </c>
      <c r="AG193">
        <f t="shared" si="118"/>
        <v>4810.6591082493314</v>
      </c>
      <c r="AH193">
        <f t="shared" si="118"/>
        <v>3840.0875337779748</v>
      </c>
      <c r="AI193">
        <f t="shared" si="118"/>
        <v>3164.9073080587705</v>
      </c>
      <c r="AJ193">
        <f t="shared" si="118"/>
        <v>2109.9382053725135</v>
      </c>
      <c r="AK193">
        <f t="shared" si="118"/>
        <v>1582.4536540293852</v>
      </c>
      <c r="AL193">
        <f t="shared" si="118"/>
        <v>1054.9691026862567</v>
      </c>
    </row>
    <row r="194" spans="5:38" x14ac:dyDescent="0.2">
      <c r="E194">
        <v>75</v>
      </c>
      <c r="F194">
        <v>5</v>
      </c>
      <c r="G194">
        <v>397.85902312499996</v>
      </c>
      <c r="Z194" s="92"/>
      <c r="AA194">
        <v>20</v>
      </c>
      <c r="AB194">
        <f t="shared" si="121"/>
        <v>192.03078092127541</v>
      </c>
      <c r="AC194">
        <f t="shared" si="116"/>
        <v>42.198764107450273</v>
      </c>
      <c r="AD194">
        <f t="shared" si="112"/>
        <v>2.1099382053725138</v>
      </c>
      <c r="AE194">
        <f t="shared" si="118"/>
        <v>19242.636432997326</v>
      </c>
      <c r="AF194">
        <f>ROUNDDOWN(AF$137*25,0)*$AC194</f>
        <v>12828.424288664883</v>
      </c>
      <c r="AG194">
        <f t="shared" ref="AF194:AL200" si="122">ROUNDDOWN(AG$137*25,0)*$AC194</f>
        <v>9621.3182164986629</v>
      </c>
      <c r="AH194">
        <f t="shared" si="122"/>
        <v>7680.1750675559497</v>
      </c>
      <c r="AI194">
        <f t="shared" si="122"/>
        <v>6329.8146161175409</v>
      </c>
      <c r="AJ194">
        <f t="shared" si="122"/>
        <v>4219.876410745027</v>
      </c>
      <c r="AK194">
        <f t="shared" si="122"/>
        <v>3164.9073080587705</v>
      </c>
      <c r="AL194">
        <f t="shared" si="122"/>
        <v>2109.9382053725135</v>
      </c>
    </row>
    <row r="195" spans="5:38" x14ac:dyDescent="0.2">
      <c r="F195">
        <v>10</v>
      </c>
      <c r="G195">
        <v>795.71804624999993</v>
      </c>
      <c r="Z195" s="92"/>
      <c r="AA195">
        <v>30</v>
      </c>
      <c r="AB195">
        <f t="shared" si="121"/>
        <v>288.04617138191315</v>
      </c>
      <c r="AC195">
        <f t="shared" si="116"/>
        <v>63.298146161175417</v>
      </c>
      <c r="AD195">
        <f t="shared" si="112"/>
        <v>2.1099382053725138</v>
      </c>
      <c r="AE195">
        <f t="shared" ref="AE195:AE200" si="123">ROUNDDOWN(AE$137*25,0)*$AC195</f>
        <v>28863.95464949599</v>
      </c>
      <c r="AF195">
        <f t="shared" si="122"/>
        <v>19242.636432997326</v>
      </c>
      <c r="AG195">
        <f t="shared" si="122"/>
        <v>14431.977324747995</v>
      </c>
      <c r="AH195">
        <f t="shared" si="122"/>
        <v>11520.262601333927</v>
      </c>
      <c r="AI195">
        <f t="shared" si="122"/>
        <v>9494.7219241763123</v>
      </c>
      <c r="AJ195">
        <f t="shared" si="122"/>
        <v>6329.8146161175418</v>
      </c>
      <c r="AK195">
        <f t="shared" si="122"/>
        <v>4747.3609620881562</v>
      </c>
      <c r="AL195">
        <f t="shared" si="122"/>
        <v>3164.9073080587709</v>
      </c>
    </row>
    <row r="196" spans="5:38" x14ac:dyDescent="0.2">
      <c r="F196">
        <v>20</v>
      </c>
      <c r="G196">
        <v>1591.4360924999999</v>
      </c>
      <c r="Z196" s="92"/>
      <c r="AA196">
        <v>40</v>
      </c>
      <c r="AB196">
        <f t="shared" si="121"/>
        <v>384.06156184255082</v>
      </c>
      <c r="AC196">
        <f>AB196*$F$61</f>
        <v>84.397528214900547</v>
      </c>
      <c r="AD196">
        <f t="shared" si="112"/>
        <v>2.1099382053725138</v>
      </c>
      <c r="AE196">
        <f t="shared" si="123"/>
        <v>38485.272865994652</v>
      </c>
      <c r="AF196">
        <f t="shared" si="122"/>
        <v>25656.848577329765</v>
      </c>
      <c r="AG196">
        <f t="shared" si="122"/>
        <v>19242.636432997326</v>
      </c>
      <c r="AH196">
        <f t="shared" si="122"/>
        <v>15360.350135111899</v>
      </c>
      <c r="AI196">
        <f>ROUNDDOWN(AI$137*25,0)*$AC196</f>
        <v>12659.629232235082</v>
      </c>
      <c r="AJ196">
        <f>ROUNDDOWN(AJ$137*25,0)*$AC196</f>
        <v>8439.752821490054</v>
      </c>
      <c r="AK196">
        <f>ROUNDDOWN(AK$137*25,0)*$AC196</f>
        <v>6329.8146161175409</v>
      </c>
      <c r="AL196">
        <f>ROUNDDOWN(AL$137*25,0)*$AC196</f>
        <v>4219.876410745027</v>
      </c>
    </row>
    <row r="197" spans="5:38" x14ac:dyDescent="0.2">
      <c r="F197">
        <v>30</v>
      </c>
      <c r="G197">
        <v>2387.1541387499997</v>
      </c>
      <c r="Z197" s="92"/>
      <c r="AA197">
        <v>50</v>
      </c>
      <c r="AB197">
        <f t="shared" si="121"/>
        <v>480.07695230318859</v>
      </c>
      <c r="AC197">
        <f t="shared" si="116"/>
        <v>105.4969102686257</v>
      </c>
      <c r="AD197">
        <f t="shared" si="112"/>
        <v>2.1099382053725138</v>
      </c>
      <c r="AE197">
        <f t="shared" si="123"/>
        <v>48106.591082493316</v>
      </c>
      <c r="AF197">
        <f t="shared" si="122"/>
        <v>32071.060721662212</v>
      </c>
      <c r="AG197">
        <f t="shared" si="122"/>
        <v>24053.295541246658</v>
      </c>
      <c r="AH197">
        <f t="shared" si="122"/>
        <v>19200.437668889877</v>
      </c>
      <c r="AI197">
        <f t="shared" si="122"/>
        <v>15824.536540293855</v>
      </c>
      <c r="AJ197">
        <f t="shared" si="122"/>
        <v>10549.691026862569</v>
      </c>
      <c r="AK197">
        <f t="shared" si="122"/>
        <v>7912.2682701469275</v>
      </c>
      <c r="AL197">
        <f t="shared" si="122"/>
        <v>5274.8455134312844</v>
      </c>
    </row>
    <row r="198" spans="5:38" x14ac:dyDescent="0.2">
      <c r="F198">
        <v>40</v>
      </c>
      <c r="G198">
        <v>3182.8721849999997</v>
      </c>
      <c r="Z198" s="92"/>
      <c r="AA198">
        <v>60</v>
      </c>
      <c r="AB198">
        <f t="shared" si="121"/>
        <v>576.09234276382631</v>
      </c>
      <c r="AC198">
        <f t="shared" si="116"/>
        <v>126.59629232235083</v>
      </c>
      <c r="AD198">
        <f t="shared" si="112"/>
        <v>2.1099382053725138</v>
      </c>
      <c r="AE198">
        <f t="shared" si="123"/>
        <v>57727.909298991981</v>
      </c>
      <c r="AF198">
        <f t="shared" si="122"/>
        <v>38485.272865994652</v>
      </c>
      <c r="AG198">
        <f t="shared" si="122"/>
        <v>28863.95464949599</v>
      </c>
      <c r="AH198">
        <f t="shared" si="122"/>
        <v>23040.525202667854</v>
      </c>
      <c r="AI198">
        <f t="shared" si="122"/>
        <v>18989.443848352625</v>
      </c>
      <c r="AJ198">
        <f t="shared" si="122"/>
        <v>12659.629232235084</v>
      </c>
      <c r="AK198">
        <f t="shared" si="122"/>
        <v>9494.7219241763123</v>
      </c>
      <c r="AL198">
        <f t="shared" si="122"/>
        <v>6329.8146161175418</v>
      </c>
    </row>
    <row r="199" spans="5:38" x14ac:dyDescent="0.2">
      <c r="F199">
        <v>50</v>
      </c>
      <c r="G199">
        <v>3978.5902312499998</v>
      </c>
      <c r="Z199" s="92"/>
      <c r="AA199">
        <v>70</v>
      </c>
      <c r="AB199">
        <f t="shared" si="121"/>
        <v>672.10773322446403</v>
      </c>
      <c r="AC199">
        <f t="shared" si="116"/>
        <v>147.69567437607597</v>
      </c>
      <c r="AD199">
        <f t="shared" si="112"/>
        <v>2.1099382053725138</v>
      </c>
      <c r="AE199">
        <f t="shared" si="123"/>
        <v>67349.227515490638</v>
      </c>
      <c r="AF199">
        <f t="shared" si="122"/>
        <v>44899.485010327095</v>
      </c>
      <c r="AG199">
        <f t="shared" si="122"/>
        <v>33674.613757745319</v>
      </c>
      <c r="AH199">
        <f t="shared" si="122"/>
        <v>26880.612736445826</v>
      </c>
      <c r="AI199">
        <f t="shared" si="122"/>
        <v>22154.351156411394</v>
      </c>
      <c r="AJ199">
        <f t="shared" si="122"/>
        <v>14769.567437607597</v>
      </c>
      <c r="AK199">
        <f t="shared" si="122"/>
        <v>11077.175578205697</v>
      </c>
      <c r="AL199">
        <f t="shared" si="122"/>
        <v>7384.7837188037984</v>
      </c>
    </row>
    <row r="200" spans="5:38" x14ac:dyDescent="0.2">
      <c r="F200">
        <v>60</v>
      </c>
      <c r="G200">
        <v>4774.3082774999993</v>
      </c>
      <c r="Z200" s="92"/>
      <c r="AA200">
        <v>80</v>
      </c>
      <c r="AB200">
        <f t="shared" si="121"/>
        <v>768.12312368510163</v>
      </c>
      <c r="AC200">
        <f t="shared" si="116"/>
        <v>168.79505642980109</v>
      </c>
      <c r="AD200">
        <f t="shared" si="112"/>
        <v>2.1099382053725138</v>
      </c>
      <c r="AE200">
        <f t="shared" si="123"/>
        <v>76970.545731989303</v>
      </c>
      <c r="AF200">
        <f t="shared" si="122"/>
        <v>51313.69715465953</v>
      </c>
      <c r="AG200">
        <f t="shared" si="122"/>
        <v>38485.272865994652</v>
      </c>
      <c r="AH200">
        <f t="shared" si="122"/>
        <v>30720.700270223799</v>
      </c>
      <c r="AI200">
        <f t="shared" si="122"/>
        <v>25319.258464470164</v>
      </c>
      <c r="AJ200">
        <f t="shared" si="122"/>
        <v>16879.505642980108</v>
      </c>
      <c r="AK200">
        <f t="shared" si="122"/>
        <v>12659.629232235082</v>
      </c>
      <c r="AL200">
        <f t="shared" si="122"/>
        <v>8439.752821490054</v>
      </c>
    </row>
    <row r="201" spans="5:38" x14ac:dyDescent="0.2">
      <c r="F201">
        <v>70</v>
      </c>
      <c r="G201">
        <v>5570.0263237500003</v>
      </c>
    </row>
    <row r="202" spans="5:38" x14ac:dyDescent="0.2">
      <c r="F202">
        <v>80</v>
      </c>
      <c r="G202">
        <v>6365.7443699999994</v>
      </c>
    </row>
    <row r="203" spans="5:38" x14ac:dyDescent="0.2">
      <c r="E203">
        <v>100</v>
      </c>
      <c r="F203">
        <v>5</v>
      </c>
      <c r="G203">
        <v>530.47869749999995</v>
      </c>
      <c r="H203">
        <v>5.6454550000000001</v>
      </c>
      <c r="I203">
        <v>0.2598335</v>
      </c>
      <c r="K203">
        <f>((H203+I203)/25)*1000+G203/25</f>
        <v>257.43068790000001</v>
      </c>
    </row>
    <row r="204" spans="5:38" x14ac:dyDescent="0.2">
      <c r="F204">
        <v>10</v>
      </c>
      <c r="G204">
        <v>1060.9573949999999</v>
      </c>
      <c r="H204">
        <v>5.6454550000000001</v>
      </c>
      <c r="I204">
        <v>0.2598335</v>
      </c>
      <c r="K204">
        <f t="shared" ref="K204:K211" si="124">((H204+I204)/25)*1000+G204/25</f>
        <v>278.64983580000001</v>
      </c>
    </row>
    <row r="205" spans="5:38" x14ac:dyDescent="0.2">
      <c r="F205">
        <v>20</v>
      </c>
      <c r="G205">
        <v>2121.9147899999998</v>
      </c>
      <c r="H205">
        <v>5.6454550000000001</v>
      </c>
      <c r="I205">
        <v>0.2598335</v>
      </c>
      <c r="K205">
        <f t="shared" si="124"/>
        <v>321.0881316</v>
      </c>
    </row>
    <row r="206" spans="5:38" x14ac:dyDescent="0.2">
      <c r="F206">
        <v>30</v>
      </c>
      <c r="G206">
        <v>3182.8721849999997</v>
      </c>
      <c r="H206">
        <v>5.6454550000000001</v>
      </c>
      <c r="I206">
        <v>0.2598335</v>
      </c>
      <c r="K206">
        <f t="shared" si="124"/>
        <v>363.52642739999999</v>
      </c>
      <c r="Y206" t="s">
        <v>390</v>
      </c>
    </row>
    <row r="207" spans="5:38" x14ac:dyDescent="0.2">
      <c r="F207">
        <v>40</v>
      </c>
      <c r="G207">
        <v>4243.8295799999996</v>
      </c>
      <c r="H207">
        <v>5.6454550000000001</v>
      </c>
      <c r="I207">
        <v>0.2598335</v>
      </c>
      <c r="K207">
        <f t="shared" si="124"/>
        <v>405.96472319999998</v>
      </c>
    </row>
    <row r="208" spans="5:38" x14ac:dyDescent="0.2">
      <c r="F208">
        <v>50</v>
      </c>
      <c r="G208">
        <v>5304.786975</v>
      </c>
      <c r="H208">
        <v>5.6454550000000001</v>
      </c>
      <c r="I208">
        <v>0.2598335</v>
      </c>
      <c r="K208">
        <f t="shared" si="124"/>
        <v>448.40301899999997</v>
      </c>
      <c r="Y208" t="s">
        <v>391</v>
      </c>
    </row>
    <row r="209" spans="6:42" x14ac:dyDescent="0.2">
      <c r="F209">
        <v>60</v>
      </c>
      <c r="G209">
        <v>6365.7443699999994</v>
      </c>
      <c r="H209">
        <v>5.6454550000000001</v>
      </c>
      <c r="I209">
        <v>0.2598335</v>
      </c>
      <c r="K209">
        <f t="shared" si="124"/>
        <v>490.84131479999996</v>
      </c>
      <c r="AO209" t="s">
        <v>397</v>
      </c>
    </row>
    <row r="210" spans="6:42" x14ac:dyDescent="0.2">
      <c r="F210">
        <v>70</v>
      </c>
      <c r="G210">
        <v>7426.7017649999998</v>
      </c>
      <c r="H210">
        <v>5.6454550000000001</v>
      </c>
      <c r="I210">
        <v>0.2598335</v>
      </c>
      <c r="K210">
        <f t="shared" si="124"/>
        <v>533.27961059999996</v>
      </c>
      <c r="Y210" t="s">
        <v>89</v>
      </c>
      <c r="Z210">
        <v>5</v>
      </c>
      <c r="AA210">
        <v>10</v>
      </c>
      <c r="AB210">
        <v>20</v>
      </c>
      <c r="AC210">
        <v>30</v>
      </c>
      <c r="AD210">
        <v>50</v>
      </c>
      <c r="AE210">
        <v>75</v>
      </c>
      <c r="AF210">
        <v>100</v>
      </c>
      <c r="AI210" t="s">
        <v>393</v>
      </c>
      <c r="AJ210">
        <v>1095</v>
      </c>
      <c r="AK210">
        <v>730</v>
      </c>
      <c r="AL210">
        <v>365</v>
      </c>
      <c r="AM210">
        <v>240</v>
      </c>
      <c r="AN210">
        <v>240</v>
      </c>
      <c r="AO210">
        <v>90</v>
      </c>
      <c r="AP210">
        <v>60</v>
      </c>
    </row>
    <row r="211" spans="6:42" x14ac:dyDescent="0.2">
      <c r="F211">
        <v>80</v>
      </c>
      <c r="G211">
        <v>8487.6591599999992</v>
      </c>
      <c r="H211">
        <v>5.6454550000000001</v>
      </c>
      <c r="I211">
        <v>0.2598335</v>
      </c>
      <c r="K211">
        <f t="shared" si="124"/>
        <v>575.71790639999995</v>
      </c>
      <c r="Y211" t="s">
        <v>392</v>
      </c>
      <c r="Z211">
        <f>Z108</f>
        <v>17.4333825</v>
      </c>
      <c r="AA211">
        <f t="shared" ref="AA211:AE211" si="125">AA108</f>
        <v>34.866765000000001</v>
      </c>
      <c r="AB211">
        <f t="shared" si="125"/>
        <v>69.733530000000002</v>
      </c>
      <c r="AC211">
        <f t="shared" si="125"/>
        <v>104.600295</v>
      </c>
      <c r="AD211">
        <f t="shared" si="125"/>
        <v>174.33382499999999</v>
      </c>
      <c r="AE211">
        <f t="shared" si="125"/>
        <v>261.50073750000001</v>
      </c>
      <c r="AF211">
        <f>AF108</f>
        <v>348.66764999999998</v>
      </c>
      <c r="AJ211">
        <f>AJ210/365.25</f>
        <v>2.9979466119096507</v>
      </c>
      <c r="AK211">
        <f t="shared" ref="AK211:AN211" si="126">AK210/365.25</f>
        <v>1.998631074606434</v>
      </c>
      <c r="AL211">
        <f t="shared" si="126"/>
        <v>0.99931553730321698</v>
      </c>
      <c r="AM211">
        <f t="shared" si="126"/>
        <v>0.65708418891170428</v>
      </c>
      <c r="AN211">
        <f t="shared" si="126"/>
        <v>0.65708418891170428</v>
      </c>
      <c r="AO211">
        <f>AO210*2/365.25</f>
        <v>0.49281314168377821</v>
      </c>
      <c r="AP211">
        <f>AP210*2/365.25</f>
        <v>0.32854209445585214</v>
      </c>
    </row>
    <row r="212" spans="6:42" x14ac:dyDescent="0.2">
      <c r="Y212" t="s">
        <v>371</v>
      </c>
      <c r="Z212">
        <f>AO142</f>
        <v>193.42065866615997</v>
      </c>
      <c r="AA212">
        <f>AO151</f>
        <v>360.02162760815992</v>
      </c>
      <c r="AB212">
        <f>AN160</f>
        <v>1222.2514848249996</v>
      </c>
      <c r="AC212">
        <f>AM169</f>
        <v>1442.7859876602645</v>
      </c>
      <c r="AD212">
        <f>AM178</f>
        <v>2400.2959350265119</v>
      </c>
      <c r="AE212">
        <f>AL187</f>
        <v>3496.0053033633799</v>
      </c>
      <c r="AF212">
        <f>AK196</f>
        <v>6329.8146161175409</v>
      </c>
      <c r="AJ212">
        <f t="shared" ref="AJ212:AN212" si="127">1/AJ211</f>
        <v>0.33356164383561648</v>
      </c>
      <c r="AK212">
        <f t="shared" si="127"/>
        <v>0.50034246575342467</v>
      </c>
      <c r="AL212">
        <f t="shared" si="127"/>
        <v>1.0006849315068493</v>
      </c>
      <c r="AM212">
        <f t="shared" si="127"/>
        <v>1.5218750000000001</v>
      </c>
      <c r="AN212">
        <f t="shared" si="127"/>
        <v>1.5218750000000001</v>
      </c>
      <c r="AO212">
        <f>1/AO211</f>
        <v>2.0291666666666668</v>
      </c>
      <c r="AP212">
        <f>1/AP211</f>
        <v>3.0437500000000002</v>
      </c>
    </row>
    <row r="213" spans="6:42" x14ac:dyDescent="0.2">
      <c r="Y213" t="s">
        <v>317</v>
      </c>
      <c r="Z213">
        <f>(AB50*1000)/25</f>
        <v>65.575718854232008</v>
      </c>
      <c r="AA213">
        <f t="shared" ref="AA213:AE213" si="128">(AC50*1000)/25</f>
        <v>163.93929713558001</v>
      </c>
      <c r="AB213">
        <f t="shared" si="128"/>
        <v>343.12876144656281</v>
      </c>
      <c r="AC213">
        <f t="shared" si="128"/>
        <v>533.75585113909767</v>
      </c>
      <c r="AD213">
        <f t="shared" si="128"/>
        <v>838.75919464715344</v>
      </c>
      <c r="AE213">
        <f t="shared" si="128"/>
        <v>1296.2642099092375</v>
      </c>
      <c r="AF213">
        <f>(AH50*1000)/25</f>
        <v>2737.4050079848012</v>
      </c>
    </row>
    <row r="214" spans="6:42" x14ac:dyDescent="0.2">
      <c r="Y214" t="s">
        <v>322</v>
      </c>
      <c r="Z214">
        <f>AJ223</f>
        <v>331.76</v>
      </c>
      <c r="AA214">
        <f>Z214</f>
        <v>331.76</v>
      </c>
      <c r="AB214">
        <f t="shared" ref="AB214:AE214" si="129">AA214</f>
        <v>331.76</v>
      </c>
      <c r="AC214">
        <f t="shared" si="129"/>
        <v>331.76</v>
      </c>
      <c r="AD214">
        <f t="shared" si="129"/>
        <v>331.76</v>
      </c>
      <c r="AE214">
        <f t="shared" si="129"/>
        <v>331.76</v>
      </c>
      <c r="AF214">
        <f>AE214</f>
        <v>331.76</v>
      </c>
    </row>
    <row r="215" spans="6:42" x14ac:dyDescent="0.2">
      <c r="AI215" t="s">
        <v>394</v>
      </c>
    </row>
    <row r="216" spans="6:42" x14ac:dyDescent="0.2">
      <c r="Z216">
        <f>SUM(Z211:Z214)*25</f>
        <v>15204.7440005098</v>
      </c>
      <c r="AA216">
        <f t="shared" ref="AA216:AE216" si="130">SUM(AA211:AA214)*25</f>
        <v>22264.692243593498</v>
      </c>
      <c r="AB216">
        <f t="shared" si="130"/>
        <v>49171.84440678906</v>
      </c>
      <c r="AC216">
        <f t="shared" si="130"/>
        <v>60322.553344984044</v>
      </c>
      <c r="AD216">
        <f t="shared" si="130"/>
        <v>93628.723866841639</v>
      </c>
      <c r="AE216">
        <f t="shared" si="130"/>
        <v>134638.25626931543</v>
      </c>
      <c r="AF216">
        <f>SUM(AF211:AF214)*25</f>
        <v>243691.18185255857</v>
      </c>
      <c r="AI216">
        <v>1</v>
      </c>
      <c r="AJ216" t="s">
        <v>395</v>
      </c>
      <c r="AM216" t="s">
        <v>335</v>
      </c>
    </row>
    <row r="217" spans="6:42" x14ac:dyDescent="0.2">
      <c r="AM217" t="s">
        <v>336</v>
      </c>
      <c r="AN217" t="s">
        <v>338</v>
      </c>
    </row>
    <row r="218" spans="6:42" x14ac:dyDescent="0.2">
      <c r="AI218" t="s">
        <v>339</v>
      </c>
      <c r="AM218" t="s">
        <v>173</v>
      </c>
      <c r="AN218">
        <v>0.66700000000000004</v>
      </c>
      <c r="AO218" t="s">
        <v>337</v>
      </c>
    </row>
    <row r="219" spans="6:42" x14ac:dyDescent="0.2">
      <c r="AJ219">
        <f>(13)*40</f>
        <v>520</v>
      </c>
      <c r="AK219" t="s">
        <v>340</v>
      </c>
      <c r="AM219" t="s">
        <v>174</v>
      </c>
      <c r="AN219">
        <v>0.63800000000000001</v>
      </c>
      <c r="AO219" t="s">
        <v>337</v>
      </c>
    </row>
    <row r="220" spans="6:42" x14ac:dyDescent="0.2">
      <c r="AM220" t="s">
        <v>175</v>
      </c>
      <c r="AN220">
        <v>0.626</v>
      </c>
      <c r="AO220" t="s">
        <v>337</v>
      </c>
    </row>
    <row r="221" spans="6:42" x14ac:dyDescent="0.2">
      <c r="Z221">
        <f>Z211*25/1000</f>
        <v>0.43583456250000002</v>
      </c>
      <c r="AA221">
        <f t="shared" ref="AA221:AF221" si="131">AA211*25/1000</f>
        <v>0.87166912500000004</v>
      </c>
      <c r="AB221">
        <f t="shared" si="131"/>
        <v>1.7433382500000001</v>
      </c>
      <c r="AC221">
        <f t="shared" si="131"/>
        <v>2.6150073750000002</v>
      </c>
      <c r="AD221">
        <f t="shared" si="131"/>
        <v>4.3583456250000001</v>
      </c>
      <c r="AE221">
        <f t="shared" si="131"/>
        <v>6.5375184375000011</v>
      </c>
      <c r="AF221">
        <f t="shared" si="131"/>
        <v>8.7166912500000002</v>
      </c>
    </row>
    <row r="222" spans="6:42" x14ac:dyDescent="0.2">
      <c r="Z222">
        <f t="shared" ref="Z222:AF224" si="132">Z212*25/1000</f>
        <v>4.8355164666539991</v>
      </c>
      <c r="AA222">
        <f t="shared" si="132"/>
        <v>9.0005406902039979</v>
      </c>
      <c r="AB222">
        <f t="shared" si="132"/>
        <v>30.55628712062499</v>
      </c>
      <c r="AC222">
        <f t="shared" si="132"/>
        <v>36.069649691506612</v>
      </c>
      <c r="AD222">
        <f t="shared" si="132"/>
        <v>60.007398375662802</v>
      </c>
      <c r="AE222">
        <f t="shared" si="132"/>
        <v>87.400132584084488</v>
      </c>
      <c r="AF222">
        <f t="shared" si="132"/>
        <v>158.24536540293855</v>
      </c>
      <c r="AJ222" t="s">
        <v>322</v>
      </c>
    </row>
    <row r="223" spans="6:42" x14ac:dyDescent="0.2">
      <c r="Z223">
        <f>Z213*25/1000</f>
        <v>1.6393929713558002</v>
      </c>
      <c r="AA223">
        <f t="shared" si="132"/>
        <v>4.0984824283895005</v>
      </c>
      <c r="AB223">
        <f t="shared" si="132"/>
        <v>8.5782190361640698</v>
      </c>
      <c r="AC223">
        <f t="shared" si="132"/>
        <v>13.343896278477441</v>
      </c>
      <c r="AD223">
        <f t="shared" si="132"/>
        <v>20.968979866178838</v>
      </c>
      <c r="AE223">
        <f t="shared" si="132"/>
        <v>32.406605247730937</v>
      </c>
      <c r="AF223">
        <f t="shared" si="132"/>
        <v>68.435125199620032</v>
      </c>
      <c r="AI223" t="s">
        <v>344</v>
      </c>
      <c r="AJ223">
        <f>AJ219*AN219</f>
        <v>331.76</v>
      </c>
    </row>
    <row r="224" spans="6:42" x14ac:dyDescent="0.2">
      <c r="Z224">
        <f>Z214*25/1000</f>
        <v>8.2940000000000005</v>
      </c>
      <c r="AA224">
        <f t="shared" si="132"/>
        <v>8.2940000000000005</v>
      </c>
      <c r="AB224">
        <f t="shared" si="132"/>
        <v>8.2940000000000005</v>
      </c>
      <c r="AC224">
        <f t="shared" si="132"/>
        <v>8.2940000000000005</v>
      </c>
      <c r="AD224">
        <f t="shared" si="132"/>
        <v>8.2940000000000005</v>
      </c>
      <c r="AE224">
        <f t="shared" si="132"/>
        <v>8.2940000000000005</v>
      </c>
      <c r="AF224">
        <f t="shared" si="132"/>
        <v>8.2940000000000005</v>
      </c>
      <c r="AI224" t="s">
        <v>156</v>
      </c>
      <c r="AJ224">
        <f>AJ219*AN218</f>
        <v>346.84000000000003</v>
      </c>
    </row>
    <row r="225" spans="26:36" x14ac:dyDescent="0.2">
      <c r="Z225">
        <f>Z224*1/13</f>
        <v>0.63800000000000001</v>
      </c>
      <c r="AA225">
        <f t="shared" ref="AA225:AF225" si="133">AA224*1/13</f>
        <v>0.63800000000000001</v>
      </c>
      <c r="AB225">
        <f t="shared" si="133"/>
        <v>0.63800000000000001</v>
      </c>
      <c r="AC225">
        <f t="shared" si="133"/>
        <v>0.63800000000000001</v>
      </c>
      <c r="AD225">
        <f t="shared" si="133"/>
        <v>0.63800000000000001</v>
      </c>
      <c r="AE225">
        <f t="shared" si="133"/>
        <v>0.63800000000000001</v>
      </c>
      <c r="AF225">
        <f t="shared" si="133"/>
        <v>0.63800000000000001</v>
      </c>
      <c r="AI225" t="s">
        <v>155</v>
      </c>
      <c r="AJ225">
        <f>AJ219*AN220</f>
        <v>325.52</v>
      </c>
    </row>
    <row r="233" spans="26:36" x14ac:dyDescent="0.2">
      <c r="AA233">
        <v>348.66764999999998</v>
      </c>
    </row>
    <row r="234" spans="26:36" x14ac:dyDescent="0.2">
      <c r="AA234">
        <v>2737.4050079848007</v>
      </c>
    </row>
    <row r="241" spans="25:30" x14ac:dyDescent="0.2">
      <c r="Y241">
        <v>5</v>
      </c>
      <c r="Z241">
        <v>791.22682701469296</v>
      </c>
      <c r="AA241">
        <f>AA233/25</f>
        <v>13.946705999999999</v>
      </c>
      <c r="AB241">
        <f>AA234/25</f>
        <v>109.49620031939203</v>
      </c>
      <c r="AD241">
        <f>Z241+AA241+AB241</f>
        <v>914.66973333408498</v>
      </c>
    </row>
    <row r="242" spans="25:30" x14ac:dyDescent="0.2">
      <c r="Y242">
        <v>10</v>
      </c>
      <c r="Z242">
        <v>1582.4536540293852</v>
      </c>
      <c r="AA242">
        <v>13.946705999999999</v>
      </c>
      <c r="AB242">
        <v>109.49620031939203</v>
      </c>
      <c r="AD242">
        <f t="shared" ref="AD242:AD249" si="134">Z242+AA242+AB242</f>
        <v>1705.8965603487773</v>
      </c>
    </row>
    <row r="243" spans="25:30" x14ac:dyDescent="0.2">
      <c r="Y243">
        <v>20</v>
      </c>
      <c r="Z243">
        <v>3164.9073080587705</v>
      </c>
      <c r="AA243">
        <v>13.946705999999999</v>
      </c>
      <c r="AB243">
        <v>109.49620031939203</v>
      </c>
      <c r="AD243">
        <f t="shared" si="134"/>
        <v>3288.3502143781625</v>
      </c>
    </row>
    <row r="244" spans="25:30" x14ac:dyDescent="0.2">
      <c r="Y244">
        <v>30</v>
      </c>
      <c r="Z244">
        <v>4747.3609620881562</v>
      </c>
      <c r="AA244">
        <v>13.946705999999999</v>
      </c>
      <c r="AB244">
        <v>109.49620031939203</v>
      </c>
      <c r="AD244">
        <f t="shared" si="134"/>
        <v>4870.8038684075482</v>
      </c>
    </row>
    <row r="245" spans="25:30" x14ac:dyDescent="0.2">
      <c r="Y245">
        <v>40</v>
      </c>
      <c r="Z245">
        <v>6329.8146161175409</v>
      </c>
      <c r="AA245">
        <v>13.946705999999999</v>
      </c>
      <c r="AB245">
        <v>109.49620031939203</v>
      </c>
      <c r="AD245">
        <f t="shared" si="134"/>
        <v>6453.257522436933</v>
      </c>
    </row>
    <row r="246" spans="25:30" x14ac:dyDescent="0.2">
      <c r="Y246">
        <v>50</v>
      </c>
      <c r="Z246">
        <v>7912.2682701469275</v>
      </c>
      <c r="AA246">
        <v>13.946705999999999</v>
      </c>
      <c r="AB246">
        <v>109.49620031939203</v>
      </c>
      <c r="AD246">
        <f t="shared" si="134"/>
        <v>8035.7111764663196</v>
      </c>
    </row>
    <row r="247" spans="25:30" x14ac:dyDescent="0.2">
      <c r="Y247">
        <v>60</v>
      </c>
      <c r="Z247">
        <v>9494.7219241763123</v>
      </c>
      <c r="AA247">
        <v>13.946705999999999</v>
      </c>
      <c r="AB247">
        <v>109.49620031939203</v>
      </c>
      <c r="AD247">
        <f t="shared" si="134"/>
        <v>9618.1648304957052</v>
      </c>
    </row>
    <row r="248" spans="25:30" x14ac:dyDescent="0.2">
      <c r="Y248">
        <v>70</v>
      </c>
      <c r="Z248">
        <v>11077.175578205697</v>
      </c>
      <c r="AA248">
        <v>13.946705999999999</v>
      </c>
      <c r="AB248">
        <v>109.49620031939203</v>
      </c>
      <c r="AD248">
        <f t="shared" si="134"/>
        <v>11200.61848452509</v>
      </c>
    </row>
    <row r="249" spans="25:30" x14ac:dyDescent="0.2">
      <c r="Y249">
        <v>80</v>
      </c>
      <c r="Z249">
        <v>12659.629232235082</v>
      </c>
      <c r="AA249">
        <v>13.946705999999999</v>
      </c>
      <c r="AB249">
        <v>109.49620031939203</v>
      </c>
      <c r="AD249">
        <f t="shared" si="134"/>
        <v>12783.072138554475</v>
      </c>
    </row>
  </sheetData>
  <mergeCells count="18">
    <mergeCell ref="Z183:Z191"/>
    <mergeCell ref="Z192:Z200"/>
    <mergeCell ref="AE136:AO136"/>
    <mergeCell ref="Z138:Z146"/>
    <mergeCell ref="Z147:Z155"/>
    <mergeCell ref="Z156:Z164"/>
    <mergeCell ref="Z165:Z173"/>
    <mergeCell ref="Z174:Z182"/>
    <mergeCell ref="D85:D93"/>
    <mergeCell ref="D94:D102"/>
    <mergeCell ref="D103:D111"/>
    <mergeCell ref="D112:D120"/>
    <mergeCell ref="D121:D129"/>
    <mergeCell ref="H36:I36"/>
    <mergeCell ref="K36:L36"/>
    <mergeCell ref="AB21:AH21"/>
    <mergeCell ref="D67:D75"/>
    <mergeCell ref="D76:D84"/>
  </mergeCells>
  <phoneticPr fontId="18" type="noConversion"/>
  <hyperlinks>
    <hyperlink ref="J44" r:id="rId1" xr:uid="{6622D942-DFE4-43E1-99F4-A6B2570971F1}"/>
  </hyperlinks>
  <pageMargins left="0.7" right="0.7" top="0.75" bottom="0.75" header="0.3" footer="0.3"/>
  <pageSetup paperSize="9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6544F-0148-4468-8BFA-FB33B429A8C2}">
  <sheetPr>
    <tabColor theme="7"/>
  </sheetPr>
  <dimension ref="B3:U40"/>
  <sheetViews>
    <sheetView workbookViewId="0">
      <selection activeCell="U19" sqref="U19"/>
    </sheetView>
  </sheetViews>
  <sheetFormatPr defaultRowHeight="14.25" x14ac:dyDescent="0.2"/>
  <cols>
    <col min="5" max="5" width="9" customWidth="1"/>
    <col min="9" max="9" width="13.25" customWidth="1"/>
    <col min="10" max="10" width="12.25" customWidth="1"/>
  </cols>
  <sheetData>
    <row r="3" spans="2:21" x14ac:dyDescent="0.2">
      <c r="F3" t="s">
        <v>51</v>
      </c>
      <c r="G3" t="s">
        <v>39</v>
      </c>
      <c r="J3" t="s">
        <v>768</v>
      </c>
      <c r="N3" t="s">
        <v>781</v>
      </c>
      <c r="T3" t="s">
        <v>782</v>
      </c>
    </row>
    <row r="4" spans="2:21" x14ac:dyDescent="0.2">
      <c r="B4" t="s">
        <v>89</v>
      </c>
      <c r="D4" t="s">
        <v>30</v>
      </c>
      <c r="F4" t="s">
        <v>769</v>
      </c>
      <c r="G4" t="s">
        <v>15</v>
      </c>
      <c r="H4" t="s">
        <v>10</v>
      </c>
      <c r="J4" t="s">
        <v>770</v>
      </c>
      <c r="K4" t="s">
        <v>771</v>
      </c>
      <c r="L4" t="s">
        <v>772</v>
      </c>
      <c r="N4" t="s">
        <v>770</v>
      </c>
      <c r="O4" t="s">
        <v>771</v>
      </c>
      <c r="P4" t="s">
        <v>772</v>
      </c>
      <c r="T4" t="s">
        <v>39</v>
      </c>
      <c r="U4" t="s">
        <v>51</v>
      </c>
    </row>
    <row r="5" spans="2:21" x14ac:dyDescent="0.2">
      <c r="B5">
        <v>5</v>
      </c>
      <c r="D5">
        <v>17.713889999999999</v>
      </c>
      <c r="E5">
        <v>14.713889999999999</v>
      </c>
      <c r="F5">
        <f>E5*Conversions!$B$16</f>
        <v>22438.682249999998</v>
      </c>
      <c r="G5">
        <f>E5*Conversions!$B$4</f>
        <v>36784.724999999999</v>
      </c>
      <c r="J5" t="s">
        <v>773</v>
      </c>
      <c r="K5" t="s">
        <v>773</v>
      </c>
      <c r="L5" t="s">
        <v>773</v>
      </c>
      <c r="N5">
        <v>0.15</v>
      </c>
      <c r="O5">
        <v>0.15</v>
      </c>
      <c r="P5">
        <v>0.15</v>
      </c>
      <c r="Q5">
        <f t="shared" ref="Q5:Q18" si="0">SUM(N5:P5)</f>
        <v>0.44999999999999996</v>
      </c>
      <c r="R5">
        <f>Q5/22</f>
        <v>2.0454545454545451E-2</v>
      </c>
    </row>
    <row r="6" spans="2:21" x14ac:dyDescent="0.2">
      <c r="B6">
        <v>10</v>
      </c>
      <c r="D6">
        <v>28.047599999999999</v>
      </c>
      <c r="E6">
        <v>22.047599999999999</v>
      </c>
      <c r="F6">
        <f>E6*Conversions!$B$16</f>
        <v>33622.589999999997</v>
      </c>
      <c r="G6">
        <f>E6*Conversions!$B$4</f>
        <v>55119</v>
      </c>
      <c r="J6" t="s">
        <v>773</v>
      </c>
      <c r="K6" t="s">
        <v>773</v>
      </c>
      <c r="L6" t="s">
        <v>773</v>
      </c>
      <c r="N6">
        <v>0.15</v>
      </c>
      <c r="O6">
        <v>0.15</v>
      </c>
      <c r="P6">
        <v>0.15</v>
      </c>
      <c r="Q6">
        <f t="shared" si="0"/>
        <v>0.44999999999999996</v>
      </c>
      <c r="R6">
        <f t="shared" ref="R6:R19" si="1">Q6/22</f>
        <v>2.0454545454545451E-2</v>
      </c>
    </row>
    <row r="7" spans="2:21" x14ac:dyDescent="0.2">
      <c r="B7">
        <v>20</v>
      </c>
      <c r="D7">
        <v>52.189994999999996</v>
      </c>
      <c r="E7">
        <v>38.189994999999996</v>
      </c>
      <c r="F7">
        <f>E7*Conversions!$B$16</f>
        <v>58239.742374999994</v>
      </c>
      <c r="G7">
        <f>E7*Conversions!$B$4</f>
        <v>95474.987499999988</v>
      </c>
      <c r="J7" t="s">
        <v>773</v>
      </c>
      <c r="K7" t="s">
        <v>773</v>
      </c>
      <c r="L7" t="s">
        <v>773</v>
      </c>
      <c r="N7">
        <v>0.15</v>
      </c>
      <c r="O7">
        <v>0.15</v>
      </c>
      <c r="P7">
        <v>0.15</v>
      </c>
      <c r="Q7">
        <f t="shared" si="0"/>
        <v>0.44999999999999996</v>
      </c>
      <c r="R7">
        <f t="shared" si="1"/>
        <v>2.0454545454545451E-2</v>
      </c>
    </row>
    <row r="8" spans="2:21" x14ac:dyDescent="0.2">
      <c r="B8">
        <v>30</v>
      </c>
      <c r="D8">
        <v>53935.459200000005</v>
      </c>
      <c r="E8">
        <v>53917.459200000005</v>
      </c>
      <c r="F8">
        <f>E8*Conversions!$B$16</f>
        <v>82224125.280000001</v>
      </c>
      <c r="G8">
        <f>E8*Conversions!$B$4</f>
        <v>134793648</v>
      </c>
      <c r="J8" t="s">
        <v>773</v>
      </c>
      <c r="K8" t="s">
        <v>773</v>
      </c>
      <c r="L8" t="s">
        <v>773</v>
      </c>
      <c r="N8">
        <v>0.15</v>
      </c>
      <c r="O8">
        <v>0.15</v>
      </c>
      <c r="P8">
        <v>0.15</v>
      </c>
      <c r="Q8">
        <f t="shared" si="0"/>
        <v>0.44999999999999996</v>
      </c>
      <c r="R8">
        <f t="shared" si="1"/>
        <v>2.0454545454545451E-2</v>
      </c>
    </row>
    <row r="9" spans="2:21" x14ac:dyDescent="0.2">
      <c r="B9">
        <v>50</v>
      </c>
      <c r="D9">
        <v>91.003599999999992</v>
      </c>
      <c r="E9">
        <v>61.003599999999992</v>
      </c>
      <c r="F9">
        <f>E9*Conversions!$B$16</f>
        <v>93030.489999999991</v>
      </c>
      <c r="G9">
        <f>E9*Conversions!$B$4</f>
        <v>152508.99999999997</v>
      </c>
      <c r="J9" t="s">
        <v>773</v>
      </c>
      <c r="K9" t="s">
        <v>773</v>
      </c>
      <c r="L9" t="s">
        <v>773</v>
      </c>
      <c r="N9">
        <v>0.15</v>
      </c>
      <c r="O9">
        <v>0.15</v>
      </c>
      <c r="P9">
        <v>0.15</v>
      </c>
      <c r="Q9">
        <f t="shared" si="0"/>
        <v>0.44999999999999996</v>
      </c>
      <c r="R9">
        <f t="shared" si="1"/>
        <v>2.0454545454545451E-2</v>
      </c>
    </row>
    <row r="10" spans="2:21" x14ac:dyDescent="0.2">
      <c r="B10">
        <v>75</v>
      </c>
      <c r="D10">
        <f>D12/2</f>
        <v>127.3200336</v>
      </c>
      <c r="E10">
        <f>E12/2</f>
        <v>81.320033600000002</v>
      </c>
      <c r="F10">
        <f>E10*Conversions!$B$16</f>
        <v>124013.05124</v>
      </c>
      <c r="G10">
        <f>E10*Conversions!$B$4</f>
        <v>203300.084</v>
      </c>
      <c r="J10" t="s">
        <v>773</v>
      </c>
      <c r="K10" t="s">
        <v>773</v>
      </c>
      <c r="L10" t="s">
        <v>773</v>
      </c>
      <c r="N10">
        <v>0.15</v>
      </c>
      <c r="O10">
        <v>0.15</v>
      </c>
      <c r="P10">
        <v>0.15</v>
      </c>
      <c r="Q10">
        <f t="shared" si="0"/>
        <v>0.44999999999999996</v>
      </c>
      <c r="R10">
        <f t="shared" si="1"/>
        <v>2.0454545454545451E-2</v>
      </c>
    </row>
    <row r="11" spans="2:21" x14ac:dyDescent="0.2">
      <c r="B11">
        <v>100</v>
      </c>
      <c r="D11">
        <v>155.88161640000001</v>
      </c>
      <c r="E11">
        <v>96.881616400000013</v>
      </c>
      <c r="F11">
        <f>E11*Conversions!$B$16</f>
        <v>147744.46501000001</v>
      </c>
      <c r="G11">
        <f>E11*Conversions!$B$4</f>
        <v>242204.04100000003</v>
      </c>
      <c r="J11" t="s">
        <v>773</v>
      </c>
      <c r="K11" t="s">
        <v>773</v>
      </c>
      <c r="L11" t="s">
        <v>773</v>
      </c>
      <c r="N11">
        <v>0.15</v>
      </c>
      <c r="O11">
        <v>0.15</v>
      </c>
      <c r="P11">
        <v>0.15</v>
      </c>
      <c r="Q11">
        <f t="shared" si="0"/>
        <v>0.44999999999999996</v>
      </c>
      <c r="R11">
        <f t="shared" si="1"/>
        <v>2.0454545454545451E-2</v>
      </c>
    </row>
    <row r="12" spans="2:21" x14ac:dyDescent="0.2">
      <c r="B12">
        <v>150</v>
      </c>
      <c r="D12">
        <v>254.6400672</v>
      </c>
      <c r="E12">
        <v>162.6400672</v>
      </c>
      <c r="F12">
        <f>E12*Conversions!$B$16</f>
        <v>248026.10248</v>
      </c>
      <c r="G12">
        <f>E12*Conversions!$B$4</f>
        <v>406600.16800000001</v>
      </c>
      <c r="J12" t="s">
        <v>773</v>
      </c>
      <c r="K12" t="s">
        <v>773</v>
      </c>
      <c r="L12" t="s">
        <v>773</v>
      </c>
      <c r="N12">
        <v>0.15</v>
      </c>
      <c r="O12">
        <v>0.15</v>
      </c>
      <c r="P12">
        <v>0.15</v>
      </c>
      <c r="Q12">
        <f t="shared" si="0"/>
        <v>0.44999999999999996</v>
      </c>
      <c r="R12">
        <f t="shared" si="1"/>
        <v>2.0454545454545451E-2</v>
      </c>
    </row>
    <row r="13" spans="2:21" x14ac:dyDescent="0.2">
      <c r="B13">
        <v>200</v>
      </c>
      <c r="D13">
        <f>D11*2</f>
        <v>311.76323280000003</v>
      </c>
      <c r="E13">
        <f>E11*2</f>
        <v>193.76323280000003</v>
      </c>
      <c r="F13">
        <f>E13*Conversions!$B$16</f>
        <v>295488.93002000003</v>
      </c>
      <c r="G13">
        <f>E13*Conversions!$B$4</f>
        <v>484408.08200000005</v>
      </c>
      <c r="J13" t="s">
        <v>773</v>
      </c>
      <c r="K13" t="s">
        <v>773</v>
      </c>
      <c r="L13" t="s">
        <v>773</v>
      </c>
      <c r="N13">
        <v>0.15</v>
      </c>
      <c r="O13">
        <v>0.15</v>
      </c>
      <c r="P13">
        <v>0.15</v>
      </c>
      <c r="Q13">
        <f t="shared" si="0"/>
        <v>0.44999999999999996</v>
      </c>
      <c r="R13">
        <f t="shared" si="1"/>
        <v>2.0454545454545451E-2</v>
      </c>
    </row>
    <row r="14" spans="2:21" x14ac:dyDescent="0.2">
      <c r="B14">
        <v>300</v>
      </c>
      <c r="D14">
        <f>D11*3</f>
        <v>467.64484920000007</v>
      </c>
      <c r="E14">
        <f>E11*3</f>
        <v>290.64484920000007</v>
      </c>
      <c r="F14">
        <f>E14*Conversions!$B$16</f>
        <v>443233.39503000013</v>
      </c>
      <c r="G14">
        <f>E14*Conversions!$B$4</f>
        <v>726612.12300000014</v>
      </c>
      <c r="J14" t="s">
        <v>773</v>
      </c>
      <c r="K14" t="s">
        <v>773</v>
      </c>
      <c r="L14" t="s">
        <v>773</v>
      </c>
      <c r="N14">
        <v>0.15</v>
      </c>
      <c r="O14">
        <v>0.15</v>
      </c>
      <c r="P14">
        <v>0.15</v>
      </c>
      <c r="Q14">
        <f t="shared" si="0"/>
        <v>0.44999999999999996</v>
      </c>
      <c r="R14">
        <f t="shared" si="1"/>
        <v>2.0454545454545451E-2</v>
      </c>
    </row>
    <row r="15" spans="2:21" x14ac:dyDescent="0.2">
      <c r="B15">
        <v>400</v>
      </c>
      <c r="D15">
        <f>D11*4</f>
        <v>623.52646560000005</v>
      </c>
      <c r="E15">
        <f>E11*4</f>
        <v>387.52646560000005</v>
      </c>
      <c r="F15">
        <f>E15*Conversions!$B$16</f>
        <v>590977.86004000006</v>
      </c>
      <c r="G15">
        <f>E15*Conversions!$B$4</f>
        <v>968816.16400000011</v>
      </c>
      <c r="J15" t="s">
        <v>773</v>
      </c>
      <c r="K15" t="s">
        <v>773</v>
      </c>
      <c r="L15" t="s">
        <v>773</v>
      </c>
      <c r="N15">
        <v>0.15</v>
      </c>
      <c r="O15">
        <v>0.15</v>
      </c>
      <c r="P15">
        <v>0.15</v>
      </c>
      <c r="Q15">
        <f t="shared" si="0"/>
        <v>0.44999999999999996</v>
      </c>
      <c r="R15">
        <f t="shared" si="1"/>
        <v>2.0454545454545451E-2</v>
      </c>
    </row>
    <row r="16" spans="2:21" x14ac:dyDescent="0.2">
      <c r="B16">
        <v>500</v>
      </c>
      <c r="D16">
        <f>D11*5</f>
        <v>779.40808200000004</v>
      </c>
      <c r="E16">
        <f>E11*5</f>
        <v>484.40808200000004</v>
      </c>
      <c r="F16">
        <f>E16*Conversions!$B$16</f>
        <v>738722.3250500001</v>
      </c>
      <c r="G16">
        <f>E16*Conversions!$B$4</f>
        <v>1211020.2050000001</v>
      </c>
      <c r="J16" t="s">
        <v>773</v>
      </c>
      <c r="K16" t="s">
        <v>773</v>
      </c>
      <c r="L16" t="s">
        <v>774</v>
      </c>
      <c r="N16">
        <v>0.15</v>
      </c>
      <c r="O16">
        <v>0.15</v>
      </c>
      <c r="P16">
        <v>0.15</v>
      </c>
      <c r="Q16">
        <f t="shared" si="0"/>
        <v>0.44999999999999996</v>
      </c>
      <c r="R16">
        <f t="shared" si="1"/>
        <v>2.0454545454545451E-2</v>
      </c>
    </row>
    <row r="17" spans="2:21" x14ac:dyDescent="0.2">
      <c r="B17">
        <v>600</v>
      </c>
      <c r="D17">
        <f>D11*6</f>
        <v>935.28969840000013</v>
      </c>
      <c r="E17">
        <f>E11*6</f>
        <v>581.28969840000013</v>
      </c>
      <c r="F17">
        <f>E17*Conversions!$B$16</f>
        <v>886466.79006000026</v>
      </c>
      <c r="G17">
        <f>E17*Conversions!$B$4</f>
        <v>1453224.2460000003</v>
      </c>
      <c r="J17" t="s">
        <v>773</v>
      </c>
      <c r="K17" t="s">
        <v>773</v>
      </c>
      <c r="L17" t="s">
        <v>775</v>
      </c>
      <c r="N17">
        <v>0.15</v>
      </c>
      <c r="O17">
        <v>0.15</v>
      </c>
      <c r="P17">
        <v>0.66500000000000004</v>
      </c>
      <c r="Q17">
        <f t="shared" si="0"/>
        <v>0.96500000000000008</v>
      </c>
      <c r="R17">
        <f t="shared" si="1"/>
        <v>4.3863636363636369E-2</v>
      </c>
    </row>
    <row r="18" spans="2:21" x14ac:dyDescent="0.2">
      <c r="B18">
        <v>800</v>
      </c>
      <c r="D18">
        <f>D11*8</f>
        <v>1247.0529312000001</v>
      </c>
      <c r="E18">
        <f>E11*8</f>
        <v>775.0529312000001</v>
      </c>
      <c r="F18">
        <f>E18*Conversions!$B$16</f>
        <v>1181955.7200800001</v>
      </c>
      <c r="G18">
        <f>E18*Conversions!$B$4</f>
        <v>1937632.3280000002</v>
      </c>
      <c r="J18" t="s">
        <v>775</v>
      </c>
      <c r="K18" t="s">
        <v>773</v>
      </c>
      <c r="L18" t="s">
        <v>776</v>
      </c>
      <c r="N18">
        <v>0.66500000000000004</v>
      </c>
      <c r="O18">
        <v>0.15</v>
      </c>
      <c r="P18">
        <v>1.1000000000000001</v>
      </c>
      <c r="Q18">
        <f t="shared" si="0"/>
        <v>1.915</v>
      </c>
      <c r="R18">
        <f t="shared" si="1"/>
        <v>8.7045454545454551E-2</v>
      </c>
    </row>
    <row r="19" spans="2:21" x14ac:dyDescent="0.2">
      <c r="B19">
        <v>1000</v>
      </c>
      <c r="D19">
        <f>D11*10</f>
        <v>1558.8161640000001</v>
      </c>
      <c r="E19">
        <f>E11*10</f>
        <v>968.81616400000007</v>
      </c>
      <c r="F19">
        <f>E19*Conversions!$B$16</f>
        <v>1477444.6501000002</v>
      </c>
      <c r="G19">
        <f>E19*Conversions!$B$4</f>
        <v>2422040.41</v>
      </c>
      <c r="J19" t="s">
        <v>775</v>
      </c>
      <c r="K19" t="s">
        <v>773</v>
      </c>
      <c r="L19" t="s">
        <v>777</v>
      </c>
      <c r="N19">
        <v>0.66500000000000004</v>
      </c>
      <c r="O19">
        <v>0.15</v>
      </c>
      <c r="P19">
        <v>0.9</v>
      </c>
      <c r="Q19">
        <f>SUM(N19:P19)</f>
        <v>1.7150000000000001</v>
      </c>
      <c r="R19">
        <f t="shared" si="1"/>
        <v>7.7954545454545457E-2</v>
      </c>
      <c r="T19">
        <f>1.58*10^4</f>
        <v>15800</v>
      </c>
      <c r="U19">
        <f>2.84*10^5</f>
        <v>284000</v>
      </c>
    </row>
    <row r="24" spans="2:21" x14ac:dyDescent="0.2">
      <c r="F24">
        <v>77.342881972456681</v>
      </c>
      <c r="G24" t="s">
        <v>779</v>
      </c>
    </row>
    <row r="25" spans="2:21" x14ac:dyDescent="0.2">
      <c r="B25" t="s">
        <v>89</v>
      </c>
      <c r="D25" t="s">
        <v>778</v>
      </c>
      <c r="F25" t="s">
        <v>780</v>
      </c>
    </row>
    <row r="26" spans="2:21" x14ac:dyDescent="0.2">
      <c r="B26">
        <v>5</v>
      </c>
      <c r="D26">
        <v>1314.8999999999999</v>
      </c>
      <c r="F26">
        <f t="shared" ref="F26:F40" si="2">D26*$F$24/1000</f>
        <v>101.69815550558327</v>
      </c>
      <c r="H26">
        <f>F26*30</f>
        <v>3050.944665167498</v>
      </c>
    </row>
    <row r="27" spans="2:21" x14ac:dyDescent="0.2">
      <c r="B27">
        <v>10</v>
      </c>
      <c r="D27">
        <v>1314.8999999999999</v>
      </c>
      <c r="F27">
        <f t="shared" si="2"/>
        <v>101.69815550558327</v>
      </c>
      <c r="H27">
        <f t="shared" ref="H27:H40" si="3">F27*30</f>
        <v>3050.944665167498</v>
      </c>
    </row>
    <row r="28" spans="2:21" x14ac:dyDescent="0.2">
      <c r="B28">
        <v>20</v>
      </c>
      <c r="D28">
        <v>1314.8999999999999</v>
      </c>
      <c r="F28">
        <f t="shared" si="2"/>
        <v>101.69815550558327</v>
      </c>
      <c r="H28">
        <f t="shared" si="3"/>
        <v>3050.944665167498</v>
      </c>
    </row>
    <row r="29" spans="2:21" x14ac:dyDescent="0.2">
      <c r="B29">
        <v>30</v>
      </c>
      <c r="D29">
        <v>1314.8999999999999</v>
      </c>
      <c r="F29">
        <f t="shared" si="2"/>
        <v>101.69815550558327</v>
      </c>
      <c r="H29">
        <f t="shared" si="3"/>
        <v>3050.944665167498</v>
      </c>
    </row>
    <row r="30" spans="2:21" x14ac:dyDescent="0.2">
      <c r="B30">
        <v>50</v>
      </c>
      <c r="D30">
        <v>1314.8999999999999</v>
      </c>
      <c r="F30">
        <f t="shared" si="2"/>
        <v>101.69815550558327</v>
      </c>
      <c r="H30">
        <f t="shared" si="3"/>
        <v>3050.944665167498</v>
      </c>
    </row>
    <row r="31" spans="2:21" x14ac:dyDescent="0.2">
      <c r="B31">
        <v>75</v>
      </c>
      <c r="D31">
        <v>1314.8999999999999</v>
      </c>
      <c r="F31">
        <f t="shared" si="2"/>
        <v>101.69815550558327</v>
      </c>
      <c r="H31">
        <f t="shared" si="3"/>
        <v>3050.944665167498</v>
      </c>
    </row>
    <row r="32" spans="2:21" x14ac:dyDescent="0.2">
      <c r="B32">
        <v>100</v>
      </c>
      <c r="D32">
        <v>1314.8999999999999</v>
      </c>
      <c r="F32">
        <f t="shared" si="2"/>
        <v>101.69815550558327</v>
      </c>
      <c r="H32">
        <f t="shared" si="3"/>
        <v>3050.944665167498</v>
      </c>
    </row>
    <row r="33" spans="2:8" x14ac:dyDescent="0.2">
      <c r="B33">
        <v>150</v>
      </c>
      <c r="D33">
        <v>1314.8999999999999</v>
      </c>
      <c r="F33">
        <f t="shared" si="2"/>
        <v>101.69815550558327</v>
      </c>
      <c r="H33">
        <f t="shared" si="3"/>
        <v>3050.944665167498</v>
      </c>
    </row>
    <row r="34" spans="2:8" x14ac:dyDescent="0.2">
      <c r="B34">
        <v>200</v>
      </c>
      <c r="D34">
        <v>1314.8999999999999</v>
      </c>
      <c r="F34">
        <f t="shared" si="2"/>
        <v>101.69815550558327</v>
      </c>
      <c r="H34">
        <f t="shared" si="3"/>
        <v>3050.944665167498</v>
      </c>
    </row>
    <row r="35" spans="2:8" x14ac:dyDescent="0.2">
      <c r="B35">
        <v>300</v>
      </c>
      <c r="D35">
        <v>1314.8999999999999</v>
      </c>
      <c r="F35">
        <f t="shared" si="2"/>
        <v>101.69815550558327</v>
      </c>
      <c r="H35">
        <f t="shared" si="3"/>
        <v>3050.944665167498</v>
      </c>
    </row>
    <row r="36" spans="2:8" x14ac:dyDescent="0.2">
      <c r="B36">
        <v>400</v>
      </c>
      <c r="D36">
        <v>1314.8999999999999</v>
      </c>
      <c r="F36">
        <f t="shared" si="2"/>
        <v>101.69815550558327</v>
      </c>
      <c r="H36">
        <f t="shared" si="3"/>
        <v>3050.944665167498</v>
      </c>
    </row>
    <row r="37" spans="2:8" x14ac:dyDescent="0.2">
      <c r="B37">
        <v>500</v>
      </c>
      <c r="D37">
        <v>1314.8999999999999</v>
      </c>
      <c r="F37">
        <f t="shared" si="2"/>
        <v>101.69815550558327</v>
      </c>
      <c r="H37">
        <f t="shared" si="3"/>
        <v>3050.944665167498</v>
      </c>
    </row>
    <row r="38" spans="2:8" x14ac:dyDescent="0.2">
      <c r="B38">
        <v>600</v>
      </c>
      <c r="D38">
        <v>1314.8999999999999</v>
      </c>
      <c r="F38">
        <f t="shared" si="2"/>
        <v>101.69815550558327</v>
      </c>
      <c r="H38">
        <f t="shared" si="3"/>
        <v>3050.944665167498</v>
      </c>
    </row>
    <row r="39" spans="2:8" x14ac:dyDescent="0.2">
      <c r="B39">
        <v>800</v>
      </c>
      <c r="D39">
        <v>5829.39</v>
      </c>
      <c r="F39">
        <f t="shared" si="2"/>
        <v>450.86182274141925</v>
      </c>
      <c r="H39">
        <f t="shared" si="3"/>
        <v>13525.854682242578</v>
      </c>
    </row>
    <row r="40" spans="2:8" x14ac:dyDescent="0.2">
      <c r="B40">
        <v>1000</v>
      </c>
      <c r="D40">
        <v>5829.39</v>
      </c>
      <c r="F40">
        <f t="shared" si="2"/>
        <v>450.86182274141925</v>
      </c>
      <c r="H40">
        <f t="shared" si="3"/>
        <v>13525.854682242578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8DE31-C966-4AF0-95BA-212DB7DB14C8}">
  <sheetPr>
    <tabColor theme="9"/>
  </sheetPr>
  <dimension ref="B4:AE263"/>
  <sheetViews>
    <sheetView zoomScale="98" zoomScaleNormal="98" workbookViewId="0">
      <selection activeCell="G26" sqref="G26"/>
    </sheetView>
  </sheetViews>
  <sheetFormatPr defaultRowHeight="14.25" x14ac:dyDescent="0.2"/>
  <sheetData>
    <row r="4" spans="2:31" x14ac:dyDescent="0.2">
      <c r="AB4" t="s">
        <v>332</v>
      </c>
    </row>
    <row r="6" spans="2:31" x14ac:dyDescent="0.2">
      <c r="AB6" t="s">
        <v>46</v>
      </c>
    </row>
    <row r="7" spans="2:31" x14ac:dyDescent="0.2">
      <c r="C7">
        <v>5</v>
      </c>
      <c r="D7">
        <v>10</v>
      </c>
      <c r="E7">
        <v>20</v>
      </c>
      <c r="F7">
        <v>30</v>
      </c>
      <c r="G7">
        <v>50</v>
      </c>
      <c r="H7">
        <v>75</v>
      </c>
      <c r="I7">
        <v>100</v>
      </c>
      <c r="J7">
        <v>200</v>
      </c>
      <c r="K7">
        <v>300</v>
      </c>
      <c r="L7">
        <v>400</v>
      </c>
      <c r="M7">
        <v>500</v>
      </c>
      <c r="N7">
        <v>600</v>
      </c>
      <c r="O7">
        <v>800</v>
      </c>
      <c r="P7">
        <v>1000</v>
      </c>
      <c r="AB7" t="s">
        <v>303</v>
      </c>
    </row>
    <row r="8" spans="2:31" x14ac:dyDescent="0.2">
      <c r="B8" t="s">
        <v>278</v>
      </c>
      <c r="C8">
        <v>910.07003077059176</v>
      </c>
      <c r="D8">
        <v>1080.407526374689</v>
      </c>
      <c r="E8">
        <v>1954.3238652031459</v>
      </c>
      <c r="F8">
        <v>2108.1154012533025</v>
      </c>
      <c r="G8">
        <v>2396.2069373034592</v>
      </c>
      <c r="H8">
        <v>3446.3408289798745</v>
      </c>
      <c r="I8">
        <v>3779.464772641847</v>
      </c>
      <c r="J8">
        <v>5768.1172588882328</v>
      </c>
      <c r="K8">
        <v>7716.9351698166229</v>
      </c>
      <c r="L8">
        <v>8919.9351698166229</v>
      </c>
      <c r="M8">
        <v>10812.693991846205</v>
      </c>
      <c r="N8">
        <v>11994.693991846205</v>
      </c>
      <c r="O8">
        <v>15905.709127685424</v>
      </c>
      <c r="P8">
        <v>19023.828568862544</v>
      </c>
    </row>
    <row r="9" spans="2:31" x14ac:dyDescent="0.2">
      <c r="B9" t="s">
        <v>279</v>
      </c>
      <c r="C9">
        <v>1326.6</v>
      </c>
      <c r="D9">
        <v>2548.4</v>
      </c>
      <c r="E9">
        <v>4607.3</v>
      </c>
      <c r="F9">
        <v>6825</v>
      </c>
      <c r="G9">
        <v>11087</v>
      </c>
      <c r="H9">
        <v>16379</v>
      </c>
      <c r="I9">
        <v>21250</v>
      </c>
      <c r="J9">
        <v>69955</v>
      </c>
      <c r="K9">
        <v>104958</v>
      </c>
      <c r="L9">
        <v>139550</v>
      </c>
      <c r="M9">
        <v>172330</v>
      </c>
      <c r="N9">
        <v>210610</v>
      </c>
      <c r="O9">
        <v>244910</v>
      </c>
      <c r="P9">
        <v>282540</v>
      </c>
    </row>
    <row r="10" spans="2:31" x14ac:dyDescent="0.2">
      <c r="C10">
        <v>1013.6099999999999</v>
      </c>
      <c r="D10">
        <v>1386.1999999999998</v>
      </c>
      <c r="E10">
        <v>2054.4</v>
      </c>
      <c r="F10">
        <v>2608.6999999999998</v>
      </c>
      <c r="G10">
        <v>3576.6</v>
      </c>
      <c r="H10">
        <v>6759.2000000000007</v>
      </c>
      <c r="I10">
        <v>8110.6</v>
      </c>
      <c r="J10">
        <v>13014.3</v>
      </c>
      <c r="K10">
        <v>17872.3</v>
      </c>
      <c r="L10">
        <v>26018.3</v>
      </c>
      <c r="M10">
        <v>30862.3</v>
      </c>
      <c r="U10" t="s">
        <v>407</v>
      </c>
      <c r="W10" t="s">
        <v>408</v>
      </c>
      <c r="X10" t="s">
        <v>236</v>
      </c>
      <c r="Y10" t="s">
        <v>367</v>
      </c>
      <c r="AB10" t="s">
        <v>400</v>
      </c>
      <c r="AC10" t="s">
        <v>224</v>
      </c>
      <c r="AD10" t="s">
        <v>405</v>
      </c>
      <c r="AE10" t="s">
        <v>406</v>
      </c>
    </row>
    <row r="11" spans="2:31" x14ac:dyDescent="0.2">
      <c r="T11">
        <v>5</v>
      </c>
      <c r="U11">
        <v>148.17193380000001</v>
      </c>
      <c r="V11">
        <f>U11/25</f>
        <v>5.926877352</v>
      </c>
      <c r="X11">
        <v>712.49281743933386</v>
      </c>
      <c r="AA11">
        <v>5</v>
      </c>
      <c r="AB11">
        <v>257.43068790000001</v>
      </c>
      <c r="AD11">
        <f>V11+$X$12</f>
        <v>34.426590049573356</v>
      </c>
    </row>
    <row r="12" spans="2:31" x14ac:dyDescent="0.2">
      <c r="T12">
        <v>10</v>
      </c>
      <c r="U12">
        <v>296.34386760000001</v>
      </c>
      <c r="V12">
        <f t="shared" ref="V12:V19" si="0">U12/25</f>
        <v>11.853754704</v>
      </c>
      <c r="X12">
        <f>X11/25</f>
        <v>28.499712697573354</v>
      </c>
      <c r="AA12">
        <v>10</v>
      </c>
      <c r="AB12">
        <v>278.64983580000001</v>
      </c>
      <c r="AD12">
        <f t="shared" ref="AD12:AD19" si="1">V12+$X$12</f>
        <v>40.353467401573354</v>
      </c>
    </row>
    <row r="13" spans="2:31" x14ac:dyDescent="0.2">
      <c r="T13">
        <v>20</v>
      </c>
      <c r="U13">
        <v>592.68773520000002</v>
      </c>
      <c r="V13">
        <f t="shared" si="0"/>
        <v>23.707509408</v>
      </c>
      <c r="AA13">
        <v>20</v>
      </c>
      <c r="AB13">
        <v>321.0881316</v>
      </c>
      <c r="AD13">
        <f t="shared" si="1"/>
        <v>52.207222105573351</v>
      </c>
    </row>
    <row r="14" spans="2:31" x14ac:dyDescent="0.2">
      <c r="B14" t="s">
        <v>224</v>
      </c>
      <c r="C14">
        <v>3.11</v>
      </c>
      <c r="D14">
        <v>4.9799999999999995</v>
      </c>
      <c r="E14">
        <v>8.66</v>
      </c>
      <c r="F14">
        <v>24.33</v>
      </c>
      <c r="G14">
        <v>31.309999999999995</v>
      </c>
      <c r="H14">
        <v>45.800000000000004</v>
      </c>
      <c r="I14">
        <v>52.5</v>
      </c>
      <c r="T14">
        <v>30</v>
      </c>
      <c r="U14">
        <v>889.03160279999997</v>
      </c>
      <c r="V14">
        <f t="shared" si="0"/>
        <v>35.561264111999996</v>
      </c>
      <c r="AA14">
        <v>30</v>
      </c>
      <c r="AB14">
        <v>363.52642739999999</v>
      </c>
      <c r="AD14">
        <f t="shared" si="1"/>
        <v>64.060976809573347</v>
      </c>
    </row>
    <row r="15" spans="2:31" x14ac:dyDescent="0.2">
      <c r="T15">
        <v>40</v>
      </c>
      <c r="U15">
        <v>1185.3754704</v>
      </c>
      <c r="V15">
        <f t="shared" si="0"/>
        <v>47.415018816</v>
      </c>
      <c r="AA15">
        <v>40</v>
      </c>
      <c r="AB15">
        <v>405.96472319999998</v>
      </c>
      <c r="AD15">
        <f t="shared" si="1"/>
        <v>75.914731513573358</v>
      </c>
    </row>
    <row r="16" spans="2:31" x14ac:dyDescent="0.2">
      <c r="B16" t="s">
        <v>280</v>
      </c>
      <c r="C16">
        <v>790</v>
      </c>
      <c r="D16">
        <v>1870</v>
      </c>
      <c r="E16">
        <v>1490</v>
      </c>
      <c r="F16">
        <v>439</v>
      </c>
      <c r="G16">
        <v>3040</v>
      </c>
      <c r="H16">
        <v>3720</v>
      </c>
      <c r="I16">
        <v>5060</v>
      </c>
      <c r="T16">
        <v>50</v>
      </c>
      <c r="U16">
        <v>1481.7193380000001</v>
      </c>
      <c r="V16">
        <f t="shared" si="0"/>
        <v>59.268773520000003</v>
      </c>
      <c r="AA16">
        <v>50</v>
      </c>
      <c r="AB16">
        <v>448.40301899999997</v>
      </c>
      <c r="AD16">
        <f t="shared" si="1"/>
        <v>87.768486217573354</v>
      </c>
    </row>
    <row r="17" spans="2:30" x14ac:dyDescent="0.2">
      <c r="B17" t="s">
        <v>292</v>
      </c>
      <c r="C17">
        <v>141</v>
      </c>
      <c r="D17">
        <v>214</v>
      </c>
      <c r="E17">
        <v>359</v>
      </c>
      <c r="F17">
        <v>509</v>
      </c>
      <c r="G17">
        <v>722</v>
      </c>
      <c r="H17">
        <v>969</v>
      </c>
      <c r="I17">
        <v>1230</v>
      </c>
      <c r="T17">
        <v>60</v>
      </c>
      <c r="U17">
        <v>1778.0632055999999</v>
      </c>
      <c r="V17">
        <f t="shared" si="0"/>
        <v>71.122528223999993</v>
      </c>
      <c r="AA17">
        <v>60</v>
      </c>
      <c r="AB17">
        <v>490.84131479999996</v>
      </c>
      <c r="AD17">
        <f t="shared" si="1"/>
        <v>99.622240921573351</v>
      </c>
    </row>
    <row r="18" spans="2:30" x14ac:dyDescent="0.2">
      <c r="B18" t="s">
        <v>293</v>
      </c>
      <c r="C18">
        <v>677</v>
      </c>
      <c r="D18">
        <v>1060</v>
      </c>
      <c r="E18">
        <v>1900</v>
      </c>
      <c r="F18">
        <v>2740</v>
      </c>
      <c r="G18">
        <v>4420</v>
      </c>
      <c r="H18">
        <v>6530</v>
      </c>
      <c r="I18">
        <v>8620</v>
      </c>
      <c r="T18">
        <v>70</v>
      </c>
      <c r="U18">
        <v>2074.4070732</v>
      </c>
      <c r="V18">
        <f t="shared" si="0"/>
        <v>82.976282928000003</v>
      </c>
      <c r="AA18">
        <v>70</v>
      </c>
      <c r="AB18">
        <v>533.27961059999996</v>
      </c>
      <c r="AD18">
        <f t="shared" si="1"/>
        <v>111.47599562557336</v>
      </c>
    </row>
    <row r="19" spans="2:30" x14ac:dyDescent="0.2">
      <c r="T19">
        <v>80</v>
      </c>
      <c r="U19">
        <v>2370.7509408000001</v>
      </c>
      <c r="V19">
        <f t="shared" si="0"/>
        <v>94.830037632</v>
      </c>
      <c r="AA19">
        <v>80</v>
      </c>
      <c r="AB19">
        <v>575.71790639999995</v>
      </c>
      <c r="AD19">
        <f t="shared" si="1"/>
        <v>123.32975032957336</v>
      </c>
    </row>
    <row r="24" spans="2:30" x14ac:dyDescent="0.2">
      <c r="B24" t="s">
        <v>281</v>
      </c>
      <c r="C24">
        <f>(C8+C9)/1000</f>
        <v>2.2366700307705916</v>
      </c>
      <c r="D24">
        <f t="shared" ref="D24:P24" si="2">(D8+D9)/1000</f>
        <v>3.6288075263746893</v>
      </c>
      <c r="E24">
        <f t="shared" si="2"/>
        <v>6.5616238652031464</v>
      </c>
      <c r="F24">
        <f t="shared" si="2"/>
        <v>8.9331154012533016</v>
      </c>
      <c r="G24">
        <f t="shared" si="2"/>
        <v>13.483206937303459</v>
      </c>
      <c r="H24">
        <f t="shared" si="2"/>
        <v>19.825340828979876</v>
      </c>
      <c r="I24">
        <f t="shared" si="2"/>
        <v>25.029464772641848</v>
      </c>
      <c r="J24">
        <f t="shared" si="2"/>
        <v>75.723117258888237</v>
      </c>
      <c r="K24">
        <f t="shared" si="2"/>
        <v>112.67493516981664</v>
      </c>
      <c r="L24">
        <f t="shared" si="2"/>
        <v>148.46993516981664</v>
      </c>
      <c r="M24">
        <f t="shared" si="2"/>
        <v>183.14269399184622</v>
      </c>
      <c r="N24">
        <f t="shared" si="2"/>
        <v>222.6046939918462</v>
      </c>
      <c r="O24">
        <f t="shared" si="2"/>
        <v>260.81570912768541</v>
      </c>
      <c r="P24">
        <f t="shared" si="2"/>
        <v>301.5638285688625</v>
      </c>
    </row>
    <row r="25" spans="2:30" x14ac:dyDescent="0.2">
      <c r="B25" t="s">
        <v>282</v>
      </c>
      <c r="C25">
        <f>(C8+C10)/1000</f>
        <v>1.9236800307705917</v>
      </c>
      <c r="D25">
        <f t="shared" ref="D25:M25" si="3">(D8+D10)/1000</f>
        <v>2.4666075263746889</v>
      </c>
      <c r="E25">
        <f t="shared" si="3"/>
        <v>4.0087238652031463</v>
      </c>
      <c r="F25">
        <f t="shared" si="3"/>
        <v>4.7168154012533021</v>
      </c>
      <c r="G25">
        <f t="shared" si="3"/>
        <v>5.9728069373034591</v>
      </c>
      <c r="H25">
        <f t="shared" si="3"/>
        <v>10.205540828979876</v>
      </c>
      <c r="I25">
        <f t="shared" si="3"/>
        <v>11.890064772641846</v>
      </c>
      <c r="J25">
        <f t="shared" si="3"/>
        <v>18.782417258888231</v>
      </c>
      <c r="K25">
        <f t="shared" si="3"/>
        <v>25.589235169816625</v>
      </c>
      <c r="L25">
        <f t="shared" si="3"/>
        <v>34.938235169816622</v>
      </c>
      <c r="M25">
        <f t="shared" si="3"/>
        <v>41.674993991846208</v>
      </c>
    </row>
    <row r="26" spans="2:30" x14ac:dyDescent="0.2">
      <c r="B26" t="s">
        <v>224</v>
      </c>
      <c r="C26">
        <v>3.11</v>
      </c>
      <c r="D26">
        <v>4.9799999999999995</v>
      </c>
      <c r="E26">
        <v>8.66</v>
      </c>
      <c r="F26">
        <v>24.33</v>
      </c>
      <c r="G26">
        <v>31.309999999999995</v>
      </c>
      <c r="H26">
        <v>45.800000000000004</v>
      </c>
      <c r="I26">
        <v>52.5</v>
      </c>
    </row>
    <row r="30" spans="2:30" x14ac:dyDescent="0.2">
      <c r="B30" t="s">
        <v>286</v>
      </c>
    </row>
    <row r="31" spans="2:30" x14ac:dyDescent="0.2">
      <c r="B31" t="s">
        <v>287</v>
      </c>
      <c r="C31">
        <v>2.2366700307705916</v>
      </c>
      <c r="D31">
        <v>3.6288075263746893</v>
      </c>
      <c r="E31">
        <v>6.5616238652031464</v>
      </c>
      <c r="F31">
        <v>8.9331154012533016</v>
      </c>
      <c r="G31">
        <v>13.483206937303459</v>
      </c>
      <c r="H31">
        <v>19.825340828979876</v>
      </c>
      <c r="I31">
        <v>25.029464772641848</v>
      </c>
      <c r="L31">
        <f>C31</f>
        <v>2.2366700307705916</v>
      </c>
      <c r="M31">
        <f t="shared" ref="M31:R32" si="4">D31</f>
        <v>3.6288075263746893</v>
      </c>
      <c r="N31">
        <f t="shared" si="4"/>
        <v>6.5616238652031464</v>
      </c>
      <c r="O31">
        <f t="shared" si="4"/>
        <v>8.9331154012533016</v>
      </c>
      <c r="P31">
        <f t="shared" si="4"/>
        <v>13.483206937303459</v>
      </c>
      <c r="Q31">
        <f t="shared" si="4"/>
        <v>19.825340828979876</v>
      </c>
      <c r="R31">
        <f t="shared" si="4"/>
        <v>25.029464772641848</v>
      </c>
    </row>
    <row r="32" spans="2:30" x14ac:dyDescent="0.2">
      <c r="B32" t="s">
        <v>288</v>
      </c>
      <c r="C32">
        <v>1.9236800307705917</v>
      </c>
      <c r="D32">
        <v>2.4666075263746889</v>
      </c>
      <c r="E32">
        <v>4.0087238652031463</v>
      </c>
      <c r="F32">
        <v>4.7168154012533021</v>
      </c>
      <c r="G32">
        <v>5.9728069373034591</v>
      </c>
      <c r="H32">
        <v>10.205540828979876</v>
      </c>
      <c r="I32">
        <v>11.890064772641846</v>
      </c>
      <c r="L32">
        <f>C32</f>
        <v>1.9236800307705917</v>
      </c>
      <c r="M32">
        <f t="shared" si="4"/>
        <v>2.4666075263746889</v>
      </c>
      <c r="N32">
        <f t="shared" si="4"/>
        <v>4.0087238652031463</v>
      </c>
      <c r="O32">
        <f t="shared" si="4"/>
        <v>4.7168154012533021</v>
      </c>
      <c r="P32">
        <f t="shared" si="4"/>
        <v>5.9728069373034591</v>
      </c>
      <c r="Q32">
        <f t="shared" si="4"/>
        <v>10.205540828979876</v>
      </c>
      <c r="R32">
        <f t="shared" si="4"/>
        <v>11.890064772641846</v>
      </c>
    </row>
    <row r="33" spans="2:18" x14ac:dyDescent="0.2">
      <c r="B33" t="s">
        <v>224</v>
      </c>
      <c r="C33">
        <v>3.11</v>
      </c>
      <c r="D33">
        <v>4.9799999999999995</v>
      </c>
      <c r="E33">
        <v>8.66</v>
      </c>
      <c r="F33">
        <v>24.33</v>
      </c>
      <c r="G33">
        <v>31.309999999999995</v>
      </c>
      <c r="H33">
        <v>45.800000000000004</v>
      </c>
      <c r="I33">
        <v>52.5</v>
      </c>
    </row>
    <row r="34" spans="2:18" x14ac:dyDescent="0.2">
      <c r="B34" t="s">
        <v>294</v>
      </c>
      <c r="C34">
        <f>(C16+C17)/1000</f>
        <v>0.93100000000000005</v>
      </c>
      <c r="D34">
        <f>(D16+D17)/1000</f>
        <v>2.0840000000000001</v>
      </c>
      <c r="E34">
        <f>(E16+E17)/1000</f>
        <v>1.849</v>
      </c>
      <c r="F34">
        <f t="shared" ref="F34:H34" si="5">(F16+F17)/1000</f>
        <v>0.94799999999999995</v>
      </c>
      <c r="G34">
        <f t="shared" si="5"/>
        <v>3.762</v>
      </c>
      <c r="H34">
        <f t="shared" si="5"/>
        <v>4.6890000000000001</v>
      </c>
      <c r="I34">
        <f t="shared" ref="I34" si="6">(I16+I17)/1000</f>
        <v>6.29</v>
      </c>
    </row>
    <row r="35" spans="2:18" x14ac:dyDescent="0.2">
      <c r="B35" t="s">
        <v>295</v>
      </c>
      <c r="C35">
        <f>(C16+C18)/1000</f>
        <v>1.4670000000000001</v>
      </c>
      <c r="D35">
        <f>(D16+D18)/1000</f>
        <v>2.93</v>
      </c>
      <c r="E35">
        <f>(E16+E18)/1000</f>
        <v>3.39</v>
      </c>
      <c r="F35">
        <f t="shared" ref="F35:H35" si="7">(F16+F18)/1000</f>
        <v>3.1789999999999998</v>
      </c>
      <c r="G35">
        <f t="shared" si="7"/>
        <v>7.46</v>
      </c>
      <c r="H35">
        <f t="shared" si="7"/>
        <v>10.25</v>
      </c>
      <c r="I35">
        <f>(I16+I18)/1000</f>
        <v>13.68</v>
      </c>
      <c r="L35">
        <f>AVERAGE(C34:C35)</f>
        <v>1.1990000000000001</v>
      </c>
      <c r="M35">
        <f t="shared" ref="M35:Q35" si="8">AVERAGE(D34:D35)</f>
        <v>2.5070000000000001</v>
      </c>
      <c r="N35">
        <f t="shared" si="8"/>
        <v>2.6194999999999999</v>
      </c>
      <c r="O35">
        <f t="shared" si="8"/>
        <v>2.0634999999999999</v>
      </c>
      <c r="P35">
        <f t="shared" si="8"/>
        <v>5.6109999999999998</v>
      </c>
      <c r="Q35">
        <f t="shared" si="8"/>
        <v>7.4695</v>
      </c>
      <c r="R35">
        <f>AVERAGE(I34:I35)</f>
        <v>9.9849999999999994</v>
      </c>
    </row>
    <row r="41" spans="2:18" x14ac:dyDescent="0.2">
      <c r="B41" t="s">
        <v>89</v>
      </c>
      <c r="C41">
        <v>5</v>
      </c>
      <c r="D41">
        <v>10</v>
      </c>
      <c r="E41">
        <v>20</v>
      </c>
      <c r="F41">
        <v>30</v>
      </c>
      <c r="G41">
        <v>50</v>
      </c>
      <c r="H41">
        <v>75</v>
      </c>
      <c r="I41">
        <v>100</v>
      </c>
    </row>
    <row r="42" spans="2:18" x14ac:dyDescent="0.2">
      <c r="B42" t="s">
        <v>296</v>
      </c>
      <c r="C42" s="3">
        <f t="shared" ref="C42:I42" si="9">ROUND(C34,1)</f>
        <v>0.9</v>
      </c>
      <c r="D42" s="3">
        <f t="shared" si="9"/>
        <v>2.1</v>
      </c>
      <c r="E42" s="3">
        <f t="shared" si="9"/>
        <v>1.8</v>
      </c>
      <c r="F42" s="3">
        <f t="shared" si="9"/>
        <v>0.9</v>
      </c>
      <c r="G42" s="3">
        <f t="shared" si="9"/>
        <v>3.8</v>
      </c>
      <c r="H42" s="3">
        <f t="shared" si="9"/>
        <v>4.7</v>
      </c>
      <c r="I42" s="3">
        <f t="shared" si="9"/>
        <v>6.3</v>
      </c>
    </row>
    <row r="43" spans="2:18" x14ac:dyDescent="0.2">
      <c r="B43" t="s">
        <v>297</v>
      </c>
      <c r="C43" s="3">
        <f t="shared" ref="C43:I43" si="10">ROUND(C35,1)</f>
        <v>1.5</v>
      </c>
      <c r="D43" s="3">
        <f t="shared" si="10"/>
        <v>2.9</v>
      </c>
      <c r="E43" s="3">
        <f t="shared" si="10"/>
        <v>3.4</v>
      </c>
      <c r="F43" s="3">
        <f t="shared" si="10"/>
        <v>3.2</v>
      </c>
      <c r="G43" s="3">
        <f t="shared" si="10"/>
        <v>7.5</v>
      </c>
      <c r="H43" s="3">
        <f t="shared" si="10"/>
        <v>10.3</v>
      </c>
      <c r="I43" s="3">
        <f t="shared" si="10"/>
        <v>13.7</v>
      </c>
    </row>
    <row r="44" spans="2:18" x14ac:dyDescent="0.2">
      <c r="B44" t="s">
        <v>224</v>
      </c>
      <c r="C44" s="3">
        <f>ROUND(C33,1)</f>
        <v>3.1</v>
      </c>
      <c r="D44" s="3">
        <f t="shared" ref="D44:I44" si="11">ROUND(D33,1)</f>
        <v>5</v>
      </c>
      <c r="E44" s="3">
        <f t="shared" si="11"/>
        <v>8.6999999999999993</v>
      </c>
      <c r="F44" s="3">
        <f t="shared" si="11"/>
        <v>24.3</v>
      </c>
      <c r="G44" s="3">
        <f t="shared" si="11"/>
        <v>31.3</v>
      </c>
      <c r="H44" s="3">
        <f t="shared" si="11"/>
        <v>45.8</v>
      </c>
      <c r="I44" s="3">
        <f t="shared" si="11"/>
        <v>52.5</v>
      </c>
    </row>
    <row r="45" spans="2:18" x14ac:dyDescent="0.2">
      <c r="B45" t="s">
        <v>287</v>
      </c>
      <c r="C45" s="3">
        <f t="shared" ref="C45:I46" si="12">ROUND(C31,1)</f>
        <v>2.2000000000000002</v>
      </c>
      <c r="D45" s="3">
        <f t="shared" si="12"/>
        <v>3.6</v>
      </c>
      <c r="E45" s="3">
        <f t="shared" si="12"/>
        <v>6.6</v>
      </c>
      <c r="F45" s="3">
        <f t="shared" si="12"/>
        <v>8.9</v>
      </c>
      <c r="G45" s="3">
        <f t="shared" si="12"/>
        <v>13.5</v>
      </c>
      <c r="H45" s="3">
        <f t="shared" si="12"/>
        <v>19.8</v>
      </c>
      <c r="I45" s="3">
        <f t="shared" si="12"/>
        <v>25</v>
      </c>
    </row>
    <row r="46" spans="2:18" x14ac:dyDescent="0.2">
      <c r="B46" t="s">
        <v>288</v>
      </c>
      <c r="C46" s="3">
        <f t="shared" si="12"/>
        <v>1.9</v>
      </c>
      <c r="D46" s="3">
        <f t="shared" si="12"/>
        <v>2.5</v>
      </c>
      <c r="E46" s="3">
        <f t="shared" si="12"/>
        <v>4</v>
      </c>
      <c r="F46" s="3">
        <f t="shared" si="12"/>
        <v>4.7</v>
      </c>
      <c r="G46" s="3">
        <f t="shared" si="12"/>
        <v>6</v>
      </c>
      <c r="H46" s="3">
        <f t="shared" si="12"/>
        <v>10.199999999999999</v>
      </c>
      <c r="I46" s="3">
        <f t="shared" si="12"/>
        <v>11.9</v>
      </c>
    </row>
    <row r="50" spans="2:17" x14ac:dyDescent="0.2">
      <c r="B50" t="s">
        <v>102</v>
      </c>
    </row>
    <row r="52" spans="2:17" x14ac:dyDescent="0.2">
      <c r="B52" t="s">
        <v>400</v>
      </c>
      <c r="C52">
        <v>2.0214574176000002</v>
      </c>
      <c r="D52">
        <v>3.1230321845999995</v>
      </c>
      <c r="E52">
        <v>5.2750771268999994</v>
      </c>
      <c r="F52">
        <v>6.9382367640000009</v>
      </c>
      <c r="G52">
        <v>8.4515862479999999</v>
      </c>
      <c r="H52">
        <v>12.040804935000001</v>
      </c>
      <c r="I52">
        <v>16.054406579999998</v>
      </c>
      <c r="K52">
        <v>2.0214574175999998</v>
      </c>
      <c r="L52">
        <v>3.1230321845999995</v>
      </c>
      <c r="M52">
        <v>5.2750771268999994</v>
      </c>
      <c r="N52">
        <v>6.9382367640000009</v>
      </c>
      <c r="O52">
        <v>8.4515862479999999</v>
      </c>
      <c r="P52">
        <v>12.040804935000001</v>
      </c>
      <c r="Q52">
        <v>16.054406579999998</v>
      </c>
    </row>
    <row r="53" spans="2:17" x14ac:dyDescent="0.2">
      <c r="B53" t="s">
        <v>224</v>
      </c>
      <c r="C53">
        <v>14.5667440005098</v>
      </c>
      <c r="D53">
        <v>21.626692243593496</v>
      </c>
      <c r="E53">
        <v>48.533844406789058</v>
      </c>
      <c r="F53">
        <v>59.68455334498406</v>
      </c>
      <c r="G53">
        <v>92.99072386684162</v>
      </c>
      <c r="H53">
        <v>134.00025626931543</v>
      </c>
      <c r="I53">
        <v>243.05318185255857</v>
      </c>
      <c r="K53">
        <f>C53-$B$74</f>
        <v>6.9107440005098004</v>
      </c>
      <c r="L53">
        <f t="shared" ref="L53:Q55" si="13">D53-$B$74</f>
        <v>13.970692243593497</v>
      </c>
      <c r="M53">
        <f t="shared" si="13"/>
        <v>40.877844406789059</v>
      </c>
      <c r="N53">
        <f t="shared" si="13"/>
        <v>52.028553344984061</v>
      </c>
      <c r="O53">
        <f t="shared" si="13"/>
        <v>85.334723866841614</v>
      </c>
      <c r="P53">
        <f t="shared" si="13"/>
        <v>126.34425626931542</v>
      </c>
      <c r="Q53">
        <f t="shared" si="13"/>
        <v>235.39718185255856</v>
      </c>
    </row>
    <row r="54" spans="2:17" x14ac:dyDescent="0.2">
      <c r="B54" t="s">
        <v>287</v>
      </c>
      <c r="C54">
        <v>8.8670940055664289</v>
      </c>
      <c r="D54">
        <v>9.1645036063978562</v>
      </c>
      <c r="E54">
        <v>9.7233540230635711</v>
      </c>
      <c r="F54">
        <v>10.185054914780714</v>
      </c>
      <c r="G54">
        <v>11.119828122253573</v>
      </c>
      <c r="H54">
        <v>12.184762960389286</v>
      </c>
      <c r="I54">
        <v>13.128143665489286</v>
      </c>
      <c r="K54">
        <f>C54-$B$74</f>
        <v>1.2110940055664292</v>
      </c>
      <c r="L54">
        <f t="shared" si="13"/>
        <v>1.5085036063978565</v>
      </c>
      <c r="M54">
        <f t="shared" si="13"/>
        <v>2.0673540230635714</v>
      </c>
      <c r="N54">
        <f t="shared" si="13"/>
        <v>2.5290549147807146</v>
      </c>
      <c r="O54">
        <f t="shared" si="13"/>
        <v>3.4638281222535729</v>
      </c>
      <c r="P54">
        <f t="shared" si="13"/>
        <v>4.5287629603892858</v>
      </c>
      <c r="Q54">
        <f t="shared" si="13"/>
        <v>5.4721436654892868</v>
      </c>
    </row>
    <row r="55" spans="2:17" x14ac:dyDescent="0.2">
      <c r="B55" t="s">
        <v>288</v>
      </c>
      <c r="C55">
        <v>9.9441841729902123</v>
      </c>
      <c r="D55">
        <v>10.708380650620422</v>
      </c>
      <c r="E55">
        <v>17.620255910445728</v>
      </c>
      <c r="F55">
        <v>18.076509401336978</v>
      </c>
      <c r="G55">
        <v>19.125977654479478</v>
      </c>
      <c r="H55">
        <v>20.437812970907604</v>
      </c>
      <c r="I55">
        <v>21.749648287335731</v>
      </c>
      <c r="K55">
        <f>C55-$B$74</f>
        <v>2.2881841729902126</v>
      </c>
      <c r="L55">
        <f t="shared" si="13"/>
        <v>3.0523806506204219</v>
      </c>
      <c r="M55">
        <f t="shared" si="13"/>
        <v>9.9642559104457291</v>
      </c>
      <c r="N55">
        <f t="shared" si="13"/>
        <v>10.420509401336979</v>
      </c>
      <c r="O55">
        <f t="shared" si="13"/>
        <v>11.469977654479479</v>
      </c>
      <c r="P55">
        <f t="shared" si="13"/>
        <v>12.781812970907605</v>
      </c>
      <c r="Q55">
        <f t="shared" si="13"/>
        <v>14.093648287335732</v>
      </c>
    </row>
    <row r="59" spans="2:17" x14ac:dyDescent="0.2">
      <c r="B59" t="s">
        <v>290</v>
      </c>
    </row>
    <row r="60" spans="2:17" x14ac:dyDescent="0.2">
      <c r="C60">
        <v>5</v>
      </c>
      <c r="D60">
        <v>10</v>
      </c>
      <c r="E60">
        <v>20</v>
      </c>
      <c r="F60">
        <v>30</v>
      </c>
      <c r="G60">
        <v>50</v>
      </c>
      <c r="H60">
        <v>75</v>
      </c>
      <c r="I60">
        <v>100</v>
      </c>
    </row>
    <row r="61" spans="2:17" x14ac:dyDescent="0.2">
      <c r="B61" t="s">
        <v>296</v>
      </c>
      <c r="C61">
        <f>C34+C52</f>
        <v>2.9524574176000002</v>
      </c>
      <c r="D61">
        <f t="shared" ref="D61:I61" si="14">D34+D52</f>
        <v>5.2070321845999992</v>
      </c>
      <c r="E61">
        <f t="shared" si="14"/>
        <v>7.1240771268999996</v>
      </c>
      <c r="F61">
        <f t="shared" si="14"/>
        <v>7.8862367640000013</v>
      </c>
      <c r="G61">
        <f t="shared" si="14"/>
        <v>12.213586248</v>
      </c>
      <c r="H61">
        <f t="shared" si="14"/>
        <v>16.729804935000001</v>
      </c>
      <c r="I61">
        <f t="shared" si="14"/>
        <v>22.344406579999998</v>
      </c>
    </row>
    <row r="62" spans="2:17" x14ac:dyDescent="0.2">
      <c r="B62" t="s">
        <v>297</v>
      </c>
      <c r="C62">
        <f>C35+C52</f>
        <v>3.4884574176000003</v>
      </c>
      <c r="D62">
        <f t="shared" ref="D62:I62" si="15">D35+D52</f>
        <v>6.0530321845999993</v>
      </c>
      <c r="E62">
        <f t="shared" si="15"/>
        <v>8.6650771269</v>
      </c>
      <c r="F62">
        <f t="shared" si="15"/>
        <v>10.117236764000001</v>
      </c>
      <c r="G62">
        <f t="shared" si="15"/>
        <v>15.911586247999999</v>
      </c>
      <c r="H62">
        <f t="shared" si="15"/>
        <v>22.290804935000001</v>
      </c>
      <c r="I62">
        <f t="shared" si="15"/>
        <v>29.734406579999998</v>
      </c>
    </row>
    <row r="63" spans="2:17" x14ac:dyDescent="0.2">
      <c r="B63" t="s">
        <v>224</v>
      </c>
      <c r="C63">
        <f>C33+C53</f>
        <v>17.6767440005098</v>
      </c>
      <c r="D63">
        <f t="shared" ref="D63:I63" si="16">D33+D53</f>
        <v>26.606692243593496</v>
      </c>
      <c r="E63">
        <f t="shared" si="16"/>
        <v>57.193844406789054</v>
      </c>
      <c r="F63">
        <f t="shared" si="16"/>
        <v>84.014553344984051</v>
      </c>
      <c r="G63">
        <f t="shared" si="16"/>
        <v>124.30072386684162</v>
      </c>
      <c r="H63">
        <f t="shared" si="16"/>
        <v>179.80025626931544</v>
      </c>
      <c r="I63">
        <f t="shared" si="16"/>
        <v>295.55318185255857</v>
      </c>
    </row>
    <row r="64" spans="2:17" x14ac:dyDescent="0.2">
      <c r="B64" t="s">
        <v>287</v>
      </c>
      <c r="C64">
        <f>C31+C54</f>
        <v>11.10376403633702</v>
      </c>
      <c r="D64">
        <f t="shared" ref="D64:I64" si="17">D31+D54</f>
        <v>12.793311132772546</v>
      </c>
      <c r="E64">
        <f t="shared" si="17"/>
        <v>16.284977888266717</v>
      </c>
      <c r="F64">
        <f t="shared" si="17"/>
        <v>19.118170316034018</v>
      </c>
      <c r="G64">
        <f t="shared" si="17"/>
        <v>24.60303505955703</v>
      </c>
      <c r="H64">
        <f t="shared" si="17"/>
        <v>32.010103789369161</v>
      </c>
      <c r="I64">
        <f t="shared" si="17"/>
        <v>38.157608438131135</v>
      </c>
    </row>
    <row r="65" spans="2:19" x14ac:dyDescent="0.2">
      <c r="B65" t="s">
        <v>288</v>
      </c>
      <c r="C65">
        <f>C32+C55</f>
        <v>11.867864203760805</v>
      </c>
      <c r="D65">
        <f t="shared" ref="D65:I65" si="18">D32+D55</f>
        <v>13.174988176995111</v>
      </c>
      <c r="E65">
        <f t="shared" si="18"/>
        <v>21.628979775648872</v>
      </c>
      <c r="F65">
        <f t="shared" si="18"/>
        <v>22.793324802590281</v>
      </c>
      <c r="G65">
        <f t="shared" si="18"/>
        <v>25.098784591782938</v>
      </c>
      <c r="H65">
        <f t="shared" si="18"/>
        <v>30.643353799887478</v>
      </c>
      <c r="I65">
        <f t="shared" si="18"/>
        <v>33.639713059977581</v>
      </c>
    </row>
    <row r="67" spans="2:19" x14ac:dyDescent="0.2">
      <c r="C67">
        <v>5</v>
      </c>
      <c r="D67">
        <v>10</v>
      </c>
      <c r="E67">
        <v>20</v>
      </c>
      <c r="F67">
        <v>30</v>
      </c>
      <c r="G67">
        <v>50</v>
      </c>
      <c r="H67">
        <v>75</v>
      </c>
      <c r="I67">
        <v>100</v>
      </c>
    </row>
    <row r="68" spans="2:19" x14ac:dyDescent="0.2">
      <c r="B68" t="s">
        <v>296</v>
      </c>
      <c r="C68">
        <f>C61/C$60</f>
        <v>0.59049148352000003</v>
      </c>
      <c r="D68">
        <f t="shared" ref="D68:I68" si="19">D61/D$60</f>
        <v>0.52070321845999989</v>
      </c>
      <c r="E68">
        <f t="shared" si="19"/>
        <v>0.35620385634499996</v>
      </c>
      <c r="F68">
        <f t="shared" si="19"/>
        <v>0.26287455880000005</v>
      </c>
      <c r="G68">
        <f t="shared" si="19"/>
        <v>0.24427172496000002</v>
      </c>
      <c r="H68">
        <f t="shared" si="19"/>
        <v>0.22306406580000002</v>
      </c>
      <c r="I68">
        <f t="shared" si="19"/>
        <v>0.22344406579999998</v>
      </c>
      <c r="M68">
        <v>5</v>
      </c>
      <c r="N68">
        <v>10</v>
      </c>
      <c r="O68">
        <v>20</v>
      </c>
      <c r="P68">
        <v>30</v>
      </c>
      <c r="Q68">
        <v>50</v>
      </c>
      <c r="R68">
        <v>75</v>
      </c>
      <c r="S68">
        <v>100</v>
      </c>
    </row>
    <row r="69" spans="2:19" x14ac:dyDescent="0.2">
      <c r="B69" t="s">
        <v>297</v>
      </c>
      <c r="C69">
        <f t="shared" ref="C69:I69" si="20">C62/C$60</f>
        <v>0.6976914835200001</v>
      </c>
      <c r="D69">
        <f t="shared" si="20"/>
        <v>0.6053032184599999</v>
      </c>
      <c r="E69">
        <f t="shared" si="20"/>
        <v>0.43325385634500002</v>
      </c>
      <c r="F69">
        <f t="shared" si="20"/>
        <v>0.33724122546666668</v>
      </c>
      <c r="G69">
        <f t="shared" si="20"/>
        <v>0.31823172495999996</v>
      </c>
      <c r="H69">
        <f t="shared" si="20"/>
        <v>0.29721073246666668</v>
      </c>
      <c r="I69">
        <f t="shared" si="20"/>
        <v>0.2973440658</v>
      </c>
      <c r="L69" t="s">
        <v>400</v>
      </c>
      <c r="M69">
        <f t="shared" ref="M69:S69" si="21">AVERAGE(C68:C69)</f>
        <v>0.64409148352000001</v>
      </c>
      <c r="N69">
        <f t="shared" si="21"/>
        <v>0.5630032184599999</v>
      </c>
      <c r="O69">
        <f t="shared" si="21"/>
        <v>0.39472885634499999</v>
      </c>
      <c r="P69">
        <f t="shared" si="21"/>
        <v>0.30005789213333334</v>
      </c>
      <c r="Q69">
        <f t="shared" si="21"/>
        <v>0.28125172496</v>
      </c>
      <c r="R69">
        <f t="shared" si="21"/>
        <v>0.26013739913333334</v>
      </c>
      <c r="S69">
        <f t="shared" si="21"/>
        <v>0.26039406580000002</v>
      </c>
    </row>
    <row r="70" spans="2:19" x14ac:dyDescent="0.2">
      <c r="B70" t="s">
        <v>224</v>
      </c>
      <c r="C70">
        <f>C63/C$60</f>
        <v>3.5353488001019597</v>
      </c>
      <c r="D70">
        <f t="shared" ref="D70:I70" si="22">D63/D$60</f>
        <v>2.6606692243593497</v>
      </c>
      <c r="E70">
        <f t="shared" si="22"/>
        <v>2.8596922203394528</v>
      </c>
      <c r="F70">
        <f t="shared" si="22"/>
        <v>2.8004851114994684</v>
      </c>
      <c r="G70">
        <f t="shared" si="22"/>
        <v>2.4860144773368322</v>
      </c>
      <c r="H70">
        <f t="shared" si="22"/>
        <v>2.3973367502575393</v>
      </c>
      <c r="I70">
        <f t="shared" si="22"/>
        <v>2.9555318185255857</v>
      </c>
      <c r="L70" t="s">
        <v>224</v>
      </c>
      <c r="M70">
        <v>3.5353488001019597</v>
      </c>
      <c r="N70">
        <v>2.6606692243593497</v>
      </c>
      <c r="O70">
        <v>2.8596922203394528</v>
      </c>
      <c r="P70">
        <v>2.8004851114994684</v>
      </c>
      <c r="Q70">
        <v>2.4860144773368322</v>
      </c>
      <c r="R70">
        <v>2.3973367502575393</v>
      </c>
      <c r="S70">
        <v>2.9555318185255857</v>
      </c>
    </row>
    <row r="71" spans="2:19" x14ac:dyDescent="0.2">
      <c r="B71" t="s">
        <v>287</v>
      </c>
      <c r="C71">
        <f t="shared" ref="C71:I71" si="23">C64/C$60</f>
        <v>2.2207528072674041</v>
      </c>
      <c r="D71">
        <f t="shared" si="23"/>
        <v>1.2793311132772547</v>
      </c>
      <c r="E71">
        <f t="shared" si="23"/>
        <v>0.81424889441333581</v>
      </c>
      <c r="F71">
        <f t="shared" si="23"/>
        <v>0.63727234386780063</v>
      </c>
      <c r="G71">
        <f t="shared" si="23"/>
        <v>0.49206070119114059</v>
      </c>
      <c r="H71">
        <f t="shared" si="23"/>
        <v>0.4268013838582555</v>
      </c>
      <c r="I71">
        <f t="shared" si="23"/>
        <v>0.38157608438131135</v>
      </c>
      <c r="L71" t="s">
        <v>287</v>
      </c>
      <c r="M71">
        <v>2.2207528072674041</v>
      </c>
      <c r="N71">
        <v>1.2793311132772547</v>
      </c>
      <c r="O71">
        <v>0.81424889441333581</v>
      </c>
      <c r="P71">
        <v>0.63727234386780063</v>
      </c>
      <c r="Q71">
        <v>0.49206070119114059</v>
      </c>
      <c r="R71">
        <v>0.4268013838582555</v>
      </c>
      <c r="S71">
        <v>0.38157608438131135</v>
      </c>
    </row>
    <row r="72" spans="2:19" x14ac:dyDescent="0.2">
      <c r="B72" t="s">
        <v>288</v>
      </c>
      <c r="C72">
        <f t="shared" ref="C72:I72" si="24">C65/C$60</f>
        <v>2.373572840752161</v>
      </c>
      <c r="D72">
        <f t="shared" si="24"/>
        <v>1.317498817699511</v>
      </c>
      <c r="E72">
        <f t="shared" si="24"/>
        <v>1.0814489887824437</v>
      </c>
      <c r="F72">
        <f t="shared" si="24"/>
        <v>0.75977749341967604</v>
      </c>
      <c r="G72">
        <f t="shared" si="24"/>
        <v>0.50197569183565871</v>
      </c>
      <c r="H72">
        <f t="shared" si="24"/>
        <v>0.40857805066516639</v>
      </c>
      <c r="I72">
        <f t="shared" si="24"/>
        <v>0.33639713059977583</v>
      </c>
      <c r="L72" t="s">
        <v>288</v>
      </c>
      <c r="M72">
        <v>2.373572840752161</v>
      </c>
      <c r="N72">
        <v>1.317498817699511</v>
      </c>
      <c r="O72">
        <v>1.0814489887824437</v>
      </c>
      <c r="P72">
        <v>0.75977749341967604</v>
      </c>
      <c r="Q72">
        <v>0.50197569183565871</v>
      </c>
      <c r="R72">
        <v>0.40857805066516639</v>
      </c>
      <c r="S72">
        <v>0.33639713059977583</v>
      </c>
    </row>
    <row r="74" spans="2:19" x14ac:dyDescent="0.2">
      <c r="B74">
        <v>7.6559999999999997</v>
      </c>
    </row>
    <row r="76" spans="2:19" x14ac:dyDescent="0.2">
      <c r="B76" t="s">
        <v>401</v>
      </c>
    </row>
    <row r="78" spans="2:19" x14ac:dyDescent="0.2">
      <c r="B78" t="s">
        <v>296</v>
      </c>
      <c r="C78">
        <v>2.9524574175999998</v>
      </c>
      <c r="D78">
        <v>5.2070321845999992</v>
      </c>
      <c r="E78">
        <v>7.1240771268999996</v>
      </c>
      <c r="F78">
        <v>7.8862367640000013</v>
      </c>
      <c r="G78">
        <v>12.213586248</v>
      </c>
      <c r="H78">
        <v>16.729804935000001</v>
      </c>
      <c r="I78">
        <v>22.344406579999998</v>
      </c>
    </row>
    <row r="79" spans="2:19" x14ac:dyDescent="0.2">
      <c r="B79" t="s">
        <v>297</v>
      </c>
      <c r="C79">
        <v>3.4884574175999998</v>
      </c>
      <c r="D79">
        <v>6.0530321845999993</v>
      </c>
      <c r="E79">
        <v>8.6650771269</v>
      </c>
      <c r="F79">
        <v>10.117236764000001</v>
      </c>
      <c r="G79">
        <v>15.911586247999999</v>
      </c>
      <c r="H79">
        <v>22.290804935000001</v>
      </c>
      <c r="I79">
        <v>29.734406579999998</v>
      </c>
    </row>
    <row r="80" spans="2:19" x14ac:dyDescent="0.2">
      <c r="B80" t="s">
        <v>224</v>
      </c>
      <c r="C80">
        <f>C63-$B$74</f>
        <v>10.020744000509801</v>
      </c>
      <c r="D80">
        <f t="shared" ref="D80:I80" si="25">D63-$B$74</f>
        <v>18.950692243593497</v>
      </c>
      <c r="E80">
        <f t="shared" si="25"/>
        <v>49.537844406789056</v>
      </c>
      <c r="F80">
        <f t="shared" si="25"/>
        <v>76.358553344984045</v>
      </c>
      <c r="G80">
        <f t="shared" si="25"/>
        <v>116.64472386684162</v>
      </c>
      <c r="H80">
        <f t="shared" si="25"/>
        <v>172.14425626931543</v>
      </c>
      <c r="I80">
        <f t="shared" si="25"/>
        <v>287.89718185255856</v>
      </c>
    </row>
    <row r="81" spans="2:11" x14ac:dyDescent="0.2">
      <c r="B81" t="s">
        <v>287</v>
      </c>
      <c r="C81">
        <f>C64-$B$74</f>
        <v>3.4477640363370208</v>
      </c>
      <c r="D81">
        <f t="shared" ref="C81:I82" si="26">D64-$B$74</f>
        <v>5.1373111327725463</v>
      </c>
      <c r="E81">
        <f t="shared" si="26"/>
        <v>8.6289778882667179</v>
      </c>
      <c r="F81">
        <f t="shared" si="26"/>
        <v>11.462170316034019</v>
      </c>
      <c r="G81">
        <f t="shared" si="26"/>
        <v>16.947035059557031</v>
      </c>
      <c r="H81">
        <f t="shared" si="26"/>
        <v>24.354103789369162</v>
      </c>
      <c r="I81">
        <f t="shared" si="26"/>
        <v>30.501608438131136</v>
      </c>
    </row>
    <row r="82" spans="2:11" x14ac:dyDescent="0.2">
      <c r="B82" t="s">
        <v>288</v>
      </c>
      <c r="C82">
        <f t="shared" si="26"/>
        <v>4.2118642037608049</v>
      </c>
      <c r="D82">
        <f t="shared" si="26"/>
        <v>5.5189881769951112</v>
      </c>
      <c r="E82">
        <f t="shared" si="26"/>
        <v>13.972979775648874</v>
      </c>
      <c r="F82">
        <f t="shared" si="26"/>
        <v>15.137324802590282</v>
      </c>
      <c r="G82">
        <f t="shared" si="26"/>
        <v>17.442784591782939</v>
      </c>
      <c r="H82">
        <f>H65-$B$74</f>
        <v>22.98735379988748</v>
      </c>
      <c r="I82">
        <f>I65-$B$74</f>
        <v>25.983713059977582</v>
      </c>
    </row>
    <row r="84" spans="2:11" x14ac:dyDescent="0.2">
      <c r="C84">
        <v>5</v>
      </c>
      <c r="D84">
        <v>10</v>
      </c>
      <c r="E84">
        <v>20</v>
      </c>
      <c r="F84">
        <v>30</v>
      </c>
      <c r="G84">
        <v>50</v>
      </c>
      <c r="H84">
        <v>75</v>
      </c>
      <c r="I84">
        <v>100</v>
      </c>
    </row>
    <row r="85" spans="2:11" x14ac:dyDescent="0.2">
      <c r="B85" t="s">
        <v>296</v>
      </c>
      <c r="C85">
        <f>C78/C$84</f>
        <v>0.59049148351999992</v>
      </c>
      <c r="D85">
        <f t="shared" ref="D85:I85" si="27">D78/D$84</f>
        <v>0.52070321845999989</v>
      </c>
      <c r="E85">
        <f t="shared" si="27"/>
        <v>0.35620385634499996</v>
      </c>
      <c r="F85">
        <f t="shared" si="27"/>
        <v>0.26287455880000005</v>
      </c>
      <c r="G85">
        <f t="shared" si="27"/>
        <v>0.24427172496000002</v>
      </c>
      <c r="H85">
        <f t="shared" si="27"/>
        <v>0.22306406580000002</v>
      </c>
      <c r="I85">
        <f t="shared" si="27"/>
        <v>0.22344406579999998</v>
      </c>
    </row>
    <row r="86" spans="2:11" x14ac:dyDescent="0.2">
      <c r="B86" t="s">
        <v>297</v>
      </c>
      <c r="C86">
        <f t="shared" ref="C86:I86" si="28">C79/C$84</f>
        <v>0.69769148351999999</v>
      </c>
      <c r="D86">
        <f t="shared" si="28"/>
        <v>0.6053032184599999</v>
      </c>
      <c r="E86">
        <f t="shared" si="28"/>
        <v>0.43325385634500002</v>
      </c>
      <c r="F86">
        <f t="shared" si="28"/>
        <v>0.33724122546666668</v>
      </c>
      <c r="G86">
        <f t="shared" si="28"/>
        <v>0.31823172495999996</v>
      </c>
      <c r="H86">
        <f t="shared" si="28"/>
        <v>0.29721073246666668</v>
      </c>
      <c r="I86">
        <f t="shared" si="28"/>
        <v>0.2973440658</v>
      </c>
    </row>
    <row r="87" spans="2:11" x14ac:dyDescent="0.2">
      <c r="B87" t="s">
        <v>224</v>
      </c>
      <c r="C87">
        <f t="shared" ref="C87:I87" si="29">C80/C$84</f>
        <v>2.0041488001019601</v>
      </c>
      <c r="D87">
        <f t="shared" si="29"/>
        <v>1.8950692243593497</v>
      </c>
      <c r="E87">
        <f t="shared" si="29"/>
        <v>2.4768922203394528</v>
      </c>
      <c r="F87">
        <f t="shared" si="29"/>
        <v>2.5452851114994681</v>
      </c>
      <c r="G87">
        <f t="shared" si="29"/>
        <v>2.3328944773368323</v>
      </c>
      <c r="H87">
        <f t="shared" si="29"/>
        <v>2.2952567502575389</v>
      </c>
      <c r="I87">
        <f t="shared" si="29"/>
        <v>2.8789718185255855</v>
      </c>
    </row>
    <row r="88" spans="2:11" x14ac:dyDescent="0.2">
      <c r="B88" t="s">
        <v>287</v>
      </c>
      <c r="C88">
        <f t="shared" ref="C88:I88" si="30">C81/C$84</f>
        <v>0.6895528072674042</v>
      </c>
      <c r="D88">
        <f t="shared" si="30"/>
        <v>0.51373111327725463</v>
      </c>
      <c r="E88">
        <f t="shared" si="30"/>
        <v>0.43144889441333589</v>
      </c>
      <c r="F88">
        <f t="shared" si="30"/>
        <v>0.38207234386780065</v>
      </c>
      <c r="G88">
        <f t="shared" si="30"/>
        <v>0.33894070119114061</v>
      </c>
      <c r="H88">
        <f t="shared" si="30"/>
        <v>0.3247213838582555</v>
      </c>
      <c r="I88">
        <f t="shared" si="30"/>
        <v>0.30501608438131134</v>
      </c>
    </row>
    <row r="89" spans="2:11" x14ac:dyDescent="0.2">
      <c r="B89" t="s">
        <v>288</v>
      </c>
      <c r="C89">
        <f t="shared" ref="C89:I89" si="31">C82/C$84</f>
        <v>0.84237284075216101</v>
      </c>
      <c r="D89">
        <f t="shared" si="31"/>
        <v>0.5518988176995111</v>
      </c>
      <c r="E89">
        <f t="shared" si="31"/>
        <v>0.69864898878244364</v>
      </c>
      <c r="F89">
        <f t="shared" si="31"/>
        <v>0.50457749341967606</v>
      </c>
      <c r="G89">
        <f t="shared" si="31"/>
        <v>0.34885569183565879</v>
      </c>
      <c r="H89">
        <f t="shared" si="31"/>
        <v>0.30649805066516639</v>
      </c>
      <c r="I89">
        <f t="shared" si="31"/>
        <v>0.25983713059977581</v>
      </c>
    </row>
    <row r="93" spans="2:11" x14ac:dyDescent="0.2">
      <c r="B93" t="s">
        <v>402</v>
      </c>
      <c r="C93" t="s">
        <v>296</v>
      </c>
    </row>
    <row r="94" spans="2:11" x14ac:dyDescent="0.2">
      <c r="C94">
        <v>5</v>
      </c>
      <c r="D94">
        <v>10</v>
      </c>
      <c r="E94">
        <v>20</v>
      </c>
      <c r="F94">
        <v>30</v>
      </c>
      <c r="G94">
        <v>50</v>
      </c>
      <c r="H94">
        <v>75</v>
      </c>
      <c r="I94">
        <v>100</v>
      </c>
    </row>
    <row r="95" spans="2:11" x14ac:dyDescent="0.2">
      <c r="B95" t="s">
        <v>62</v>
      </c>
      <c r="C95">
        <f>C34</f>
        <v>0.93100000000000005</v>
      </c>
      <c r="D95">
        <f t="shared" ref="D95:I95" si="32">D34</f>
        <v>2.0840000000000001</v>
      </c>
      <c r="E95">
        <f t="shared" si="32"/>
        <v>1.849</v>
      </c>
      <c r="F95">
        <f t="shared" si="32"/>
        <v>0.94799999999999995</v>
      </c>
      <c r="G95">
        <f t="shared" si="32"/>
        <v>3.762</v>
      </c>
      <c r="H95">
        <f t="shared" si="32"/>
        <v>4.6890000000000001</v>
      </c>
      <c r="I95">
        <f t="shared" si="32"/>
        <v>6.29</v>
      </c>
      <c r="K95" s="3">
        <f>I95+I96</f>
        <v>17.580909999999999</v>
      </c>
    </row>
    <row r="96" spans="2:11" x14ac:dyDescent="0.2">
      <c r="B96" t="s">
        <v>40</v>
      </c>
      <c r="C96">
        <v>0.56454550000000003</v>
      </c>
      <c r="D96">
        <v>1.1290910000000001</v>
      </c>
      <c r="E96">
        <v>2.2581820000000001</v>
      </c>
      <c r="F96">
        <v>3.3872730000000004</v>
      </c>
      <c r="G96">
        <v>5.6454550000000001</v>
      </c>
      <c r="H96">
        <v>8.4681824999999993</v>
      </c>
      <c r="I96">
        <v>11.29091</v>
      </c>
    </row>
    <row r="97" spans="2:11" x14ac:dyDescent="0.2">
      <c r="B97" t="s">
        <v>371</v>
      </c>
      <c r="C97">
        <v>1.4569119175999996</v>
      </c>
      <c r="D97">
        <v>1.9939411845999995</v>
      </c>
      <c r="E97">
        <v>3.0168951268999993</v>
      </c>
      <c r="F97">
        <v>3.550963764</v>
      </c>
      <c r="G97">
        <v>2.8061312479999998</v>
      </c>
      <c r="H97">
        <v>3.572622435</v>
      </c>
      <c r="I97">
        <v>4.76349658</v>
      </c>
    </row>
    <row r="98" spans="2:11" x14ac:dyDescent="0.2">
      <c r="B98" t="s">
        <v>321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2:11" x14ac:dyDescent="0.2">
      <c r="B99" t="s">
        <v>322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2:11" x14ac:dyDescent="0.2">
      <c r="B100" t="s">
        <v>317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</row>
    <row r="102" spans="2:11" x14ac:dyDescent="0.2">
      <c r="C102" t="s">
        <v>297</v>
      </c>
    </row>
    <row r="103" spans="2:11" x14ac:dyDescent="0.2">
      <c r="C103">
        <v>5</v>
      </c>
      <c r="D103">
        <v>10</v>
      </c>
      <c r="E103">
        <v>20</v>
      </c>
      <c r="F103">
        <v>30</v>
      </c>
      <c r="G103">
        <v>50</v>
      </c>
      <c r="H103">
        <v>75</v>
      </c>
      <c r="I103">
        <v>100</v>
      </c>
    </row>
    <row r="104" spans="2:11" x14ac:dyDescent="0.2">
      <c r="B104" t="s">
        <v>62</v>
      </c>
      <c r="C104" s="3">
        <f t="shared" ref="C104:I104" si="33">C35</f>
        <v>1.4670000000000001</v>
      </c>
      <c r="D104" s="3">
        <f t="shared" si="33"/>
        <v>2.93</v>
      </c>
      <c r="E104" s="3">
        <f t="shared" si="33"/>
        <v>3.39</v>
      </c>
      <c r="F104" s="3">
        <f t="shared" si="33"/>
        <v>3.1789999999999998</v>
      </c>
      <c r="G104" s="3">
        <f t="shared" si="33"/>
        <v>7.46</v>
      </c>
      <c r="H104" s="3">
        <f t="shared" si="33"/>
        <v>10.25</v>
      </c>
      <c r="I104" s="3">
        <f t="shared" si="33"/>
        <v>13.68</v>
      </c>
      <c r="K104" s="3">
        <f>I104+I105</f>
        <v>24.97091</v>
      </c>
    </row>
    <row r="105" spans="2:11" x14ac:dyDescent="0.2">
      <c r="B105" t="s">
        <v>40</v>
      </c>
      <c r="C105">
        <f t="shared" ref="C105:I107" si="34">C96</f>
        <v>0.56454550000000003</v>
      </c>
      <c r="D105">
        <f t="shared" si="34"/>
        <v>1.1290910000000001</v>
      </c>
      <c r="E105">
        <f t="shared" si="34"/>
        <v>2.2581820000000001</v>
      </c>
      <c r="F105">
        <f t="shared" si="34"/>
        <v>3.3872730000000004</v>
      </c>
      <c r="G105">
        <f t="shared" si="34"/>
        <v>5.6454550000000001</v>
      </c>
      <c r="H105">
        <f t="shared" si="34"/>
        <v>8.4681824999999993</v>
      </c>
      <c r="I105">
        <f t="shared" si="34"/>
        <v>11.29091</v>
      </c>
    </row>
    <row r="106" spans="2:11" x14ac:dyDescent="0.2">
      <c r="B106" t="s">
        <v>371</v>
      </c>
      <c r="C106">
        <f t="shared" si="34"/>
        <v>1.4569119175999996</v>
      </c>
      <c r="D106">
        <f t="shared" si="34"/>
        <v>1.9939411845999995</v>
      </c>
      <c r="E106">
        <f t="shared" si="34"/>
        <v>3.0168951268999993</v>
      </c>
      <c r="F106">
        <f t="shared" si="34"/>
        <v>3.550963764</v>
      </c>
      <c r="G106">
        <f t="shared" si="34"/>
        <v>2.8061312479999998</v>
      </c>
      <c r="H106">
        <f t="shared" si="34"/>
        <v>3.572622435</v>
      </c>
      <c r="I106">
        <f t="shared" si="34"/>
        <v>4.76349658</v>
      </c>
    </row>
    <row r="107" spans="2:11" x14ac:dyDescent="0.2">
      <c r="B107" t="s">
        <v>321</v>
      </c>
      <c r="C107">
        <f t="shared" si="34"/>
        <v>0</v>
      </c>
      <c r="D107">
        <f t="shared" si="34"/>
        <v>0</v>
      </c>
      <c r="E107">
        <f t="shared" si="34"/>
        <v>0</v>
      </c>
      <c r="F107">
        <f t="shared" si="34"/>
        <v>0</v>
      </c>
      <c r="G107">
        <f t="shared" si="34"/>
        <v>0</v>
      </c>
      <c r="H107">
        <f t="shared" si="34"/>
        <v>0</v>
      </c>
      <c r="I107">
        <f t="shared" si="34"/>
        <v>0</v>
      </c>
    </row>
    <row r="108" spans="2:11" x14ac:dyDescent="0.2">
      <c r="B108" t="s">
        <v>322</v>
      </c>
      <c r="C108">
        <f>C99</f>
        <v>0</v>
      </c>
      <c r="D108">
        <f t="shared" ref="D108:I108" si="35">D99</f>
        <v>0</v>
      </c>
      <c r="E108">
        <f t="shared" si="35"/>
        <v>0</v>
      </c>
      <c r="F108">
        <f t="shared" si="35"/>
        <v>0</v>
      </c>
      <c r="G108">
        <f t="shared" si="35"/>
        <v>0</v>
      </c>
      <c r="H108">
        <f t="shared" si="35"/>
        <v>0</v>
      </c>
      <c r="I108">
        <f t="shared" si="35"/>
        <v>0</v>
      </c>
    </row>
    <row r="109" spans="2:11" x14ac:dyDescent="0.2">
      <c r="B109" t="s">
        <v>317</v>
      </c>
      <c r="C109">
        <f>C100</f>
        <v>0</v>
      </c>
      <c r="D109">
        <f t="shared" ref="D109:I109" si="36">D100</f>
        <v>0</v>
      </c>
      <c r="E109">
        <f t="shared" si="36"/>
        <v>0</v>
      </c>
      <c r="F109">
        <f t="shared" si="36"/>
        <v>0</v>
      </c>
      <c r="G109">
        <f t="shared" si="36"/>
        <v>0</v>
      </c>
      <c r="H109">
        <f t="shared" si="36"/>
        <v>0</v>
      </c>
      <c r="I109">
        <f t="shared" si="36"/>
        <v>0</v>
      </c>
    </row>
    <row r="111" spans="2:11" x14ac:dyDescent="0.2">
      <c r="C111" t="s">
        <v>224</v>
      </c>
    </row>
    <row r="113" spans="2:11" x14ac:dyDescent="0.2">
      <c r="C113">
        <v>5</v>
      </c>
      <c r="D113">
        <v>10</v>
      </c>
      <c r="E113">
        <v>20</v>
      </c>
      <c r="F113">
        <v>30</v>
      </c>
      <c r="G113">
        <v>50</v>
      </c>
      <c r="H113">
        <v>75</v>
      </c>
      <c r="I113">
        <v>100</v>
      </c>
    </row>
    <row r="114" spans="2:11" x14ac:dyDescent="0.2">
      <c r="B114" t="s">
        <v>62</v>
      </c>
      <c r="C114">
        <f t="shared" ref="C114:I114" si="37">C33</f>
        <v>3.11</v>
      </c>
      <c r="D114">
        <f t="shared" si="37"/>
        <v>4.9799999999999995</v>
      </c>
      <c r="E114">
        <f t="shared" si="37"/>
        <v>8.66</v>
      </c>
      <c r="F114">
        <f t="shared" si="37"/>
        <v>24.33</v>
      </c>
      <c r="G114">
        <f t="shared" si="37"/>
        <v>31.309999999999995</v>
      </c>
      <c r="H114">
        <f t="shared" si="37"/>
        <v>45.800000000000004</v>
      </c>
      <c r="I114">
        <f t="shared" si="37"/>
        <v>52.5</v>
      </c>
    </row>
    <row r="115" spans="2:11" x14ac:dyDescent="0.2">
      <c r="B115" t="s">
        <v>40</v>
      </c>
      <c r="C115">
        <v>0.43583456250000002</v>
      </c>
      <c r="D115">
        <v>0.87166912500000004</v>
      </c>
      <c r="E115">
        <v>1.7433382500000001</v>
      </c>
      <c r="F115">
        <v>2.6150073750000002</v>
      </c>
      <c r="G115">
        <v>4.3583456250000001</v>
      </c>
      <c r="H115">
        <v>6.5375184375000011</v>
      </c>
      <c r="I115">
        <v>8.7166912500000002</v>
      </c>
    </row>
    <row r="116" spans="2:11" x14ac:dyDescent="0.2">
      <c r="B116" t="s">
        <v>371</v>
      </c>
      <c r="C116">
        <v>4.8355164666539991</v>
      </c>
      <c r="D116">
        <v>9.0005406902039979</v>
      </c>
      <c r="E116">
        <v>30.55628712062499</v>
      </c>
      <c r="F116">
        <v>36.069649691506612</v>
      </c>
      <c r="G116">
        <v>60.007398375662802</v>
      </c>
      <c r="H116">
        <v>87.400132584084488</v>
      </c>
      <c r="I116">
        <v>158.24536540293855</v>
      </c>
    </row>
    <row r="117" spans="2:11" x14ac:dyDescent="0.2">
      <c r="B117" t="s">
        <v>321</v>
      </c>
      <c r="C117">
        <v>0.63800000000000001</v>
      </c>
      <c r="D117">
        <v>0.63800000000000001</v>
      </c>
      <c r="E117">
        <v>0.63800000000000001</v>
      </c>
      <c r="F117">
        <v>0.63800000000000001</v>
      </c>
      <c r="G117">
        <v>0.63800000000000001</v>
      </c>
      <c r="H117">
        <v>0.63800000000000001</v>
      </c>
      <c r="I117">
        <v>0.63800000000000001</v>
      </c>
    </row>
    <row r="118" spans="2:11" x14ac:dyDescent="0.2">
      <c r="B118" t="s">
        <v>322</v>
      </c>
      <c r="C118">
        <v>7.6559999999999997</v>
      </c>
      <c r="D118">
        <v>7.6559999999999997</v>
      </c>
      <c r="E118">
        <v>7.6559999999999997</v>
      </c>
      <c r="F118">
        <v>7.6559999999999997</v>
      </c>
      <c r="G118">
        <v>7.6559999999999997</v>
      </c>
      <c r="H118">
        <v>7.6559999999999997</v>
      </c>
      <c r="I118">
        <v>7.6559999999999997</v>
      </c>
    </row>
    <row r="119" spans="2:11" x14ac:dyDescent="0.2">
      <c r="B119" t="s">
        <v>317</v>
      </c>
      <c r="C119">
        <v>1.6393929713557998</v>
      </c>
      <c r="D119">
        <v>4.0984824283894996</v>
      </c>
      <c r="E119">
        <v>8.5782190361640698</v>
      </c>
      <c r="F119">
        <v>13.343896278477441</v>
      </c>
      <c r="G119">
        <v>20.968979866178834</v>
      </c>
      <c r="H119">
        <v>32.406605247730937</v>
      </c>
      <c r="I119">
        <v>68.435125199620018</v>
      </c>
    </row>
    <row r="121" spans="2:11" x14ac:dyDescent="0.2">
      <c r="B121" t="s">
        <v>287</v>
      </c>
    </row>
    <row r="122" spans="2:11" x14ac:dyDescent="0.2">
      <c r="C122">
        <v>5</v>
      </c>
      <c r="D122">
        <v>10</v>
      </c>
      <c r="E122">
        <v>20</v>
      </c>
      <c r="F122">
        <v>30</v>
      </c>
      <c r="G122">
        <v>50</v>
      </c>
      <c r="H122">
        <v>75</v>
      </c>
      <c r="I122">
        <v>100</v>
      </c>
    </row>
    <row r="123" spans="2:11" x14ac:dyDescent="0.2">
      <c r="B123" t="s">
        <v>62</v>
      </c>
      <c r="C123">
        <f t="shared" ref="C123:I123" si="38">C31</f>
        <v>2.2366700307705916</v>
      </c>
      <c r="D123">
        <f t="shared" si="38"/>
        <v>3.6288075263746893</v>
      </c>
      <c r="E123">
        <f t="shared" si="38"/>
        <v>6.5616238652031464</v>
      </c>
      <c r="F123">
        <f t="shared" si="38"/>
        <v>8.9331154012533016</v>
      </c>
      <c r="G123">
        <f t="shared" si="38"/>
        <v>13.483206937303459</v>
      </c>
      <c r="H123">
        <f t="shared" si="38"/>
        <v>19.825340828979876</v>
      </c>
      <c r="I123">
        <f t="shared" si="38"/>
        <v>25.029464772641848</v>
      </c>
      <c r="K123">
        <f>I123+I124+I126</f>
        <v>29.316232967731132</v>
      </c>
    </row>
    <row r="124" spans="2:11" x14ac:dyDescent="0.2">
      <c r="B124" t="s">
        <v>40</v>
      </c>
      <c r="C124">
        <v>0.30879604687499995</v>
      </c>
      <c r="D124">
        <v>0.55583288437499989</v>
      </c>
      <c r="E124">
        <v>0.80286972187500005</v>
      </c>
      <c r="F124">
        <v>1.0499065593749999</v>
      </c>
      <c r="G124">
        <v>1.420461815625</v>
      </c>
      <c r="H124">
        <v>1.7910170718749998</v>
      </c>
      <c r="I124">
        <v>2.0380539093749999</v>
      </c>
    </row>
    <row r="125" spans="2:11" x14ac:dyDescent="0.2">
      <c r="B125" t="s">
        <v>371</v>
      </c>
      <c r="C125">
        <v>0.18397653012000001</v>
      </c>
      <c r="D125">
        <v>0.15277786488</v>
      </c>
      <c r="E125">
        <v>0.30555572975999995</v>
      </c>
      <c r="F125">
        <v>0.35561264111999991</v>
      </c>
      <c r="G125">
        <v>0.59268773520000007</v>
      </c>
      <c r="H125">
        <v>0.88903160279999993</v>
      </c>
      <c r="I125">
        <v>1.1853754704000001</v>
      </c>
    </row>
    <row r="126" spans="2:11" x14ac:dyDescent="0.2">
      <c r="B126" t="s">
        <v>321</v>
      </c>
      <c r="C126">
        <v>0.71832142857142811</v>
      </c>
      <c r="D126">
        <v>0.79989285714285663</v>
      </c>
      <c r="E126">
        <v>0.95892857142857102</v>
      </c>
      <c r="F126">
        <v>1.1235357142857139</v>
      </c>
      <c r="G126">
        <v>1.450678571428571</v>
      </c>
      <c r="H126">
        <v>1.8487142857142853</v>
      </c>
      <c r="I126">
        <v>2.2487142857142852</v>
      </c>
    </row>
    <row r="127" spans="2:11" x14ac:dyDescent="0.2">
      <c r="B127" t="s">
        <v>322</v>
      </c>
      <c r="C127">
        <v>7.6559999999999997</v>
      </c>
      <c r="D127">
        <v>7.6559999999999997</v>
      </c>
      <c r="E127">
        <v>7.6559999999999997</v>
      </c>
      <c r="F127">
        <v>7.6559999999999997</v>
      </c>
      <c r="G127">
        <v>7.6559999999999997</v>
      </c>
      <c r="H127">
        <v>7.6559999999999997</v>
      </c>
      <c r="I127">
        <v>7.6559999999999997</v>
      </c>
    </row>
    <row r="128" spans="2:11" x14ac:dyDescent="0.2">
      <c r="B128" t="s">
        <v>317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</row>
    <row r="130" spans="2:11" x14ac:dyDescent="0.2">
      <c r="B130" t="s">
        <v>288</v>
      </c>
    </row>
    <row r="132" spans="2:11" x14ac:dyDescent="0.2">
      <c r="C132">
        <v>5</v>
      </c>
      <c r="D132">
        <v>10</v>
      </c>
      <c r="E132">
        <v>20</v>
      </c>
      <c r="F132">
        <v>30</v>
      </c>
      <c r="G132">
        <v>50</v>
      </c>
      <c r="H132">
        <v>75</v>
      </c>
      <c r="I132">
        <v>100</v>
      </c>
    </row>
    <row r="133" spans="2:11" x14ac:dyDescent="0.2">
      <c r="B133" t="s">
        <v>62</v>
      </c>
      <c r="C133">
        <f t="shared" ref="C133:H133" si="39">C32</f>
        <v>1.9236800307705917</v>
      </c>
      <c r="D133">
        <f t="shared" si="39"/>
        <v>2.4666075263746889</v>
      </c>
      <c r="E133">
        <f t="shared" si="39"/>
        <v>4.0087238652031463</v>
      </c>
      <c r="F133">
        <f t="shared" si="39"/>
        <v>4.7168154012533021</v>
      </c>
      <c r="G133">
        <f t="shared" si="39"/>
        <v>5.9728069373034591</v>
      </c>
      <c r="H133">
        <f t="shared" si="39"/>
        <v>10.205540828979876</v>
      </c>
      <c r="I133">
        <f>I32</f>
        <v>11.890064772641846</v>
      </c>
      <c r="K133">
        <f>I133+I134+I136+I138</f>
        <v>29.702385208625191</v>
      </c>
    </row>
    <row r="134" spans="2:11" x14ac:dyDescent="0.2">
      <c r="B134" t="s">
        <v>40</v>
      </c>
      <c r="C134">
        <v>0.20309828976562505</v>
      </c>
      <c r="D134">
        <v>0.4061965795312501</v>
      </c>
      <c r="E134">
        <v>0.8123931590625002</v>
      </c>
      <c r="F134">
        <v>1.2185897385937499</v>
      </c>
      <c r="G134">
        <v>2.0309828976562501</v>
      </c>
      <c r="H134">
        <v>3.0464743464843753</v>
      </c>
      <c r="I134">
        <v>4.0619657953125001</v>
      </c>
    </row>
    <row r="135" spans="2:11" x14ac:dyDescent="0.2">
      <c r="B135" t="s">
        <v>371</v>
      </c>
      <c r="C135">
        <v>0.18397653012000001</v>
      </c>
      <c r="D135">
        <v>0.15277786488</v>
      </c>
      <c r="E135">
        <v>0.30555572975999995</v>
      </c>
      <c r="F135">
        <v>0.35561264111999991</v>
      </c>
      <c r="G135">
        <v>0.59268773520000007</v>
      </c>
      <c r="H135">
        <v>0.88903160279999993</v>
      </c>
      <c r="I135">
        <v>1.1853754704000001</v>
      </c>
    </row>
    <row r="136" spans="2:11" x14ac:dyDescent="0.2">
      <c r="B136" t="s">
        <v>321</v>
      </c>
      <c r="C136">
        <v>1.194779761904762</v>
      </c>
      <c r="D136">
        <v>1.4981279761904762</v>
      </c>
      <c r="E136">
        <v>2.5321904761904763</v>
      </c>
      <c r="F136">
        <v>3.002904761904762</v>
      </c>
      <c r="G136">
        <v>3.862190476190476</v>
      </c>
      <c r="H136">
        <v>5.6679047619047616</v>
      </c>
      <c r="I136">
        <v>6.8500476190476185</v>
      </c>
    </row>
    <row r="137" spans="2:11" x14ac:dyDescent="0.2">
      <c r="B137" t="s">
        <v>322</v>
      </c>
      <c r="C137">
        <v>7.6559999999999997</v>
      </c>
      <c r="D137">
        <v>7.6559999999999997</v>
      </c>
      <c r="E137">
        <v>7.6559999999999997</v>
      </c>
      <c r="F137">
        <v>7.6559999999999997</v>
      </c>
      <c r="G137">
        <v>7.6559999999999997</v>
      </c>
      <c r="H137">
        <v>7.6559999999999997</v>
      </c>
      <c r="I137">
        <v>7.6559999999999997</v>
      </c>
    </row>
    <row r="138" spans="2:11" x14ac:dyDescent="0.2">
      <c r="B138" t="s">
        <v>317</v>
      </c>
      <c r="C138">
        <v>0.55948435310458589</v>
      </c>
      <c r="D138">
        <v>1.1189687062091718</v>
      </c>
      <c r="E138">
        <v>6.9003070216232274</v>
      </c>
      <c r="F138">
        <v>6.9003070216232274</v>
      </c>
      <c r="G138">
        <v>6.9003070216232274</v>
      </c>
      <c r="H138">
        <v>6.9003070216232274</v>
      </c>
      <c r="I138">
        <v>6.9003070216232274</v>
      </c>
    </row>
    <row r="142" spans="2:11" x14ac:dyDescent="0.2">
      <c r="B142" t="s">
        <v>303</v>
      </c>
    </row>
    <row r="188" spans="4:11" x14ac:dyDescent="0.2">
      <c r="E188">
        <v>5</v>
      </c>
      <c r="F188">
        <v>10</v>
      </c>
      <c r="G188">
        <v>20</v>
      </c>
      <c r="H188">
        <v>30</v>
      </c>
      <c r="I188">
        <v>50</v>
      </c>
      <c r="J188">
        <v>75</v>
      </c>
      <c r="K188">
        <v>100</v>
      </c>
    </row>
    <row r="189" spans="4:11" x14ac:dyDescent="0.2">
      <c r="D189" t="s">
        <v>400</v>
      </c>
      <c r="E189">
        <v>2.0214574175999998</v>
      </c>
      <c r="F189">
        <v>3.1230321845999995</v>
      </c>
      <c r="G189">
        <v>5.2750771268999994</v>
      </c>
      <c r="H189">
        <v>6.9382367640000009</v>
      </c>
      <c r="I189">
        <v>8.4515862479999999</v>
      </c>
      <c r="J189">
        <v>12.040804935000001</v>
      </c>
      <c r="K189">
        <v>16.054406579999998</v>
      </c>
    </row>
    <row r="190" spans="4:11" x14ac:dyDescent="0.2">
      <c r="D190" t="s">
        <v>224</v>
      </c>
      <c r="E190">
        <v>14.5667440005098</v>
      </c>
      <c r="F190">
        <v>21.626692243593496</v>
      </c>
      <c r="G190">
        <v>48.533844406789058</v>
      </c>
      <c r="H190">
        <v>59.68455334498406</v>
      </c>
      <c r="I190">
        <v>92.99072386684162</v>
      </c>
      <c r="J190">
        <v>134.00025626931543</v>
      </c>
      <c r="K190">
        <v>243.05318185255857</v>
      </c>
    </row>
    <row r="191" spans="4:11" x14ac:dyDescent="0.2">
      <c r="D191" t="s">
        <v>287</v>
      </c>
      <c r="E191">
        <v>8.8670940055664289</v>
      </c>
      <c r="F191">
        <v>9.1645036063978562</v>
      </c>
      <c r="G191">
        <v>9.7233540230635711</v>
      </c>
      <c r="H191">
        <v>10.185054914780714</v>
      </c>
      <c r="I191">
        <v>11.119828122253573</v>
      </c>
      <c r="J191">
        <v>12.184762960389286</v>
      </c>
      <c r="K191">
        <v>13.128143665489286</v>
      </c>
    </row>
    <row r="192" spans="4:11" x14ac:dyDescent="0.2">
      <c r="D192" t="s">
        <v>288</v>
      </c>
      <c r="E192">
        <v>9.9441841729902123</v>
      </c>
      <c r="F192">
        <v>10.708380650620422</v>
      </c>
      <c r="G192">
        <v>17.620255910445728</v>
      </c>
      <c r="H192">
        <v>18.076509401336978</v>
      </c>
      <c r="I192">
        <v>19.125977654479478</v>
      </c>
      <c r="J192">
        <v>20.437812970907604</v>
      </c>
      <c r="K192">
        <v>21.749648287335731</v>
      </c>
    </row>
    <row r="197" spans="4:26" x14ac:dyDescent="0.2">
      <c r="E197">
        <v>5</v>
      </c>
      <c r="F197">
        <v>10</v>
      </c>
      <c r="G197">
        <v>20</v>
      </c>
      <c r="H197">
        <v>30</v>
      </c>
      <c r="I197">
        <v>50</v>
      </c>
      <c r="J197">
        <v>75</v>
      </c>
      <c r="K197">
        <v>100</v>
      </c>
    </row>
    <row r="198" spans="4:26" x14ac:dyDescent="0.2">
      <c r="D198" t="s">
        <v>400</v>
      </c>
      <c r="E198">
        <f>E189/(E$188*25)*1000</f>
        <v>16.171659340799998</v>
      </c>
      <c r="F198">
        <f t="shared" ref="F198:K198" si="40">F189/(F$188*25)*1000</f>
        <v>12.492128738399998</v>
      </c>
      <c r="G198">
        <f t="shared" si="40"/>
        <v>10.550154253799999</v>
      </c>
      <c r="H198">
        <f t="shared" si="40"/>
        <v>9.2509823520000012</v>
      </c>
      <c r="I198">
        <f t="shared" si="40"/>
        <v>6.7612689983999994</v>
      </c>
      <c r="J198">
        <f t="shared" si="40"/>
        <v>6.4217626320000001</v>
      </c>
      <c r="K198">
        <f t="shared" si="40"/>
        <v>6.4217626319999992</v>
      </c>
    </row>
    <row r="199" spans="4:26" x14ac:dyDescent="0.2">
      <c r="D199" t="s">
        <v>224</v>
      </c>
      <c r="E199">
        <f>E190/(E$188*25)*1000</f>
        <v>116.5339520040784</v>
      </c>
      <c r="F199">
        <f t="shared" ref="F199:K199" si="41">F190/(F$188*25)*1000</f>
        <v>86.506768974373983</v>
      </c>
      <c r="G199">
        <f t="shared" si="41"/>
        <v>97.067688813578116</v>
      </c>
      <c r="H199">
        <f t="shared" si="41"/>
        <v>79.579404459978747</v>
      </c>
      <c r="I199">
        <f t="shared" si="41"/>
        <v>74.392579093473302</v>
      </c>
      <c r="J199">
        <f t="shared" si="41"/>
        <v>71.466803343634894</v>
      </c>
      <c r="K199">
        <f t="shared" si="41"/>
        <v>97.221272741023427</v>
      </c>
    </row>
    <row r="200" spans="4:26" x14ac:dyDescent="0.2">
      <c r="D200" t="s">
        <v>287</v>
      </c>
      <c r="E200">
        <f t="shared" ref="E200:K200" si="42">E191/(E$188*25)*1000</f>
        <v>70.936752044531431</v>
      </c>
      <c r="F200">
        <f t="shared" si="42"/>
        <v>36.658014425591425</v>
      </c>
      <c r="G200">
        <f t="shared" si="42"/>
        <v>19.446708046127142</v>
      </c>
      <c r="H200">
        <f t="shared" si="42"/>
        <v>13.58007321970762</v>
      </c>
      <c r="I200">
        <f t="shared" si="42"/>
        <v>8.8958624978028595</v>
      </c>
      <c r="J200">
        <f t="shared" si="42"/>
        <v>6.4985402455409522</v>
      </c>
      <c r="K200">
        <f t="shared" si="42"/>
        <v>5.2512574661957148</v>
      </c>
    </row>
    <row r="201" spans="4:26" x14ac:dyDescent="0.2">
      <c r="D201" t="s">
        <v>288</v>
      </c>
      <c r="E201">
        <f t="shared" ref="E201:K201" si="43">E192/(E$188*25)*1000</f>
        <v>79.553473383921698</v>
      </c>
      <c r="F201">
        <f t="shared" si="43"/>
        <v>42.833522602481686</v>
      </c>
      <c r="G201">
        <f t="shared" si="43"/>
        <v>35.240511820891456</v>
      </c>
      <c r="H201">
        <f t="shared" si="43"/>
        <v>24.102012535115971</v>
      </c>
      <c r="I201">
        <f t="shared" si="43"/>
        <v>15.300782123583582</v>
      </c>
      <c r="J201">
        <f t="shared" si="43"/>
        <v>10.900166917817389</v>
      </c>
      <c r="K201">
        <f t="shared" si="43"/>
        <v>8.6998593149342938</v>
      </c>
    </row>
    <row r="207" spans="4:26" x14ac:dyDescent="0.2">
      <c r="X207" t="s">
        <v>545</v>
      </c>
      <c r="Z207" t="s">
        <v>546</v>
      </c>
    </row>
    <row r="208" spans="4:26" x14ac:dyDescent="0.2">
      <c r="Z208" t="s">
        <v>547</v>
      </c>
    </row>
    <row r="209" spans="4:28" x14ac:dyDescent="0.2">
      <c r="E209">
        <v>5</v>
      </c>
      <c r="F209">
        <v>10</v>
      </c>
      <c r="G209">
        <v>20</v>
      </c>
      <c r="H209">
        <v>30</v>
      </c>
      <c r="I209">
        <v>50</v>
      </c>
      <c r="J209">
        <v>75</v>
      </c>
      <c r="K209">
        <v>100</v>
      </c>
      <c r="Y209" t="s">
        <v>89</v>
      </c>
    </row>
    <row r="210" spans="4:28" x14ac:dyDescent="0.2">
      <c r="D210" t="s">
        <v>400</v>
      </c>
      <c r="E210">
        <v>2.0214574175999998</v>
      </c>
      <c r="F210">
        <v>3.1230321845999995</v>
      </c>
      <c r="G210">
        <v>5.2750771268999994</v>
      </c>
      <c r="H210">
        <v>6.9382367640000009</v>
      </c>
      <c r="I210">
        <v>8.4515862479999999</v>
      </c>
      <c r="J210">
        <v>12.040804935000001</v>
      </c>
      <c r="K210">
        <v>16.054406579999998</v>
      </c>
      <c r="Y210">
        <v>5</v>
      </c>
      <c r="Z210">
        <v>40.777747752857138</v>
      </c>
      <c r="AB210">
        <f>Z210/Y210</f>
        <v>8.1555495505714273</v>
      </c>
    </row>
    <row r="211" spans="4:28" x14ac:dyDescent="0.2">
      <c r="D211" t="s">
        <v>224</v>
      </c>
      <c r="E211">
        <v>14.5667440005098</v>
      </c>
      <c r="F211">
        <v>21.626692243593496</v>
      </c>
      <c r="G211">
        <v>48.533844406789058</v>
      </c>
      <c r="H211">
        <v>59.68455334498406</v>
      </c>
      <c r="I211">
        <v>92.99072386684162</v>
      </c>
      <c r="J211">
        <v>134.00025626931543</v>
      </c>
      <c r="K211">
        <v>243.05318185255857</v>
      </c>
      <c r="Y211">
        <v>10</v>
      </c>
      <c r="Z211">
        <v>33.86267385428571</v>
      </c>
      <c r="AB211">
        <f t="shared" ref="AB211:AB223" si="44">Z211/Y211</f>
        <v>3.386267385428571</v>
      </c>
    </row>
    <row r="212" spans="4:28" x14ac:dyDescent="0.2">
      <c r="D212" t="s">
        <v>287</v>
      </c>
      <c r="E212">
        <v>8.8670940055664289</v>
      </c>
      <c r="F212">
        <v>9.1645036063978562</v>
      </c>
      <c r="G212">
        <v>9.7233540230635711</v>
      </c>
      <c r="H212">
        <v>10.185054914780714</v>
      </c>
      <c r="I212">
        <v>11.119828122253573</v>
      </c>
      <c r="J212">
        <v>12.184762960389286</v>
      </c>
      <c r="K212">
        <v>13.128143665489286</v>
      </c>
      <c r="Y212">
        <v>20</v>
      </c>
      <c r="Z212">
        <v>37.500242065714282</v>
      </c>
      <c r="AB212">
        <f t="shared" si="44"/>
        <v>1.8750121032857141</v>
      </c>
    </row>
    <row r="213" spans="4:28" x14ac:dyDescent="0.2">
      <c r="D213" t="s">
        <v>288</v>
      </c>
      <c r="E213">
        <v>9.9441841729902123</v>
      </c>
      <c r="F213">
        <v>10.708380650620422</v>
      </c>
      <c r="G213">
        <v>17.620255910445728</v>
      </c>
      <c r="H213">
        <v>18.076509401336978</v>
      </c>
      <c r="I213">
        <v>19.125977654479478</v>
      </c>
      <c r="J213">
        <v>20.437812970907604</v>
      </c>
      <c r="K213">
        <v>21.749648287335731</v>
      </c>
      <c r="Y213">
        <v>30</v>
      </c>
      <c r="Z213">
        <v>58.495993474285711</v>
      </c>
      <c r="AB213">
        <f t="shared" si="44"/>
        <v>1.949866449142857</v>
      </c>
    </row>
    <row r="214" spans="4:28" x14ac:dyDescent="0.2">
      <c r="Y214">
        <v>50</v>
      </c>
      <c r="Z214">
        <v>64.140638571428568</v>
      </c>
      <c r="AB214">
        <f t="shared" si="44"/>
        <v>1.2828127714285713</v>
      </c>
    </row>
    <row r="215" spans="4:28" x14ac:dyDescent="0.2">
      <c r="Y215">
        <v>75</v>
      </c>
      <c r="Z215">
        <v>96.283756485714278</v>
      </c>
      <c r="AB215">
        <f t="shared" si="44"/>
        <v>1.2837834198095237</v>
      </c>
    </row>
    <row r="216" spans="4:28" x14ac:dyDescent="0.2">
      <c r="E216">
        <v>5</v>
      </c>
      <c r="F216">
        <v>10</v>
      </c>
      <c r="G216">
        <v>20</v>
      </c>
      <c r="H216">
        <v>30</v>
      </c>
      <c r="I216">
        <v>50</v>
      </c>
      <c r="J216">
        <v>75</v>
      </c>
      <c r="K216">
        <v>100</v>
      </c>
      <c r="Y216">
        <v>100</v>
      </c>
      <c r="Z216">
        <v>103.33956285714285</v>
      </c>
      <c r="AB216">
        <f t="shared" si="44"/>
        <v>1.0333956285714285</v>
      </c>
    </row>
    <row r="217" spans="4:28" x14ac:dyDescent="0.2">
      <c r="D217" t="s">
        <v>400</v>
      </c>
      <c r="E217">
        <v>2.0214574176000002</v>
      </c>
      <c r="F217">
        <v>3.1230321845999995</v>
      </c>
      <c r="G217">
        <v>5.2750771268999994</v>
      </c>
      <c r="H217">
        <v>6.9382367640000009</v>
      </c>
      <c r="I217">
        <v>8.4515862479999999</v>
      </c>
      <c r="J217">
        <v>12.040804935000001</v>
      </c>
      <c r="K217">
        <v>16.054406579999998</v>
      </c>
      <c r="Y217">
        <v>200</v>
      </c>
      <c r="Z217">
        <v>256.56255428571427</v>
      </c>
      <c r="AB217">
        <f t="shared" si="44"/>
        <v>1.2828127714285713</v>
      </c>
    </row>
    <row r="218" spans="4:28" x14ac:dyDescent="0.2">
      <c r="D218" t="s">
        <v>224</v>
      </c>
      <c r="E218">
        <f t="shared" ref="E218:K220" si="45">E211-$B$74</f>
        <v>6.9107440005098004</v>
      </c>
      <c r="F218">
        <f t="shared" si="45"/>
        <v>13.970692243593497</v>
      </c>
      <c r="G218">
        <f t="shared" si="45"/>
        <v>40.877844406789059</v>
      </c>
      <c r="H218">
        <f t="shared" si="45"/>
        <v>52.028553344984061</v>
      </c>
      <c r="I218">
        <f t="shared" si="45"/>
        <v>85.334723866841614</v>
      </c>
      <c r="J218">
        <f t="shared" si="45"/>
        <v>126.34425626931542</v>
      </c>
      <c r="K218">
        <f t="shared" si="45"/>
        <v>235.39718185255856</v>
      </c>
      <c r="Y218">
        <v>300</v>
      </c>
      <c r="Z218">
        <v>384.84383142857143</v>
      </c>
      <c r="AB218">
        <f t="shared" si="44"/>
        <v>1.2828127714285715</v>
      </c>
    </row>
    <row r="219" spans="4:28" x14ac:dyDescent="0.2">
      <c r="D219" t="s">
        <v>287</v>
      </c>
      <c r="E219">
        <f t="shared" si="45"/>
        <v>1.2110940055664292</v>
      </c>
      <c r="F219">
        <f t="shared" si="45"/>
        <v>1.5085036063978565</v>
      </c>
      <c r="G219">
        <f t="shared" si="45"/>
        <v>2.0673540230635714</v>
      </c>
      <c r="H219">
        <f t="shared" si="45"/>
        <v>2.5290549147807146</v>
      </c>
      <c r="I219">
        <f t="shared" si="45"/>
        <v>3.4638281222535729</v>
      </c>
      <c r="J219">
        <f t="shared" si="45"/>
        <v>4.5287629603892858</v>
      </c>
      <c r="K219">
        <f t="shared" si="45"/>
        <v>5.4721436654892868</v>
      </c>
      <c r="Y219">
        <v>400</v>
      </c>
      <c r="Z219">
        <v>513.12510857142854</v>
      </c>
      <c r="AB219">
        <f t="shared" si="44"/>
        <v>1.2828127714285713</v>
      </c>
    </row>
    <row r="220" spans="4:28" x14ac:dyDescent="0.2">
      <c r="D220" t="s">
        <v>288</v>
      </c>
      <c r="E220">
        <f t="shared" si="45"/>
        <v>2.2881841729902126</v>
      </c>
      <c r="F220">
        <f t="shared" si="45"/>
        <v>3.0523806506204219</v>
      </c>
      <c r="G220">
        <f t="shared" si="45"/>
        <v>9.9642559104457291</v>
      </c>
      <c r="H220">
        <f t="shared" si="45"/>
        <v>10.420509401336979</v>
      </c>
      <c r="I220">
        <f t="shared" si="45"/>
        <v>11.469977654479479</v>
      </c>
      <c r="J220">
        <f t="shared" si="45"/>
        <v>12.781812970907605</v>
      </c>
      <c r="K220">
        <f t="shared" si="45"/>
        <v>14.093648287335732</v>
      </c>
      <c r="Y220">
        <v>500</v>
      </c>
      <c r="Z220">
        <v>641.40638571428565</v>
      </c>
      <c r="AB220">
        <f t="shared" si="44"/>
        <v>1.2828127714285713</v>
      </c>
    </row>
    <row r="221" spans="4:28" x14ac:dyDescent="0.2">
      <c r="Y221">
        <v>600</v>
      </c>
      <c r="Z221">
        <v>769.68766285714287</v>
      </c>
      <c r="AB221">
        <f t="shared" si="44"/>
        <v>1.2828127714285715</v>
      </c>
    </row>
    <row r="222" spans="4:28" x14ac:dyDescent="0.2">
      <c r="Y222">
        <v>800</v>
      </c>
      <c r="Z222">
        <v>1026.2502171428571</v>
      </c>
      <c r="AB222">
        <f t="shared" si="44"/>
        <v>1.2828127714285713</v>
      </c>
    </row>
    <row r="223" spans="4:28" x14ac:dyDescent="0.2">
      <c r="E223">
        <f>E217/25</f>
        <v>8.0858296704000007E-2</v>
      </c>
      <c r="F223">
        <f t="shared" ref="F223:J223" si="46">F217/25</f>
        <v>0.12492128738399998</v>
      </c>
      <c r="G223">
        <f t="shared" si="46"/>
        <v>0.21100308507599996</v>
      </c>
      <c r="H223">
        <f t="shared" si="46"/>
        <v>0.27752947056000005</v>
      </c>
      <c r="I223">
        <f t="shared" si="46"/>
        <v>0.33806344991999998</v>
      </c>
      <c r="J223">
        <f t="shared" si="46"/>
        <v>0.48163219740000002</v>
      </c>
      <c r="K223">
        <f>K217/25</f>
        <v>0.64217626319999999</v>
      </c>
      <c r="Y223">
        <v>1000</v>
      </c>
      <c r="Z223">
        <v>1282.8127714285713</v>
      </c>
      <c r="AB223">
        <f t="shared" si="44"/>
        <v>1.2828127714285713</v>
      </c>
    </row>
    <row r="224" spans="4:28" x14ac:dyDescent="0.2">
      <c r="E224">
        <f t="shared" ref="E224:K226" si="47">E218/25</f>
        <v>0.27642976002039199</v>
      </c>
      <c r="F224">
        <f t="shared" si="47"/>
        <v>0.55882768974373986</v>
      </c>
      <c r="G224">
        <f t="shared" si="47"/>
        <v>1.6351137762715624</v>
      </c>
      <c r="H224">
        <f t="shared" si="47"/>
        <v>2.0811421337993625</v>
      </c>
      <c r="I224">
        <f t="shared" si="47"/>
        <v>3.4133889546736644</v>
      </c>
      <c r="J224">
        <f t="shared" si="47"/>
        <v>5.053770250772617</v>
      </c>
      <c r="K224">
        <f>K218/25</f>
        <v>9.4158872741023423</v>
      </c>
      <c r="O224">
        <v>5</v>
      </c>
      <c r="P224">
        <v>10</v>
      </c>
      <c r="Q224">
        <v>20</v>
      </c>
      <c r="R224">
        <v>30</v>
      </c>
      <c r="S224">
        <v>50</v>
      </c>
      <c r="T224">
        <v>75</v>
      </c>
      <c r="U224">
        <v>100</v>
      </c>
    </row>
    <row r="225" spans="4:21" x14ac:dyDescent="0.2">
      <c r="E225">
        <f t="shared" si="47"/>
        <v>4.8443760222657166E-2</v>
      </c>
      <c r="F225">
        <f t="shared" si="47"/>
        <v>6.034014425591426E-2</v>
      </c>
      <c r="G225">
        <f t="shared" si="47"/>
        <v>8.269416092254285E-2</v>
      </c>
      <c r="H225">
        <f t="shared" si="47"/>
        <v>0.10116219659122859</v>
      </c>
      <c r="I225">
        <f t="shared" si="47"/>
        <v>0.13855312489014293</v>
      </c>
      <c r="J225">
        <f t="shared" si="47"/>
        <v>0.18115051841557142</v>
      </c>
      <c r="K225">
        <f t="shared" si="47"/>
        <v>0.21888574661957147</v>
      </c>
      <c r="N225" t="s">
        <v>400</v>
      </c>
      <c r="O225">
        <f t="shared" ref="O225:U228" si="48">E217/(E$188*25)*1000</f>
        <v>16.171659340800002</v>
      </c>
      <c r="P225">
        <f t="shared" si="48"/>
        <v>12.492128738399998</v>
      </c>
      <c r="Q225">
        <f t="shared" si="48"/>
        <v>10.550154253799999</v>
      </c>
      <c r="R225">
        <f t="shared" si="48"/>
        <v>9.2509823520000012</v>
      </c>
      <c r="S225">
        <f t="shared" si="48"/>
        <v>6.7612689983999994</v>
      </c>
      <c r="T225">
        <f t="shared" si="48"/>
        <v>6.4217626320000001</v>
      </c>
      <c r="U225">
        <f t="shared" si="48"/>
        <v>6.4217626319999992</v>
      </c>
    </row>
    <row r="226" spans="4:21" x14ac:dyDescent="0.2">
      <c r="E226">
        <f t="shared" si="47"/>
        <v>9.1527366919608499E-2</v>
      </c>
      <c r="F226">
        <f t="shared" si="47"/>
        <v>0.12209522602481687</v>
      </c>
      <c r="G226">
        <f t="shared" si="47"/>
        <v>0.39857023641782918</v>
      </c>
      <c r="H226">
        <f t="shared" si="47"/>
        <v>0.41682037605347916</v>
      </c>
      <c r="I226">
        <f t="shared" si="47"/>
        <v>0.45879910617917913</v>
      </c>
      <c r="J226">
        <f t="shared" si="47"/>
        <v>0.5112725188363042</v>
      </c>
      <c r="K226">
        <f>K220/25</f>
        <v>0.56374593149342933</v>
      </c>
      <c r="N226" t="s">
        <v>224</v>
      </c>
      <c r="O226">
        <f t="shared" si="48"/>
        <v>55.285952004078403</v>
      </c>
      <c r="P226">
        <f t="shared" si="48"/>
        <v>55.882768974373988</v>
      </c>
      <c r="Q226">
        <f t="shared" si="48"/>
        <v>81.755688813578118</v>
      </c>
      <c r="R226">
        <f t="shared" si="48"/>
        <v>69.371404459978748</v>
      </c>
      <c r="S226">
        <f t="shared" si="48"/>
        <v>68.26777909347328</v>
      </c>
      <c r="T226">
        <f t="shared" si="48"/>
        <v>67.383603343634903</v>
      </c>
      <c r="U226">
        <f t="shared" si="48"/>
        <v>94.15887274102343</v>
      </c>
    </row>
    <row r="227" spans="4:21" x14ac:dyDescent="0.2">
      <c r="N227" t="s">
        <v>287</v>
      </c>
      <c r="O227">
        <f t="shared" si="48"/>
        <v>9.6887520445314337</v>
      </c>
      <c r="P227">
        <f t="shared" si="48"/>
        <v>6.0340144255914261</v>
      </c>
      <c r="Q227">
        <f t="shared" si="48"/>
        <v>4.1347080461271428</v>
      </c>
      <c r="R227">
        <f t="shared" si="48"/>
        <v>3.3720732197076195</v>
      </c>
      <c r="S227">
        <f t="shared" si="48"/>
        <v>2.7710624978028582</v>
      </c>
      <c r="T227">
        <f t="shared" si="48"/>
        <v>2.4153402455409525</v>
      </c>
      <c r="U227">
        <f t="shared" si="48"/>
        <v>2.1888574661957145</v>
      </c>
    </row>
    <row r="228" spans="4:21" x14ac:dyDescent="0.2">
      <c r="N228" t="s">
        <v>288</v>
      </c>
      <c r="O228">
        <f t="shared" si="48"/>
        <v>18.305473383921701</v>
      </c>
      <c r="P228">
        <f t="shared" si="48"/>
        <v>12.209522602481687</v>
      </c>
      <c r="Q228">
        <f t="shared" si="48"/>
        <v>19.928511820891458</v>
      </c>
      <c r="R228">
        <f t="shared" si="48"/>
        <v>13.894012535115971</v>
      </c>
      <c r="S228">
        <f t="shared" si="48"/>
        <v>9.1759821235835837</v>
      </c>
      <c r="T228">
        <f t="shared" si="48"/>
        <v>6.8169669178173899</v>
      </c>
      <c r="U228">
        <f t="shared" si="48"/>
        <v>5.6374593149342935</v>
      </c>
    </row>
    <row r="231" spans="4:21" x14ac:dyDescent="0.2">
      <c r="E231">
        <f t="shared" ref="E231:K234" si="49">O225/1000</f>
        <v>1.6171659340800001E-2</v>
      </c>
      <c r="F231">
        <f t="shared" si="49"/>
        <v>1.2492128738399997E-2</v>
      </c>
      <c r="G231">
        <f t="shared" si="49"/>
        <v>1.0550154253799999E-2</v>
      </c>
      <c r="H231">
        <f t="shared" si="49"/>
        <v>9.2509823520000017E-3</v>
      </c>
      <c r="I231">
        <f t="shared" si="49"/>
        <v>6.7612689983999998E-3</v>
      </c>
      <c r="J231">
        <f t="shared" si="49"/>
        <v>6.4217626320000002E-3</v>
      </c>
      <c r="K231">
        <f t="shared" si="49"/>
        <v>6.4217626319999993E-3</v>
      </c>
    </row>
    <row r="232" spans="4:21" x14ac:dyDescent="0.2">
      <c r="E232">
        <f t="shared" si="49"/>
        <v>5.5285952004078404E-2</v>
      </c>
      <c r="F232">
        <f t="shared" si="49"/>
        <v>5.5882768974373991E-2</v>
      </c>
      <c r="G232">
        <f t="shared" si="49"/>
        <v>8.1755688813578115E-2</v>
      </c>
      <c r="H232">
        <f t="shared" si="49"/>
        <v>6.9371404459978747E-2</v>
      </c>
      <c r="I232">
        <f t="shared" si="49"/>
        <v>6.8267779093473285E-2</v>
      </c>
      <c r="J232">
        <f t="shared" si="49"/>
        <v>6.7383603343634899E-2</v>
      </c>
      <c r="K232">
        <f t="shared" si="49"/>
        <v>9.4158872741023428E-2</v>
      </c>
    </row>
    <row r="233" spans="4:21" x14ac:dyDescent="0.2">
      <c r="E233">
        <f t="shared" si="49"/>
        <v>9.6887520445314342E-3</v>
      </c>
      <c r="F233">
        <f t="shared" si="49"/>
        <v>6.0340144255914257E-3</v>
      </c>
      <c r="G233">
        <f t="shared" si="49"/>
        <v>4.1347080461271429E-3</v>
      </c>
      <c r="H233">
        <f t="shared" si="49"/>
        <v>3.3720732197076195E-3</v>
      </c>
      <c r="I233">
        <f t="shared" si="49"/>
        <v>2.7710624978028583E-3</v>
      </c>
      <c r="J233">
        <f t="shared" si="49"/>
        <v>2.4153402455409523E-3</v>
      </c>
      <c r="K233">
        <f t="shared" si="49"/>
        <v>2.1888574661957146E-3</v>
      </c>
    </row>
    <row r="234" spans="4:21" x14ac:dyDescent="0.2">
      <c r="E234">
        <f t="shared" si="49"/>
        <v>1.8305473383921699E-2</v>
      </c>
      <c r="F234">
        <f t="shared" si="49"/>
        <v>1.2209522602481688E-2</v>
      </c>
      <c r="G234">
        <f t="shared" si="49"/>
        <v>1.9928511820891458E-2</v>
      </c>
      <c r="H234">
        <f t="shared" si="49"/>
        <v>1.3894012535115971E-2</v>
      </c>
      <c r="I234">
        <f t="shared" si="49"/>
        <v>9.1759821235835835E-3</v>
      </c>
      <c r="J234">
        <f t="shared" si="49"/>
        <v>6.8169669178173896E-3</v>
      </c>
      <c r="K234">
        <f t="shared" si="49"/>
        <v>5.6374593149342931E-3</v>
      </c>
    </row>
    <row r="237" spans="4:21" x14ac:dyDescent="0.2">
      <c r="D237" t="s">
        <v>400</v>
      </c>
      <c r="E237">
        <v>1.1990000000000001</v>
      </c>
      <c r="F237">
        <v>2.5070000000000001</v>
      </c>
      <c r="G237">
        <v>2.6194999999999999</v>
      </c>
      <c r="H237">
        <v>2.0634999999999999</v>
      </c>
      <c r="I237">
        <v>5.6109999999999998</v>
      </c>
      <c r="J237">
        <v>7.4695</v>
      </c>
      <c r="K237">
        <v>9.9849999999999994</v>
      </c>
      <c r="N237">
        <f>K237+K223*25</f>
        <v>26.039406579999998</v>
      </c>
    </row>
    <row r="238" spans="4:21" x14ac:dyDescent="0.2">
      <c r="D238" t="s">
        <v>287</v>
      </c>
      <c r="E238">
        <v>2.2366700307705916</v>
      </c>
      <c r="F238">
        <v>3.6288075263746893</v>
      </c>
      <c r="G238">
        <v>6.5616238652031464</v>
      </c>
      <c r="H238">
        <v>8.9331154012533016</v>
      </c>
      <c r="I238">
        <v>13.483206937303459</v>
      </c>
      <c r="J238">
        <v>19.825340828979876</v>
      </c>
      <c r="K238">
        <v>25.029464772641848</v>
      </c>
    </row>
    <row r="239" spans="4:21" x14ac:dyDescent="0.2">
      <c r="D239" t="s">
        <v>288</v>
      </c>
      <c r="E239">
        <v>1.9236800307705917</v>
      </c>
      <c r="F239">
        <v>2.4666075263746889</v>
      </c>
      <c r="G239">
        <v>4.0087238652031463</v>
      </c>
      <c r="H239">
        <v>4.7168154012533021</v>
      </c>
      <c r="I239">
        <v>5.9728069373034591</v>
      </c>
      <c r="J239">
        <v>10.205540828979876</v>
      </c>
      <c r="K239">
        <v>11.890064772641846</v>
      </c>
      <c r="N239">
        <f>K239+K226*25</f>
        <v>25.983713059977582</v>
      </c>
    </row>
    <row r="242" spans="4:11" x14ac:dyDescent="0.2">
      <c r="D242" t="s">
        <v>404</v>
      </c>
    </row>
    <row r="244" spans="4:11" x14ac:dyDescent="0.2">
      <c r="E244">
        <v>5</v>
      </c>
      <c r="F244">
        <v>10</v>
      </c>
      <c r="G244">
        <v>20</v>
      </c>
      <c r="H244">
        <v>30</v>
      </c>
      <c r="I244">
        <v>50</v>
      </c>
      <c r="J244">
        <v>75</v>
      </c>
      <c r="K244">
        <v>100</v>
      </c>
    </row>
    <row r="245" spans="4:11" x14ac:dyDescent="0.2">
      <c r="D245" t="s">
        <v>287</v>
      </c>
      <c r="E245">
        <f>(E$238-E237)/((E223-E225))</f>
        <v>32.012490179147051</v>
      </c>
      <c r="F245">
        <f t="shared" ref="F245:J245" si="50">(F$238-F237)/((F223-F225))</f>
        <v>17.370512072692406</v>
      </c>
      <c r="G245">
        <f t="shared" si="50"/>
        <v>30.723691989564006</v>
      </c>
      <c r="H245">
        <f t="shared" si="50"/>
        <v>38.950624153036884</v>
      </c>
      <c r="I245">
        <f t="shared" si="50"/>
        <v>39.457641784330562</v>
      </c>
      <c r="J245">
        <f t="shared" si="50"/>
        <v>41.120113781114007</v>
      </c>
      <c r="K245">
        <f>(K$238-K237)/((K223-K225))</f>
        <v>35.541700518545127</v>
      </c>
    </row>
    <row r="246" spans="4:11" x14ac:dyDescent="0.2">
      <c r="D246" t="s">
        <v>288</v>
      </c>
      <c r="K246">
        <f t="shared" ref="K246" si="51">(K$237-K239)/((K226-K223))</f>
        <v>24.289898196136868</v>
      </c>
    </row>
    <row r="250" spans="4:11" x14ac:dyDescent="0.2">
      <c r="E250">
        <f>E237+E223*50</f>
        <v>5.2419148352000002</v>
      </c>
      <c r="F250">
        <f t="shared" ref="F250:K250" si="52">F237+F223*50</f>
        <v>8.7530643691999988</v>
      </c>
      <c r="G250">
        <f t="shared" si="52"/>
        <v>13.169654253799999</v>
      </c>
      <c r="H250">
        <f t="shared" si="52"/>
        <v>15.939973528000001</v>
      </c>
      <c r="I250">
        <f t="shared" si="52"/>
        <v>22.514172496</v>
      </c>
      <c r="J250">
        <f t="shared" si="52"/>
        <v>31.551109870000001</v>
      </c>
      <c r="K250">
        <f t="shared" si="52"/>
        <v>42.093813159999996</v>
      </c>
    </row>
    <row r="251" spans="4:11" x14ac:dyDescent="0.2">
      <c r="E251">
        <f t="shared" ref="E251:K251" si="53">E238+E224*50</f>
        <v>16.058158031790192</v>
      </c>
      <c r="F251">
        <f t="shared" si="53"/>
        <v>31.570192013561684</v>
      </c>
      <c r="G251">
        <f t="shared" si="53"/>
        <v>88.317312678781263</v>
      </c>
      <c r="H251">
        <f t="shared" si="53"/>
        <v>112.99022209122143</v>
      </c>
      <c r="I251">
        <f t="shared" si="53"/>
        <v>184.15265467098669</v>
      </c>
      <c r="J251">
        <f t="shared" si="53"/>
        <v>272.51385336761075</v>
      </c>
      <c r="K251">
        <f t="shared" si="53"/>
        <v>495.82382847775898</v>
      </c>
    </row>
    <row r="252" spans="4:11" x14ac:dyDescent="0.2">
      <c r="E252">
        <f>E238+E225*50</f>
        <v>4.65885804190345</v>
      </c>
      <c r="F252">
        <f t="shared" ref="F252:K252" si="54">F238+F225*50</f>
        <v>6.6458147391704028</v>
      </c>
      <c r="G252">
        <f t="shared" si="54"/>
        <v>10.69633191133029</v>
      </c>
      <c r="H252">
        <f t="shared" si="54"/>
        <v>13.991225230814731</v>
      </c>
      <c r="I252">
        <f t="shared" si="54"/>
        <v>20.410863181810605</v>
      </c>
      <c r="J252">
        <f t="shared" si="54"/>
        <v>28.882866749758449</v>
      </c>
      <c r="K252">
        <f t="shared" si="54"/>
        <v>35.97375210362042</v>
      </c>
    </row>
    <row r="253" spans="4:11" x14ac:dyDescent="0.2">
      <c r="E253">
        <f>E239+E226*50</f>
        <v>6.5000483767510167</v>
      </c>
      <c r="F253">
        <f t="shared" ref="F253:J253" si="55">F239+F226*50</f>
        <v>8.5713688276155331</v>
      </c>
      <c r="G253">
        <f t="shared" si="55"/>
        <v>23.937235686094603</v>
      </c>
      <c r="H253">
        <f t="shared" si="55"/>
        <v>25.557834203927261</v>
      </c>
      <c r="I253">
        <f t="shared" si="55"/>
        <v>28.912762246262417</v>
      </c>
      <c r="J253">
        <f t="shared" si="55"/>
        <v>35.769166770795088</v>
      </c>
      <c r="K253">
        <f>K239+K226*50</f>
        <v>40.077361347313314</v>
      </c>
    </row>
    <row r="257" spans="5:11" x14ac:dyDescent="0.2">
      <c r="E257">
        <f>E250-E252</f>
        <v>0.58305679329655025</v>
      </c>
      <c r="F257">
        <f t="shared" ref="F257:K257" si="56">F250-F252</f>
        <v>2.107249630029596</v>
      </c>
      <c r="G257">
        <f t="shared" si="56"/>
        <v>2.4733223424697091</v>
      </c>
      <c r="H257">
        <f t="shared" si="56"/>
        <v>1.9487482971852703</v>
      </c>
      <c r="I257">
        <f t="shared" si="56"/>
        <v>2.1033093141893957</v>
      </c>
      <c r="J257">
        <f t="shared" si="56"/>
        <v>2.6682431202415522</v>
      </c>
      <c r="K257">
        <f t="shared" si="56"/>
        <v>6.1200610563795763</v>
      </c>
    </row>
    <row r="258" spans="5:11" x14ac:dyDescent="0.2">
      <c r="E258">
        <f t="shared" ref="E258:J258" si="57">E250-E253</f>
        <v>-1.2581335415510164</v>
      </c>
      <c r="F258">
        <f t="shared" si="57"/>
        <v>0.18169554158446566</v>
      </c>
      <c r="G258">
        <f t="shared" si="57"/>
        <v>-10.767581432294604</v>
      </c>
      <c r="H258">
        <f t="shared" si="57"/>
        <v>-9.6178606759272594</v>
      </c>
      <c r="I258">
        <f t="shared" si="57"/>
        <v>-6.3985897502624169</v>
      </c>
      <c r="J258">
        <f t="shared" si="57"/>
        <v>-4.2180569007950872</v>
      </c>
      <c r="K258">
        <f>K250-K253</f>
        <v>2.0164518126866824</v>
      </c>
    </row>
    <row r="261" spans="5:11" x14ac:dyDescent="0.2">
      <c r="E261">
        <v>5</v>
      </c>
      <c r="F261">
        <v>10</v>
      </c>
      <c r="G261">
        <v>20</v>
      </c>
      <c r="H261">
        <v>30</v>
      </c>
      <c r="I261">
        <v>50</v>
      </c>
      <c r="J261">
        <v>75</v>
      </c>
      <c r="K261">
        <v>100</v>
      </c>
    </row>
    <row r="262" spans="5:11" x14ac:dyDescent="0.2">
      <c r="E262">
        <f>E257/E$244</f>
        <v>0.11661135865931005</v>
      </c>
      <c r="F262">
        <f t="shared" ref="E262:K263" si="58">F257/F$244</f>
        <v>0.21072496300295959</v>
      </c>
      <c r="G262">
        <f t="shared" si="58"/>
        <v>0.12366611712348545</v>
      </c>
      <c r="H262">
        <f t="shared" si="58"/>
        <v>6.4958276572842338E-2</v>
      </c>
      <c r="I262">
        <f t="shared" si="58"/>
        <v>4.2066186283787915E-2</v>
      </c>
      <c r="J262">
        <f t="shared" si="58"/>
        <v>3.5576574936554028E-2</v>
      </c>
      <c r="K262">
        <f t="shared" si="58"/>
        <v>6.1200610563795763E-2</v>
      </c>
    </row>
    <row r="263" spans="5:11" x14ac:dyDescent="0.2">
      <c r="E263">
        <f t="shared" si="58"/>
        <v>-0.25162670831020328</v>
      </c>
      <c r="F263">
        <f t="shared" si="58"/>
        <v>1.8169554158446566E-2</v>
      </c>
      <c r="G263">
        <f t="shared" si="58"/>
        <v>-0.5383790716147302</v>
      </c>
      <c r="H263">
        <f t="shared" si="58"/>
        <v>-0.32059535586424198</v>
      </c>
      <c r="I263">
        <f t="shared" si="58"/>
        <v>-0.12797179500524833</v>
      </c>
      <c r="J263">
        <f t="shared" si="58"/>
        <v>-5.6240758677267827E-2</v>
      </c>
      <c r="K263">
        <f t="shared" si="58"/>
        <v>2.0164518126866825E-2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49852-41F6-48B9-813D-A41786CFF0BE}">
  <sheetPr>
    <tabColor theme="9"/>
  </sheetPr>
  <dimension ref="A1:CH131"/>
  <sheetViews>
    <sheetView zoomScale="70" zoomScaleNormal="70" workbookViewId="0">
      <selection activeCell="J15" sqref="J15"/>
    </sheetView>
  </sheetViews>
  <sheetFormatPr defaultRowHeight="14.25" x14ac:dyDescent="0.2"/>
  <cols>
    <col min="10" max="10" width="9" style="10"/>
    <col min="13" max="13" width="10.875" bestFit="1" customWidth="1"/>
    <col min="23" max="23" width="9" style="10"/>
    <col min="36" max="36" width="9" style="10"/>
    <col min="49" max="49" width="9" style="10"/>
  </cols>
  <sheetData>
    <row r="1" spans="1:86" x14ac:dyDescent="0.2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7"/>
      <c r="K1" s="86" t="s">
        <v>224</v>
      </c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  <c r="X1" s="86" t="s">
        <v>629</v>
      </c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7"/>
      <c r="AK1" s="86" t="s">
        <v>630</v>
      </c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7"/>
    </row>
    <row r="2" spans="1:86" x14ac:dyDescent="0.2">
      <c r="L2" t="s">
        <v>224</v>
      </c>
      <c r="Q2">
        <f>SAF!R277</f>
        <v>2381.8158421328526</v>
      </c>
      <c r="R2">
        <f>SAF!S277</f>
        <v>3175.7544561771356</v>
      </c>
      <c r="S2">
        <f>SAF!T277</f>
        <v>4763.6316842657052</v>
      </c>
      <c r="T2">
        <f>SAF!U277</f>
        <v>6351.5089123542712</v>
      </c>
      <c r="U2">
        <f>SAF!V277</f>
        <v>7939.3861404428399</v>
      </c>
      <c r="V2">
        <f>SAF!W277</f>
        <v>9527.2633685314104</v>
      </c>
      <c r="W2" s="10">
        <f>SAF!X277</f>
        <v>12703.017824708542</v>
      </c>
      <c r="X2">
        <f>SAF!Y277</f>
        <v>26472.81384909269</v>
      </c>
      <c r="AS2">
        <f>AQ8/12</f>
        <v>27.646666666666665</v>
      </c>
    </row>
    <row r="3" spans="1:86" x14ac:dyDescent="0.2">
      <c r="N3">
        <f>M8/L8</f>
        <v>3.4866765000000002</v>
      </c>
    </row>
    <row r="4" spans="1:86" x14ac:dyDescent="0.2">
      <c r="B4" t="s">
        <v>625</v>
      </c>
      <c r="F4" t="str">
        <f>'Septic Tank - British '!W97</f>
        <v>CO2 eq (kg Co2 eq yr-1)</v>
      </c>
    </row>
    <row r="5" spans="1:86" s="71" customFormat="1" x14ac:dyDescent="0.2">
      <c r="A5" s="70" t="s">
        <v>628</v>
      </c>
      <c r="J5" s="72"/>
      <c r="W5" s="72"/>
      <c r="AJ5" s="72"/>
      <c r="AW5" s="72"/>
    </row>
    <row r="7" spans="1:86" x14ac:dyDescent="0.2">
      <c r="B7" t="str">
        <f>'Septic Tank - British '!Q97</f>
        <v>PE</v>
      </c>
      <c r="C7" t="s">
        <v>40</v>
      </c>
      <c r="D7" t="s">
        <v>626</v>
      </c>
      <c r="E7" t="s">
        <v>290</v>
      </c>
      <c r="I7" t="s">
        <v>632</v>
      </c>
      <c r="L7" t="s">
        <v>89</v>
      </c>
      <c r="M7" t="s">
        <v>40</v>
      </c>
      <c r="N7" t="s">
        <v>626</v>
      </c>
      <c r="O7" t="s">
        <v>631</v>
      </c>
      <c r="P7" t="s">
        <v>627</v>
      </c>
      <c r="Q7" t="s">
        <v>322</v>
      </c>
      <c r="R7" t="s">
        <v>321</v>
      </c>
      <c r="T7" t="s">
        <v>290</v>
      </c>
      <c r="V7" t="s">
        <v>632</v>
      </c>
      <c r="Y7" t="s">
        <v>89</v>
      </c>
      <c r="Z7" t="s">
        <v>40</v>
      </c>
      <c r="AA7" t="s">
        <v>626</v>
      </c>
      <c r="AB7" t="s">
        <v>631</v>
      </c>
      <c r="AC7" t="s">
        <v>627</v>
      </c>
      <c r="AD7" t="s">
        <v>322</v>
      </c>
      <c r="AE7" t="s">
        <v>321</v>
      </c>
      <c r="AG7" t="s">
        <v>290</v>
      </c>
      <c r="AI7" t="s">
        <v>632</v>
      </c>
      <c r="AL7" t="s">
        <v>89</v>
      </c>
      <c r="AM7" t="s">
        <v>40</v>
      </c>
      <c r="AN7" t="s">
        <v>626</v>
      </c>
      <c r="AO7" t="s">
        <v>631</v>
      </c>
      <c r="AP7" t="s">
        <v>627</v>
      </c>
      <c r="AQ7" t="s">
        <v>322</v>
      </c>
      <c r="AR7" t="s">
        <v>321</v>
      </c>
      <c r="AT7" t="s">
        <v>290</v>
      </c>
      <c r="AV7" t="s">
        <v>632</v>
      </c>
      <c r="AY7" t="s">
        <v>89</v>
      </c>
      <c r="AZ7" t="s">
        <v>649</v>
      </c>
      <c r="BA7" t="s">
        <v>224</v>
      </c>
      <c r="BB7" t="s">
        <v>405</v>
      </c>
      <c r="BC7" t="s">
        <v>406</v>
      </c>
      <c r="BP7" t="s">
        <v>663</v>
      </c>
      <c r="BS7" t="s">
        <v>664</v>
      </c>
    </row>
    <row r="8" spans="1:86" x14ac:dyDescent="0.2">
      <c r="B8">
        <f>'Septic Tank - British '!Q98</f>
        <v>5</v>
      </c>
      <c r="C8">
        <f>'Septic Tank - British '!W98</f>
        <v>643.93574999999998</v>
      </c>
      <c r="D8">
        <v>105.22654350000001</v>
      </c>
      <c r="E8">
        <f>C8+D8</f>
        <v>749.16229350000003</v>
      </c>
      <c r="G8">
        <f>C8/B8</f>
        <v>128.78715</v>
      </c>
      <c r="H8">
        <f>D8/B8</f>
        <v>21.0453087</v>
      </c>
      <c r="I8">
        <f>(H8+G8)/1000</f>
        <v>0.14983245869999998</v>
      </c>
      <c r="L8">
        <v>5</v>
      </c>
      <c r="M8">
        <v>17.4333825</v>
      </c>
      <c r="N8">
        <v>67.419252199999988</v>
      </c>
      <c r="O8">
        <v>31.626769218749999</v>
      </c>
      <c r="P8">
        <v>103.43033274703319</v>
      </c>
      <c r="Q8">
        <f>Q9</f>
        <v>331.76</v>
      </c>
      <c r="R8">
        <f>SAF!G324</f>
        <v>55.302500000000002</v>
      </c>
      <c r="T8">
        <f>SUM(M8:R8)</f>
        <v>606.97223666578316</v>
      </c>
      <c r="V8">
        <f>(T8/L8)/1000</f>
        <v>0.12139444733315663</v>
      </c>
      <c r="Y8">
        <v>5</v>
      </c>
      <c r="Z8">
        <v>12.380795226514442</v>
      </c>
      <c r="AA8">
        <v>21.581622998199641</v>
      </c>
      <c r="AB8">
        <v>31.626769218749999</v>
      </c>
      <c r="AC8">
        <v>0</v>
      </c>
      <c r="AD8">
        <v>331.76</v>
      </c>
      <c r="AE8">
        <v>28.732857142857124</v>
      </c>
      <c r="AG8">
        <f t="shared" ref="AG8:AG15" si="0">SUM(Z8:AE8)</f>
        <v>426.08204458632122</v>
      </c>
      <c r="AI8">
        <f>(AG8/Y8)/1000</f>
        <v>8.5216408917264244E-2</v>
      </c>
      <c r="AL8">
        <v>5</v>
      </c>
      <c r="AM8">
        <v>8.1528849421394458</v>
      </c>
      <c r="AN8">
        <v>21.581622998199641</v>
      </c>
      <c r="AO8">
        <v>31.626769218749999</v>
      </c>
      <c r="AP8">
        <v>35.381805879925132</v>
      </c>
      <c r="AQ8">
        <v>331.76</v>
      </c>
      <c r="AR8">
        <v>47.791190476190479</v>
      </c>
      <c r="AT8">
        <f t="shared" ref="AT8:AT15" si="1">SUM(AM8:AR8)</f>
        <v>476.29427351520468</v>
      </c>
      <c r="AV8">
        <f>(AT8/AL8)/1000</f>
        <v>9.5258854703040935E-2</v>
      </c>
      <c r="AY8">
        <v>5</v>
      </c>
      <c r="AZ8">
        <v>0.14983245869999998</v>
      </c>
      <c r="BA8">
        <f>V8</f>
        <v>0.12139444733315663</v>
      </c>
      <c r="BB8">
        <f>AI8</f>
        <v>8.5216408917264244E-2</v>
      </c>
      <c r="BC8">
        <f>AV8</f>
        <v>9.5258854703040935E-2</v>
      </c>
      <c r="BG8" t="s">
        <v>649</v>
      </c>
      <c r="BH8" t="s">
        <v>224</v>
      </c>
      <c r="BI8" t="s">
        <v>405</v>
      </c>
      <c r="BJ8" t="s">
        <v>406</v>
      </c>
    </row>
    <row r="9" spans="1:86" x14ac:dyDescent="0.2">
      <c r="B9">
        <f>'Septic Tank - British '!Q99</f>
        <v>10</v>
      </c>
      <c r="C9">
        <f>'Septic Tank - British '!W99</f>
        <v>1287.8715</v>
      </c>
      <c r="D9">
        <v>107.74153949999999</v>
      </c>
      <c r="E9">
        <f t="shared" ref="E9:E22" si="2">C9+D9</f>
        <v>1395.6130395</v>
      </c>
      <c r="G9">
        <f t="shared" ref="G9:G22" si="3">C9/B9</f>
        <v>128.78715</v>
      </c>
      <c r="H9">
        <f t="shared" ref="H9:H22" si="4">D9/B9</f>
        <v>10.774153949999999</v>
      </c>
      <c r="I9">
        <f t="shared" ref="I9:I22" si="5">(H9+G9)/1000</f>
        <v>0.13956130394999999</v>
      </c>
      <c r="L9">
        <v>10</v>
      </c>
      <c r="M9">
        <v>34.866765000000001</v>
      </c>
      <c r="N9">
        <v>104.57958829999998</v>
      </c>
      <c r="O9">
        <v>63.253538437499998</v>
      </c>
      <c r="P9">
        <v>258.57583186758296</v>
      </c>
      <c r="Q9">
        <f>SAF!D300</f>
        <v>331.76</v>
      </c>
      <c r="R9">
        <f>SAF!G325</f>
        <v>62.627499999999998</v>
      </c>
      <c r="T9">
        <f t="shared" ref="T9:T21" si="6">SUM(M9:R9)</f>
        <v>855.66322360508298</v>
      </c>
      <c r="V9">
        <f t="shared" ref="V9:V21" si="7">(T9/L9)/1000</f>
        <v>8.556632236050829E-2</v>
      </c>
      <c r="Y9">
        <v>10</v>
      </c>
      <c r="Z9">
        <v>24.761590453028884</v>
      </c>
      <c r="AA9">
        <v>7.4413225794792854</v>
      </c>
      <c r="AB9">
        <v>63.253538437499998</v>
      </c>
      <c r="AC9">
        <v>0</v>
      </c>
      <c r="AD9">
        <v>331.76</v>
      </c>
      <c r="AE9">
        <v>31.995714285714268</v>
      </c>
      <c r="AG9">
        <f t="shared" si="0"/>
        <v>459.21216575572242</v>
      </c>
      <c r="AI9">
        <f>(AG9/Y9)/1000</f>
        <v>4.5921216575572243E-2</v>
      </c>
      <c r="AL9">
        <v>10</v>
      </c>
      <c r="AM9">
        <v>16.305769884278892</v>
      </c>
      <c r="AN9">
        <v>7.4413225794792854</v>
      </c>
      <c r="AO9">
        <v>63.253538437499998</v>
      </c>
      <c r="AP9">
        <v>70.763611759850264</v>
      </c>
      <c r="AQ9">
        <v>331.76</v>
      </c>
      <c r="AR9">
        <v>59.925119047619049</v>
      </c>
      <c r="AT9">
        <f t="shared" si="1"/>
        <v>549.44936170872745</v>
      </c>
      <c r="AV9">
        <f t="shared" ref="AV9:AV22" si="8">(AT9/AL9)/1000</f>
        <v>5.4944936170872746E-2</v>
      </c>
      <c r="AY9">
        <v>10</v>
      </c>
      <c r="AZ9">
        <v>0.13956130394999999</v>
      </c>
      <c r="BA9">
        <f t="shared" ref="BA9:BA22" si="9">V9</f>
        <v>8.556632236050829E-2</v>
      </c>
      <c r="BB9">
        <f t="shared" ref="BB9:BB22" si="10">AI9</f>
        <v>4.5921216575572243E-2</v>
      </c>
      <c r="BC9">
        <f t="shared" ref="BC9:BC22" si="11">AV9</f>
        <v>5.4944936170872746E-2</v>
      </c>
      <c r="BF9">
        <v>10</v>
      </c>
      <c r="BG9">
        <v>0.13956130394999999</v>
      </c>
      <c r="BH9">
        <v>8.556632236050829E-2</v>
      </c>
      <c r="BI9">
        <v>4.5921216575572243E-2</v>
      </c>
      <c r="BJ9">
        <v>5.4944936170872746E-2</v>
      </c>
      <c r="BO9" t="s">
        <v>89</v>
      </c>
      <c r="BP9" t="s">
        <v>599</v>
      </c>
      <c r="BQ9" t="s">
        <v>600</v>
      </c>
    </row>
    <row r="10" spans="1:86" x14ac:dyDescent="0.2">
      <c r="B10">
        <f>'Septic Tank - British '!Q100</f>
        <v>20</v>
      </c>
      <c r="C10">
        <f>'Septic Tank - British '!W100</f>
        <v>2575.7429999999999</v>
      </c>
      <c r="D10">
        <v>112.77153149999998</v>
      </c>
      <c r="E10">
        <f t="shared" si="2"/>
        <v>2688.5145315</v>
      </c>
      <c r="G10">
        <f t="shared" si="3"/>
        <v>128.78715</v>
      </c>
      <c r="H10">
        <f t="shared" si="4"/>
        <v>5.6385765749999992</v>
      </c>
      <c r="I10">
        <f t="shared" si="5"/>
        <v>0.13442572657499999</v>
      </c>
      <c r="L10">
        <v>20</v>
      </c>
      <c r="M10">
        <v>69.733530000000002</v>
      </c>
      <c r="N10">
        <v>218.548495</v>
      </c>
      <c r="O10">
        <v>126.507076875</v>
      </c>
      <c r="P10">
        <v>541.20522949029009</v>
      </c>
      <c r="Q10">
        <f>SAF!D301</f>
        <v>331.76</v>
      </c>
      <c r="R10">
        <f>SAF!G326</f>
        <v>75.414999999999992</v>
      </c>
      <c r="T10">
        <f t="shared" si="6"/>
        <v>1363.16933136529</v>
      </c>
      <c r="V10">
        <f t="shared" si="7"/>
        <v>6.8158466568264506E-2</v>
      </c>
      <c r="Y10">
        <v>20</v>
      </c>
      <c r="Z10">
        <v>49.523180906057767</v>
      </c>
      <c r="AA10">
        <v>8.240678193940715</v>
      </c>
      <c r="AB10">
        <v>126.507076875</v>
      </c>
      <c r="AC10">
        <v>0</v>
      </c>
      <c r="AD10">
        <v>331.76</v>
      </c>
      <c r="AE10">
        <v>38.35714285714284</v>
      </c>
      <c r="AG10">
        <f t="shared" si="0"/>
        <v>554.38807883214133</v>
      </c>
      <c r="AI10">
        <f t="shared" ref="AI10:AI22" si="12">(AG10/Y10)/1000</f>
        <v>2.7719403941607067E-2</v>
      </c>
      <c r="AL10">
        <v>20</v>
      </c>
      <c r="AM10">
        <v>32.611539768557783</v>
      </c>
      <c r="AN10">
        <v>8.240678193940715</v>
      </c>
      <c r="AO10">
        <v>126.507076875</v>
      </c>
      <c r="AP10">
        <v>436.37560585240993</v>
      </c>
      <c r="AQ10">
        <v>331.76</v>
      </c>
      <c r="AR10">
        <v>101.28761904761905</v>
      </c>
      <c r="AT10">
        <f t="shared" si="1"/>
        <v>1036.7825197375275</v>
      </c>
      <c r="AV10">
        <f t="shared" si="8"/>
        <v>5.1839125986876372E-2</v>
      </c>
      <c r="AY10">
        <v>20</v>
      </c>
      <c r="AZ10">
        <v>0.13442572657499999</v>
      </c>
      <c r="BA10">
        <f t="shared" si="9"/>
        <v>6.8158466568264506E-2</v>
      </c>
      <c r="BB10">
        <f t="shared" si="10"/>
        <v>2.7719403941607067E-2</v>
      </c>
      <c r="BC10">
        <f t="shared" si="11"/>
        <v>5.1839125986876372E-2</v>
      </c>
      <c r="BF10">
        <v>100</v>
      </c>
      <c r="BG10">
        <v>0.12966250215</v>
      </c>
      <c r="BH10">
        <v>6.2255823527958498E-2</v>
      </c>
      <c r="BI10">
        <v>1.3127958392102887E-2</v>
      </c>
      <c r="BJ10">
        <v>1.8486665727085322E-2</v>
      </c>
      <c r="BO10">
        <v>5</v>
      </c>
      <c r="BP10">
        <v>96.791250000000005</v>
      </c>
      <c r="BQ10">
        <v>547.14449999999999</v>
      </c>
      <c r="BS10">
        <v>14.5186875</v>
      </c>
      <c r="BT10">
        <v>2.9146949999999996</v>
      </c>
      <c r="BV10">
        <f>BP10/BO10</f>
        <v>19.358250000000002</v>
      </c>
      <c r="BW10">
        <f>BQ10/BO10</f>
        <v>109.4289</v>
      </c>
      <c r="BY10">
        <f>BW10+BV10</f>
        <v>128.78715</v>
      </c>
      <c r="CA10">
        <f>(BW10/BY10)*100</f>
        <v>84.968803176403867</v>
      </c>
      <c r="CC10">
        <f>BS10/BO10</f>
        <v>2.9037375000000001</v>
      </c>
      <c r="CD10">
        <f>BT10/BO10</f>
        <v>0.58293899999999987</v>
      </c>
      <c r="CF10">
        <f>CC10+CD10</f>
        <v>3.4866764999999997</v>
      </c>
      <c r="CH10">
        <f>(CC10/CF10)*100</f>
        <v>83.280955373978642</v>
      </c>
    </row>
    <row r="11" spans="1:86" x14ac:dyDescent="0.2">
      <c r="B11">
        <f>'Septic Tank - British '!Q101</f>
        <v>30</v>
      </c>
      <c r="C11">
        <f>'Septic Tank - British '!W101</f>
        <v>3863.6145000000001</v>
      </c>
      <c r="D11">
        <v>72.915687000000005</v>
      </c>
      <c r="E11">
        <f t="shared" si="2"/>
        <v>3936.5301870000003</v>
      </c>
      <c r="G11">
        <f t="shared" si="3"/>
        <v>128.78715</v>
      </c>
      <c r="H11">
        <f t="shared" si="4"/>
        <v>2.4305229000000002</v>
      </c>
      <c r="I11">
        <f t="shared" si="5"/>
        <v>0.1312176729</v>
      </c>
      <c r="L11">
        <v>30</v>
      </c>
      <c r="M11">
        <v>104.600295</v>
      </c>
      <c r="N11">
        <v>147.53308005373586</v>
      </c>
      <c r="O11">
        <v>189.76061531250002</v>
      </c>
      <c r="P11">
        <v>841.87480142933987</v>
      </c>
      <c r="Q11">
        <f>SAF!D302</f>
        <v>331.76</v>
      </c>
      <c r="R11">
        <f>SAF!G327</f>
        <v>65.914999999999992</v>
      </c>
      <c r="T11">
        <f t="shared" si="6"/>
        <v>1681.4437917955756</v>
      </c>
      <c r="V11">
        <f t="shared" si="7"/>
        <v>5.6048126393185856E-2</v>
      </c>
      <c r="Y11">
        <v>30</v>
      </c>
      <c r="Z11">
        <v>74.284771359086662</v>
      </c>
      <c r="AA11">
        <v>9.9735668873657133</v>
      </c>
      <c r="AB11">
        <v>189.76061531250002</v>
      </c>
      <c r="AC11">
        <v>0</v>
      </c>
      <c r="AD11">
        <v>331.76</v>
      </c>
      <c r="AE11">
        <v>44.941428571428553</v>
      </c>
      <c r="AG11">
        <f t="shared" si="0"/>
        <v>650.72038213038093</v>
      </c>
      <c r="AI11">
        <f t="shared" si="12"/>
        <v>2.1690679404346033E-2</v>
      </c>
      <c r="AL11">
        <v>30</v>
      </c>
      <c r="AM11">
        <v>48.917309652836657</v>
      </c>
      <c r="AN11">
        <v>9.9735668873657133</v>
      </c>
      <c r="AO11">
        <v>189.76061531250002</v>
      </c>
      <c r="AP11">
        <v>436.37560585240993</v>
      </c>
      <c r="AQ11">
        <v>331.76</v>
      </c>
      <c r="AR11">
        <v>120.11619047619048</v>
      </c>
      <c r="AT11">
        <f t="shared" si="1"/>
        <v>1136.9032881813027</v>
      </c>
      <c r="AV11">
        <f t="shared" si="8"/>
        <v>3.7896776272710091E-2</v>
      </c>
      <c r="AY11">
        <v>30</v>
      </c>
      <c r="AZ11">
        <v>0.1312176729</v>
      </c>
      <c r="BA11">
        <f t="shared" si="9"/>
        <v>5.6048126393185856E-2</v>
      </c>
      <c r="BB11">
        <f t="shared" si="10"/>
        <v>2.1690679404346033E-2</v>
      </c>
      <c r="BC11">
        <f t="shared" si="11"/>
        <v>3.7896776272710091E-2</v>
      </c>
      <c r="BF11">
        <v>1000</v>
      </c>
      <c r="BG11">
        <v>0.12985124459200001</v>
      </c>
      <c r="BH11">
        <v>1.6216208729877279E-2</v>
      </c>
      <c r="BI11">
        <v>9.9376704085007463E-3</v>
      </c>
      <c r="BJ11">
        <v>1.2583614592344064E-2</v>
      </c>
      <c r="BO11">
        <v>10</v>
      </c>
      <c r="BP11">
        <v>193.58250000000001</v>
      </c>
      <c r="BQ11">
        <v>1094.289</v>
      </c>
      <c r="BS11">
        <v>29.037375000000001</v>
      </c>
      <c r="BT11">
        <v>5.8293899999999992</v>
      </c>
      <c r="BV11">
        <f t="shared" ref="BV11:BV23" si="13">BP11/BO11</f>
        <v>19.358250000000002</v>
      </c>
      <c r="BW11">
        <f t="shared" ref="BW11:BW23" si="14">BQ11/BO11</f>
        <v>109.4289</v>
      </c>
      <c r="CC11">
        <f t="shared" ref="CC11:CC15" si="15">BS11/BO11</f>
        <v>2.9037375000000001</v>
      </c>
      <c r="CD11">
        <f t="shared" ref="CD11:CD15" si="16">BT11/BO11</f>
        <v>0.58293899999999987</v>
      </c>
    </row>
    <row r="12" spans="1:86" x14ac:dyDescent="0.2">
      <c r="B12">
        <f>'Septic Tank - British '!Q102</f>
        <v>50</v>
      </c>
      <c r="C12">
        <f>'Septic Tank - British '!W102</f>
        <v>6439.3575000000001</v>
      </c>
      <c r="D12">
        <v>77.092694999999992</v>
      </c>
      <c r="E12">
        <f t="shared" si="2"/>
        <v>6516.4501950000003</v>
      </c>
      <c r="G12">
        <f t="shared" si="3"/>
        <v>128.78715</v>
      </c>
      <c r="H12">
        <f t="shared" si="4"/>
        <v>1.5418538999999998</v>
      </c>
      <c r="I12">
        <f t="shared" si="5"/>
        <v>0.13032900389999999</v>
      </c>
      <c r="L12">
        <v>50</v>
      </c>
      <c r="M12">
        <v>174.33382499999999</v>
      </c>
      <c r="N12">
        <v>160.05877639824908</v>
      </c>
      <c r="O12">
        <v>316.26769218750002</v>
      </c>
      <c r="P12">
        <v>1322.9461165318201</v>
      </c>
      <c r="Q12">
        <f>SAF!D303</f>
        <v>331.76</v>
      </c>
      <c r="R12">
        <f>SAF!G328</f>
        <v>68.789999999999992</v>
      </c>
      <c r="T12">
        <f t="shared" si="6"/>
        <v>2374.1564101175691</v>
      </c>
      <c r="V12">
        <f t="shared" si="7"/>
        <v>4.7483128202351378E-2</v>
      </c>
      <c r="Y12">
        <v>50</v>
      </c>
      <c r="Z12">
        <v>123.80795226514442</v>
      </c>
      <c r="AA12">
        <v>10.935978876428571</v>
      </c>
      <c r="AB12">
        <v>316.26769218750002</v>
      </c>
      <c r="AC12">
        <v>0</v>
      </c>
      <c r="AD12">
        <v>331.76</v>
      </c>
      <c r="AE12">
        <v>58.027142857142842</v>
      </c>
      <c r="AG12">
        <f t="shared" si="0"/>
        <v>840.79876618621586</v>
      </c>
      <c r="AI12">
        <f t="shared" si="12"/>
        <v>1.6815975323724315E-2</v>
      </c>
      <c r="AL12">
        <v>50</v>
      </c>
      <c r="AM12">
        <v>81.528849421394426</v>
      </c>
      <c r="AN12">
        <v>10.935978876428571</v>
      </c>
      <c r="AO12">
        <v>316.26769218750002</v>
      </c>
      <c r="AP12">
        <v>436.37560585240993</v>
      </c>
      <c r="AQ12">
        <v>331.76</v>
      </c>
      <c r="AR12">
        <v>154.48761904761906</v>
      </c>
      <c r="AT12">
        <f t="shared" si="1"/>
        <v>1331.3557453853521</v>
      </c>
      <c r="AV12">
        <f t="shared" si="8"/>
        <v>2.6627114907707042E-2</v>
      </c>
      <c r="AY12">
        <v>50</v>
      </c>
      <c r="AZ12">
        <v>0.13032900389999999</v>
      </c>
      <c r="BA12">
        <f t="shared" si="9"/>
        <v>4.7483128202351378E-2</v>
      </c>
      <c r="BB12">
        <f t="shared" si="10"/>
        <v>1.6815975323724315E-2</v>
      </c>
      <c r="BC12">
        <f t="shared" si="11"/>
        <v>2.6627114907707042E-2</v>
      </c>
      <c r="BO12">
        <v>20</v>
      </c>
      <c r="BP12">
        <v>387.16500000000002</v>
      </c>
      <c r="BQ12">
        <v>2188.578</v>
      </c>
      <c r="BS12">
        <v>58.074750000000002</v>
      </c>
      <c r="BT12">
        <v>11.658779999999998</v>
      </c>
      <c r="BV12">
        <f t="shared" si="13"/>
        <v>19.358250000000002</v>
      </c>
      <c r="BW12">
        <f t="shared" si="14"/>
        <v>109.4289</v>
      </c>
      <c r="CC12">
        <f t="shared" si="15"/>
        <v>2.9037375000000001</v>
      </c>
      <c r="CD12">
        <f t="shared" si="16"/>
        <v>0.58293899999999987</v>
      </c>
    </row>
    <row r="13" spans="1:86" x14ac:dyDescent="0.2">
      <c r="B13">
        <f>'Septic Tank - British '!Q103</f>
        <v>75</v>
      </c>
      <c r="C13">
        <f>'Septic Tank - British '!W103</f>
        <v>9659.036250000001</v>
      </c>
      <c r="D13">
        <v>82.313955000000007</v>
      </c>
      <c r="E13">
        <f t="shared" si="2"/>
        <v>9741.3502050000006</v>
      </c>
      <c r="G13">
        <f t="shared" si="3"/>
        <v>128.78715000000003</v>
      </c>
      <c r="H13">
        <f t="shared" si="4"/>
        <v>1.0975194000000001</v>
      </c>
      <c r="I13">
        <f t="shared" si="5"/>
        <v>0.12988466940000004</v>
      </c>
      <c r="L13">
        <v>75</v>
      </c>
      <c r="M13">
        <v>261.50073750000001</v>
      </c>
      <c r="N13">
        <v>326.83277624618052</v>
      </c>
      <c r="O13">
        <v>474.40153828124994</v>
      </c>
      <c r="P13">
        <v>2044.5530891855396</v>
      </c>
      <c r="Q13">
        <f>SAF!D304</f>
        <v>331.76</v>
      </c>
      <c r="R13">
        <f>SAF!G329</f>
        <v>75.289999999999992</v>
      </c>
      <c r="T13">
        <f t="shared" si="6"/>
        <v>3514.3381412129702</v>
      </c>
      <c r="V13">
        <f t="shared" si="7"/>
        <v>4.6857841882839604E-2</v>
      </c>
      <c r="Y13">
        <v>75</v>
      </c>
      <c r="Z13">
        <v>185.71192839771666</v>
      </c>
      <c r="AA13">
        <v>10.334471383264288</v>
      </c>
      <c r="AB13">
        <v>474.40153828124994</v>
      </c>
      <c r="AC13">
        <v>0</v>
      </c>
      <c r="AD13">
        <v>331.76</v>
      </c>
      <c r="AE13">
        <v>73.948571428571412</v>
      </c>
      <c r="AG13">
        <f t="shared" si="0"/>
        <v>1076.1565094908021</v>
      </c>
      <c r="AI13">
        <f t="shared" si="12"/>
        <v>1.4348753459877361E-2</v>
      </c>
      <c r="AL13">
        <v>75</v>
      </c>
      <c r="AM13">
        <v>122.29327413209165</v>
      </c>
      <c r="AN13">
        <v>10.334471383264288</v>
      </c>
      <c r="AO13">
        <v>474.40153828124994</v>
      </c>
      <c r="AP13">
        <v>436.37560585240993</v>
      </c>
      <c r="AQ13">
        <v>331.76</v>
      </c>
      <c r="AR13">
        <v>226.71619047619049</v>
      </c>
      <c r="AT13">
        <f t="shared" si="1"/>
        <v>1601.8810801252062</v>
      </c>
      <c r="AV13">
        <f t="shared" si="8"/>
        <v>2.1358414401669416E-2</v>
      </c>
      <c r="AY13">
        <v>75</v>
      </c>
      <c r="AZ13">
        <v>0.12988466940000004</v>
      </c>
      <c r="BA13">
        <f t="shared" si="9"/>
        <v>4.6857841882839604E-2</v>
      </c>
      <c r="BB13">
        <f t="shared" si="10"/>
        <v>1.4348753459877361E-2</v>
      </c>
      <c r="BC13">
        <f t="shared" si="11"/>
        <v>2.1358414401669416E-2</v>
      </c>
      <c r="BO13">
        <v>30</v>
      </c>
      <c r="BP13">
        <v>580.74749999999995</v>
      </c>
      <c r="BQ13">
        <v>3282.8670000000002</v>
      </c>
      <c r="BS13">
        <v>87.112125000000006</v>
      </c>
      <c r="BT13">
        <v>17.488169999999997</v>
      </c>
      <c r="BV13">
        <f t="shared" si="13"/>
        <v>19.358249999999998</v>
      </c>
      <c r="BW13">
        <f t="shared" si="14"/>
        <v>109.42890000000001</v>
      </c>
      <c r="CC13">
        <f t="shared" si="15"/>
        <v>2.9037375000000001</v>
      </c>
      <c r="CD13">
        <f t="shared" si="16"/>
        <v>0.58293899999999987</v>
      </c>
    </row>
    <row r="14" spans="1:86" x14ac:dyDescent="0.2">
      <c r="B14">
        <f>'Septic Tank - British '!Q104</f>
        <v>100</v>
      </c>
      <c r="C14">
        <f>'Septic Tank - British '!W104</f>
        <v>12878.715</v>
      </c>
      <c r="D14">
        <v>87.535215000000008</v>
      </c>
      <c r="E14">
        <f>C14+D14</f>
        <v>12966.250215</v>
      </c>
      <c r="F14">
        <f>C14/B14</f>
        <v>128.78715</v>
      </c>
      <c r="G14">
        <f>C14/B14</f>
        <v>128.78715</v>
      </c>
      <c r="H14">
        <f>D14/B14</f>
        <v>0.87535215000000011</v>
      </c>
      <c r="I14">
        <f>(H14+G14)/1000</f>
        <v>0.12966250215</v>
      </c>
      <c r="J14">
        <f>(D14/E14)*100</f>
        <v>0.67510046118603317</v>
      </c>
      <c r="L14">
        <v>100</v>
      </c>
      <c r="M14">
        <v>348.66764999999998</v>
      </c>
      <c r="N14">
        <v>511.8392653760929</v>
      </c>
      <c r="O14">
        <v>632.53538437500004</v>
      </c>
      <c r="P14">
        <v>4317.6150530447576</v>
      </c>
      <c r="Q14">
        <f>SAF!D305</f>
        <v>331.76</v>
      </c>
      <c r="R14">
        <f>SAF!G330</f>
        <v>83.164999999999992</v>
      </c>
      <c r="S14">
        <f>M14/L14</f>
        <v>3.4866764999999997</v>
      </c>
      <c r="T14">
        <f t="shared" si="6"/>
        <v>6225.5823527958501</v>
      </c>
      <c r="V14">
        <f>(T14/L14)/1000</f>
        <v>6.2255823527958498E-2</v>
      </c>
      <c r="W14">
        <f>(N14/T14)*100</f>
        <v>8.221548384886928</v>
      </c>
      <c r="Y14">
        <v>100</v>
      </c>
      <c r="Z14">
        <v>247.61590453028884</v>
      </c>
      <c r="AA14">
        <v>10.935978876428571</v>
      </c>
      <c r="AB14">
        <v>632.53538437500004</v>
      </c>
      <c r="AC14">
        <v>0</v>
      </c>
      <c r="AD14">
        <v>331.76</v>
      </c>
      <c r="AE14">
        <v>89.948571428571412</v>
      </c>
      <c r="AF14">
        <f>Z14/Y14</f>
        <v>2.4761590453028886</v>
      </c>
      <c r="AG14">
        <f>SUM(Z14:AE14)</f>
        <v>1312.7958392102887</v>
      </c>
      <c r="AH14">
        <f>(AA14/AG14)*100</f>
        <v>0.83302967223045898</v>
      </c>
      <c r="AI14">
        <f t="shared" si="12"/>
        <v>1.3127958392102887E-2</v>
      </c>
      <c r="AL14">
        <v>100</v>
      </c>
      <c r="AM14">
        <v>163.05769884278885</v>
      </c>
      <c r="AN14">
        <v>10.935978876428571</v>
      </c>
      <c r="AO14">
        <v>632.53538437500004</v>
      </c>
      <c r="AP14">
        <v>436.37560585240993</v>
      </c>
      <c r="AQ14">
        <v>331.76</v>
      </c>
      <c r="AR14">
        <v>274.00190476190477</v>
      </c>
      <c r="AS14">
        <f>AM14/AL14</f>
        <v>1.6305769884278885</v>
      </c>
      <c r="AT14">
        <f t="shared" si="1"/>
        <v>1848.6665727085322</v>
      </c>
      <c r="AU14">
        <f>(AN14/AT14)*100</f>
        <v>0.59156037318324894</v>
      </c>
      <c r="AV14">
        <f t="shared" si="8"/>
        <v>1.8486665727085322E-2</v>
      </c>
      <c r="AY14">
        <v>100</v>
      </c>
      <c r="AZ14">
        <v>0.12966250215</v>
      </c>
      <c r="BA14">
        <f t="shared" si="9"/>
        <v>6.2255823527958498E-2</v>
      </c>
      <c r="BB14">
        <f t="shared" si="10"/>
        <v>1.3127958392102887E-2</v>
      </c>
      <c r="BC14">
        <f t="shared" si="11"/>
        <v>1.8486665727085322E-2</v>
      </c>
      <c r="BO14">
        <v>50</v>
      </c>
      <c r="BP14">
        <v>967.91249999999991</v>
      </c>
      <c r="BQ14">
        <v>5471.4449999999997</v>
      </c>
      <c r="BS14">
        <v>145.18687499999999</v>
      </c>
      <c r="BT14">
        <v>29.14695</v>
      </c>
      <c r="BV14">
        <f t="shared" si="13"/>
        <v>19.358249999999998</v>
      </c>
      <c r="BW14">
        <f t="shared" si="14"/>
        <v>109.4289</v>
      </c>
      <c r="CC14">
        <f t="shared" si="15"/>
        <v>2.9037374999999996</v>
      </c>
      <c r="CD14">
        <f t="shared" si="16"/>
        <v>0.58293899999999998</v>
      </c>
    </row>
    <row r="15" spans="1:86" x14ac:dyDescent="0.2">
      <c r="B15">
        <f>'Septic Tank - British '!Q105</f>
        <v>150</v>
      </c>
      <c r="C15">
        <f>'Septic Tank - British '!W105</f>
        <v>19318.072500000002</v>
      </c>
      <c r="D15">
        <v>97.97773500000001</v>
      </c>
      <c r="E15">
        <f t="shared" si="2"/>
        <v>19416.050235000002</v>
      </c>
      <c r="G15">
        <f t="shared" si="3"/>
        <v>128.78715000000003</v>
      </c>
      <c r="H15">
        <f t="shared" si="4"/>
        <v>0.65318490000000007</v>
      </c>
      <c r="I15">
        <f t="shared" si="5"/>
        <v>0.12944033490000004</v>
      </c>
      <c r="L15">
        <v>150</v>
      </c>
      <c r="M15">
        <f t="shared" ref="M15:M22" si="17">$N$3*L15</f>
        <v>523.00147500000003</v>
      </c>
      <c r="N15">
        <v>844.72533999999996</v>
      </c>
      <c r="O15">
        <v>948.80307656249988</v>
      </c>
      <c r="P15" s="10">
        <f>SAF!R277</f>
        <v>2381.8158421328526</v>
      </c>
      <c r="Q15">
        <f>SAF!D306</f>
        <v>331.76</v>
      </c>
      <c r="R15">
        <f>SAF!G331</f>
        <v>83.164999999999992</v>
      </c>
      <c r="T15">
        <f t="shared" si="6"/>
        <v>5113.2707336953526</v>
      </c>
      <c r="V15">
        <f t="shared" si="7"/>
        <v>3.4088471557969013E-2</v>
      </c>
      <c r="Y15">
        <v>150</v>
      </c>
      <c r="Z15">
        <v>371.42385679543332</v>
      </c>
      <c r="AA15">
        <v>23.693665733571429</v>
      </c>
      <c r="AB15">
        <v>948.80307656249988</v>
      </c>
      <c r="AC15">
        <v>0</v>
      </c>
      <c r="AD15">
        <v>331.76</v>
      </c>
      <c r="AE15">
        <v>153.49142857142854</v>
      </c>
      <c r="AG15">
        <f t="shared" si="0"/>
        <v>1829.1720276629333</v>
      </c>
      <c r="AI15">
        <f t="shared" si="12"/>
        <v>1.2194480184419555E-2</v>
      </c>
      <c r="AL15">
        <v>150</v>
      </c>
      <c r="AM15">
        <v>244.58654826418331</v>
      </c>
      <c r="AN15">
        <v>23.693665733571429</v>
      </c>
      <c r="AO15">
        <v>948.80307656249988</v>
      </c>
      <c r="AP15">
        <v>471.75741173233513</v>
      </c>
      <c r="AQ15">
        <v>331.76</v>
      </c>
      <c r="AR15">
        <v>364.42333333333329</v>
      </c>
      <c r="AT15">
        <f t="shared" si="1"/>
        <v>2385.0240356259233</v>
      </c>
      <c r="AV15">
        <f t="shared" si="8"/>
        <v>1.5900160237506154E-2</v>
      </c>
      <c r="AY15">
        <v>150</v>
      </c>
      <c r="AZ15">
        <v>0.12944033490000004</v>
      </c>
      <c r="BA15">
        <f t="shared" si="9"/>
        <v>3.4088471557969013E-2</v>
      </c>
      <c r="BB15">
        <f t="shared" si="10"/>
        <v>1.2194480184419555E-2</v>
      </c>
      <c r="BC15">
        <f t="shared" si="11"/>
        <v>1.5900160237506154E-2</v>
      </c>
      <c r="BO15">
        <v>75</v>
      </c>
      <c r="BP15">
        <v>1451.8687499999999</v>
      </c>
      <c r="BQ15">
        <v>8207.1675000000014</v>
      </c>
      <c r="BS15">
        <v>217.78031250000001</v>
      </c>
      <c r="BT15">
        <v>43.720425000000006</v>
      </c>
      <c r="BV15">
        <f t="shared" si="13"/>
        <v>19.358249999999998</v>
      </c>
      <c r="BW15">
        <f t="shared" si="14"/>
        <v>109.42890000000001</v>
      </c>
      <c r="CC15">
        <f t="shared" si="15"/>
        <v>2.9037375000000001</v>
      </c>
      <c r="CD15">
        <f t="shared" si="16"/>
        <v>0.5829390000000001</v>
      </c>
    </row>
    <row r="16" spans="1:86" x14ac:dyDescent="0.2">
      <c r="B16">
        <f>'Septic Tank - British '!Q106</f>
        <v>200</v>
      </c>
      <c r="C16">
        <f>'Septic Tank - British '!W106</f>
        <v>25757.43</v>
      </c>
      <c r="D16">
        <v>136.38908800000002</v>
      </c>
      <c r="E16">
        <f t="shared" si="2"/>
        <v>25893.819088</v>
      </c>
      <c r="G16">
        <f t="shared" si="3"/>
        <v>128.78715</v>
      </c>
      <c r="H16">
        <f t="shared" si="4"/>
        <v>0.68194544000000012</v>
      </c>
      <c r="I16">
        <f t="shared" si="5"/>
        <v>0.12946909543999999</v>
      </c>
      <c r="L16">
        <v>200</v>
      </c>
      <c r="M16">
        <f t="shared" si="17"/>
        <v>697.33530000000007</v>
      </c>
      <c r="N16">
        <v>865.04854</v>
      </c>
      <c r="O16">
        <v>1265.0707687500001</v>
      </c>
      <c r="P16">
        <f>SAF!S277</f>
        <v>3175.7544561771356</v>
      </c>
      <c r="Q16">
        <f>SAF!D307</f>
        <v>331.76</v>
      </c>
      <c r="R16">
        <f>SAF!G332</f>
        <v>83.164999999999992</v>
      </c>
      <c r="T16">
        <f t="shared" si="6"/>
        <v>6418.134064927136</v>
      </c>
      <c r="V16">
        <f t="shared" si="7"/>
        <v>3.2090670324635681E-2</v>
      </c>
      <c r="Y16">
        <v>200</v>
      </c>
      <c r="Z16">
        <v>495.23180906057769</v>
      </c>
      <c r="AA16" s="11">
        <f>AVERAGE(AA15,AA17)</f>
        <v>27.946228019285716</v>
      </c>
      <c r="AB16">
        <v>1265.0707687500001</v>
      </c>
      <c r="AC16">
        <v>0</v>
      </c>
      <c r="AD16">
        <v>331.76</v>
      </c>
      <c r="AE16">
        <v>196.37714285714284</v>
      </c>
      <c r="AG16">
        <f>SUM(Z16:AE16)</f>
        <v>2316.385948687006</v>
      </c>
      <c r="AI16">
        <f t="shared" si="12"/>
        <v>1.158192974343503E-2</v>
      </c>
      <c r="AL16">
        <v>200</v>
      </c>
      <c r="AM16">
        <v>326.1153976855777</v>
      </c>
      <c r="AN16" s="11">
        <f>AVERAGE(AN15,AN17)</f>
        <v>27.946228019285716</v>
      </c>
      <c r="AO16">
        <v>1265.0707687500001</v>
      </c>
      <c r="AP16">
        <v>471.75741173233513</v>
      </c>
      <c r="AQ16">
        <v>331.76</v>
      </c>
      <c r="AR16">
        <v>472.56619047619046</v>
      </c>
      <c r="AT16">
        <f>SUM(AM16:AR16)</f>
        <v>2895.2159966633894</v>
      </c>
      <c r="AV16">
        <f t="shared" si="8"/>
        <v>1.4476079983316946E-2</v>
      </c>
      <c r="AY16">
        <v>200</v>
      </c>
      <c r="AZ16">
        <v>0.12946909543999999</v>
      </c>
      <c r="BA16">
        <f t="shared" si="9"/>
        <v>3.2090670324635681E-2</v>
      </c>
      <c r="BB16">
        <f t="shared" si="10"/>
        <v>1.158192974343503E-2</v>
      </c>
      <c r="BC16">
        <f t="shared" si="11"/>
        <v>1.4476079983316946E-2</v>
      </c>
      <c r="BO16">
        <v>100</v>
      </c>
      <c r="BP16">
        <v>1935.8249999999998</v>
      </c>
      <c r="BQ16">
        <v>10942.89</v>
      </c>
      <c r="BS16">
        <v>290.37374999999997</v>
      </c>
      <c r="BT16">
        <v>58.293900000000001</v>
      </c>
      <c r="BV16">
        <f t="shared" si="13"/>
        <v>19.358249999999998</v>
      </c>
      <c r="BW16">
        <f t="shared" si="14"/>
        <v>109.4289</v>
      </c>
    </row>
    <row r="17" spans="1:79" x14ac:dyDescent="0.2">
      <c r="B17">
        <f>'Septic Tank - British '!Q107</f>
        <v>300</v>
      </c>
      <c r="C17">
        <f>'Septic Tank - British '!W107</f>
        <v>38636.145000000004</v>
      </c>
      <c r="D17">
        <v>152.59340800000004</v>
      </c>
      <c r="E17">
        <f t="shared" si="2"/>
        <v>38788.738408000005</v>
      </c>
      <c r="G17">
        <f t="shared" si="3"/>
        <v>128.78715000000003</v>
      </c>
      <c r="H17">
        <f t="shared" si="4"/>
        <v>0.50864469333333351</v>
      </c>
      <c r="I17">
        <f t="shared" si="5"/>
        <v>0.12929579469333335</v>
      </c>
      <c r="L17">
        <v>300</v>
      </c>
      <c r="M17">
        <f t="shared" si="17"/>
        <v>1046.0029500000001</v>
      </c>
      <c r="N17">
        <v>905.69493999999997</v>
      </c>
      <c r="O17">
        <v>1897.6061531249998</v>
      </c>
      <c r="P17">
        <f>SAF!T277</f>
        <v>4763.6316842657052</v>
      </c>
      <c r="Q17">
        <f>SAF!D308</f>
        <v>331.76</v>
      </c>
      <c r="R17">
        <f>SAF!G333</f>
        <v>83.164999999999992</v>
      </c>
      <c r="T17">
        <f t="shared" si="6"/>
        <v>9027.8607273907055</v>
      </c>
      <c r="V17">
        <f t="shared" si="7"/>
        <v>3.0092869091302352E-2</v>
      </c>
      <c r="Y17">
        <v>300</v>
      </c>
      <c r="Z17">
        <v>742.84771359086665</v>
      </c>
      <c r="AA17">
        <v>32.198790305000003</v>
      </c>
      <c r="AB17">
        <v>1897.6061531249998</v>
      </c>
      <c r="AC17">
        <v>0</v>
      </c>
      <c r="AD17">
        <v>331.76</v>
      </c>
      <c r="AE17">
        <v>281.39142857142855</v>
      </c>
      <c r="AG17">
        <f t="shared" ref="AG17:AG22" si="18">SUM(Z17:AE17)</f>
        <v>3285.804085592295</v>
      </c>
      <c r="AI17">
        <f t="shared" si="12"/>
        <v>1.095268028530765E-2</v>
      </c>
      <c r="AL17">
        <v>300</v>
      </c>
      <c r="AM17">
        <v>489.17309652836661</v>
      </c>
      <c r="AN17">
        <v>32.198790305000003</v>
      </c>
      <c r="AO17">
        <v>1897.6061531249998</v>
      </c>
      <c r="AP17">
        <v>707.63611759850266</v>
      </c>
      <c r="AQ17">
        <v>331.76</v>
      </c>
      <c r="AR17">
        <v>655.70904761904762</v>
      </c>
      <c r="AT17">
        <f t="shared" ref="AT17:AT22" si="19">SUM(AM17:AR17)</f>
        <v>4114.0832051759171</v>
      </c>
      <c r="AV17">
        <f t="shared" si="8"/>
        <v>1.3713610683919724E-2</v>
      </c>
      <c r="AY17">
        <v>300</v>
      </c>
      <c r="AZ17">
        <v>0.12929579469333335</v>
      </c>
      <c r="BA17">
        <f t="shared" si="9"/>
        <v>3.0092869091302352E-2</v>
      </c>
      <c r="BB17">
        <f t="shared" si="10"/>
        <v>1.095268028530765E-2</v>
      </c>
      <c r="BC17">
        <f t="shared" si="11"/>
        <v>1.3713610683919724E-2</v>
      </c>
      <c r="BO17">
        <v>150</v>
      </c>
      <c r="BP17">
        <v>2903.7374999999997</v>
      </c>
      <c r="BQ17">
        <v>16414.335000000003</v>
      </c>
      <c r="BV17">
        <f t="shared" si="13"/>
        <v>19.358249999999998</v>
      </c>
      <c r="BW17">
        <f t="shared" si="14"/>
        <v>109.42890000000001</v>
      </c>
    </row>
    <row r="18" spans="1:79" x14ac:dyDescent="0.2">
      <c r="B18">
        <f>'Septic Tank - British '!Q108</f>
        <v>400</v>
      </c>
      <c r="C18">
        <f>'Septic Tank - British '!W108</f>
        <v>51514.86</v>
      </c>
      <c r="D18">
        <v>337.59545600000007</v>
      </c>
      <c r="E18">
        <f t="shared" si="2"/>
        <v>51852.455456000003</v>
      </c>
      <c r="G18">
        <f t="shared" si="3"/>
        <v>128.78715</v>
      </c>
      <c r="H18">
        <f t="shared" si="4"/>
        <v>0.84398864000000018</v>
      </c>
      <c r="I18">
        <f t="shared" si="5"/>
        <v>0.12963113863999998</v>
      </c>
      <c r="L18">
        <v>400</v>
      </c>
      <c r="M18">
        <f t="shared" si="17"/>
        <v>1394.6706000000001</v>
      </c>
      <c r="N18">
        <v>587.76972000000001</v>
      </c>
      <c r="O18" s="10">
        <v>2530.1415375000001</v>
      </c>
      <c r="P18">
        <f>SAF!U277</f>
        <v>6351.5089123542712</v>
      </c>
      <c r="Q18">
        <f>SAF!D309</f>
        <v>331.76</v>
      </c>
      <c r="R18">
        <f>SAF!G334</f>
        <v>83.164999999999992</v>
      </c>
      <c r="T18">
        <f t="shared" si="6"/>
        <v>11279.015769854273</v>
      </c>
      <c r="V18">
        <f t="shared" si="7"/>
        <v>2.8197539424635681E-2</v>
      </c>
      <c r="Y18">
        <v>400</v>
      </c>
      <c r="Z18">
        <v>990.46361812115538</v>
      </c>
      <c r="AA18">
        <v>40.70391487642857</v>
      </c>
      <c r="AB18" s="10">
        <v>2530.1415375000001</v>
      </c>
      <c r="AC18">
        <v>0</v>
      </c>
      <c r="AD18">
        <v>331.76</v>
      </c>
      <c r="AE18">
        <v>366.44857142857143</v>
      </c>
      <c r="AG18">
        <f t="shared" si="18"/>
        <v>4259.5176419261552</v>
      </c>
      <c r="AI18">
        <f t="shared" si="12"/>
        <v>1.0648794104815387E-2</v>
      </c>
      <c r="AL18">
        <v>400</v>
      </c>
      <c r="AM18">
        <v>652.23079537115541</v>
      </c>
      <c r="AN18">
        <v>40.70391487642857</v>
      </c>
      <c r="AO18" s="10">
        <v>2530.1415375000001</v>
      </c>
      <c r="AP18">
        <v>707.63611759850266</v>
      </c>
      <c r="AQ18">
        <v>331.76</v>
      </c>
      <c r="AR18">
        <v>870.13761904761895</v>
      </c>
      <c r="AT18">
        <f t="shared" si="19"/>
        <v>5132.6099843937063</v>
      </c>
      <c r="AV18">
        <f t="shared" si="8"/>
        <v>1.2831524960984267E-2</v>
      </c>
      <c r="AY18">
        <v>400</v>
      </c>
      <c r="AZ18">
        <v>0.12963113863999998</v>
      </c>
      <c r="BA18">
        <f t="shared" si="9"/>
        <v>2.8197539424635681E-2</v>
      </c>
      <c r="BB18">
        <f t="shared" si="10"/>
        <v>1.0648794104815387E-2</v>
      </c>
      <c r="BC18">
        <f t="shared" si="11"/>
        <v>1.2831524960984267E-2</v>
      </c>
      <c r="BO18">
        <v>200</v>
      </c>
      <c r="BP18">
        <v>3871.6499999999996</v>
      </c>
      <c r="BQ18">
        <v>21885.78</v>
      </c>
      <c r="BV18">
        <f t="shared" si="13"/>
        <v>19.358249999999998</v>
      </c>
      <c r="BW18">
        <f t="shared" si="14"/>
        <v>109.4289</v>
      </c>
    </row>
    <row r="19" spans="1:79" x14ac:dyDescent="0.2">
      <c r="B19">
        <f>'Septic Tank - British '!Q109</f>
        <v>500</v>
      </c>
      <c r="C19">
        <f>'Septic Tank - British '!W109</f>
        <v>64393.575000000004</v>
      </c>
      <c r="D19">
        <v>370.00409600000006</v>
      </c>
      <c r="E19">
        <f t="shared" si="2"/>
        <v>64763.579096000001</v>
      </c>
      <c r="G19">
        <f t="shared" si="3"/>
        <v>128.78715</v>
      </c>
      <c r="H19">
        <f t="shared" si="4"/>
        <v>0.74000819200000012</v>
      </c>
      <c r="I19">
        <f t="shared" si="5"/>
        <v>0.129527158192</v>
      </c>
      <c r="L19">
        <v>500</v>
      </c>
      <c r="M19">
        <f>$N$3*L19</f>
        <v>1743.33825</v>
      </c>
      <c r="N19">
        <v>604.64652000000001</v>
      </c>
      <c r="O19">
        <v>3162.6769218750001</v>
      </c>
      <c r="P19">
        <f>SAF!V277</f>
        <v>7939.3861404428399</v>
      </c>
      <c r="Q19">
        <f>SAF!D310</f>
        <v>331.76</v>
      </c>
      <c r="R19">
        <f>SAF!G335</f>
        <v>83.164999999999992</v>
      </c>
      <c r="T19">
        <f t="shared" si="6"/>
        <v>13864.972832317841</v>
      </c>
      <c r="V19">
        <f t="shared" si="7"/>
        <v>2.7729945664635682E-2</v>
      </c>
      <c r="Y19">
        <v>500</v>
      </c>
      <c r="Z19" s="10">
        <v>1238.0795226514442</v>
      </c>
      <c r="AA19">
        <v>49.209039447857151</v>
      </c>
      <c r="AB19">
        <v>3162.6769218750001</v>
      </c>
      <c r="AC19">
        <v>0</v>
      </c>
      <c r="AD19">
        <v>331.76</v>
      </c>
      <c r="AE19">
        <v>450.37714285714281</v>
      </c>
      <c r="AG19">
        <f t="shared" si="18"/>
        <v>5232.1026268314445</v>
      </c>
      <c r="AI19">
        <f t="shared" si="12"/>
        <v>1.046420525366289E-2</v>
      </c>
      <c r="AL19">
        <v>500</v>
      </c>
      <c r="AM19" s="10">
        <v>815.28849421394432</v>
      </c>
      <c r="AN19">
        <v>49.209039447857151</v>
      </c>
      <c r="AO19">
        <v>3162.6769218750001</v>
      </c>
      <c r="AP19">
        <v>707.63611759850266</v>
      </c>
      <c r="AQ19">
        <v>331.76</v>
      </c>
      <c r="AR19" s="10">
        <v>1053.4233333333334</v>
      </c>
      <c r="AT19">
        <f t="shared" si="19"/>
        <v>6119.9939064686378</v>
      </c>
      <c r="AV19">
        <f t="shared" si="8"/>
        <v>1.2239987812937276E-2</v>
      </c>
      <c r="AY19">
        <v>500</v>
      </c>
      <c r="AZ19">
        <v>0.129527158192</v>
      </c>
      <c r="BA19">
        <f t="shared" si="9"/>
        <v>2.7729945664635682E-2</v>
      </c>
      <c r="BB19">
        <f t="shared" si="10"/>
        <v>1.046420525366289E-2</v>
      </c>
      <c r="BC19">
        <f t="shared" si="11"/>
        <v>1.2239987812937276E-2</v>
      </c>
      <c r="BO19">
        <v>300</v>
      </c>
      <c r="BP19">
        <v>5807.4749999999995</v>
      </c>
      <c r="BQ19">
        <v>32828.670000000006</v>
      </c>
      <c r="BV19">
        <f t="shared" si="13"/>
        <v>19.358249999999998</v>
      </c>
      <c r="BW19">
        <f t="shared" si="14"/>
        <v>109.42890000000001</v>
      </c>
    </row>
    <row r="20" spans="1:79" x14ac:dyDescent="0.2">
      <c r="B20">
        <f>'Septic Tank - British '!Q110</f>
        <v>600</v>
      </c>
      <c r="C20">
        <f>'Septic Tank - British '!W110</f>
        <v>77272.290000000008</v>
      </c>
      <c r="D20">
        <v>402.41273600000011</v>
      </c>
      <c r="E20">
        <f t="shared" si="2"/>
        <v>77674.702736000007</v>
      </c>
      <c r="G20">
        <f t="shared" si="3"/>
        <v>128.78715000000003</v>
      </c>
      <c r="H20">
        <f t="shared" si="4"/>
        <v>0.67068789333333356</v>
      </c>
      <c r="I20">
        <f t="shared" si="5"/>
        <v>0.12945783789333337</v>
      </c>
      <c r="L20">
        <v>600</v>
      </c>
      <c r="M20">
        <f t="shared" si="17"/>
        <v>2092.0059000000001</v>
      </c>
      <c r="N20">
        <v>624.33611999999994</v>
      </c>
      <c r="O20">
        <v>3795.2123062499995</v>
      </c>
      <c r="P20">
        <f>SAF!W277</f>
        <v>9527.2633685314104</v>
      </c>
      <c r="Q20">
        <f>SAF!D311</f>
        <v>331.76</v>
      </c>
      <c r="R20">
        <f>SAF!G336</f>
        <v>83.164999999999992</v>
      </c>
      <c r="T20">
        <f t="shared" si="6"/>
        <v>16453.742694781409</v>
      </c>
      <c r="V20">
        <f t="shared" si="7"/>
        <v>2.7422904491302347E-2</v>
      </c>
      <c r="Y20">
        <v>600</v>
      </c>
      <c r="Z20">
        <v>1485.6954271817333</v>
      </c>
      <c r="AA20">
        <v>57.714164019285718</v>
      </c>
      <c r="AB20">
        <v>3795.2123062499995</v>
      </c>
      <c r="AC20">
        <v>0</v>
      </c>
      <c r="AD20">
        <v>331.76</v>
      </c>
      <c r="AE20" s="10">
        <v>536.23428571428576</v>
      </c>
      <c r="AG20">
        <f t="shared" si="18"/>
        <v>6206.6161831653044</v>
      </c>
      <c r="AI20">
        <f t="shared" si="12"/>
        <v>1.0344360305275508E-2</v>
      </c>
      <c r="AL20">
        <v>600</v>
      </c>
      <c r="AM20">
        <v>978.34619305673323</v>
      </c>
      <c r="AN20">
        <v>57.714164019285718</v>
      </c>
      <c r="AO20">
        <v>3795.2123062499995</v>
      </c>
      <c r="AP20" s="10">
        <v>1297.3328822639214</v>
      </c>
      <c r="AQ20">
        <v>331.76</v>
      </c>
      <c r="AR20">
        <v>1207.8269047619046</v>
      </c>
      <c r="AT20">
        <f t="shared" si="19"/>
        <v>7668.1924503518458</v>
      </c>
      <c r="AV20">
        <f t="shared" si="8"/>
        <v>1.278032075058641E-2</v>
      </c>
      <c r="AY20">
        <v>600</v>
      </c>
      <c r="AZ20">
        <v>0.12945783789333337</v>
      </c>
      <c r="BA20">
        <f t="shared" si="9"/>
        <v>2.7422904491302347E-2</v>
      </c>
      <c r="BB20">
        <f t="shared" si="10"/>
        <v>1.0344360305275508E-2</v>
      </c>
      <c r="BC20">
        <f t="shared" si="11"/>
        <v>1.278032075058641E-2</v>
      </c>
      <c r="BO20">
        <v>400</v>
      </c>
      <c r="BP20">
        <v>7743.2999999999993</v>
      </c>
      <c r="BQ20">
        <v>43771.56</v>
      </c>
      <c r="BV20">
        <f t="shared" si="13"/>
        <v>19.358249999999998</v>
      </c>
      <c r="BW20">
        <f t="shared" si="14"/>
        <v>109.4289</v>
      </c>
    </row>
    <row r="21" spans="1:79" x14ac:dyDescent="0.2">
      <c r="B21">
        <f>'Septic Tank - British '!Q111</f>
        <v>800</v>
      </c>
      <c r="C21">
        <f>'Septic Tank - British '!W111</f>
        <v>103029.72</v>
      </c>
      <c r="D21">
        <v>700.84502400000008</v>
      </c>
      <c r="E21">
        <f t="shared" si="2"/>
        <v>103730.565024</v>
      </c>
      <c r="G21">
        <f t="shared" si="3"/>
        <v>128.78715</v>
      </c>
      <c r="H21">
        <f t="shared" si="4"/>
        <v>0.87605628000000013</v>
      </c>
      <c r="I21">
        <f t="shared" si="5"/>
        <v>0.12966320628</v>
      </c>
      <c r="L21">
        <v>800</v>
      </c>
      <c r="M21">
        <f t="shared" si="17"/>
        <v>2789.3412000000003</v>
      </c>
      <c r="N21">
        <v>658.08972000000006</v>
      </c>
      <c r="O21">
        <v>5060.2830750000003</v>
      </c>
      <c r="P21">
        <f>SAF!X277</f>
        <v>12703.017824708542</v>
      </c>
      <c r="Q21">
        <f>SAF!D312</f>
        <v>331.76</v>
      </c>
      <c r="R21">
        <f>SAF!G337</f>
        <v>83.164999999999992</v>
      </c>
      <c r="T21">
        <f t="shared" si="6"/>
        <v>21625.65681970854</v>
      </c>
      <c r="V21">
        <f t="shared" si="7"/>
        <v>2.7032071024635673E-2</v>
      </c>
      <c r="Y21">
        <v>800</v>
      </c>
      <c r="Z21">
        <v>1980.9272362423108</v>
      </c>
      <c r="AA21">
        <v>74.724413162142866</v>
      </c>
      <c r="AB21">
        <v>5060.2830750000003</v>
      </c>
      <c r="AC21">
        <v>0</v>
      </c>
      <c r="AD21">
        <v>331.76</v>
      </c>
      <c r="AE21">
        <v>622.80571428571432</v>
      </c>
      <c r="AG21">
        <f t="shared" si="18"/>
        <v>8070.5004386901683</v>
      </c>
      <c r="AI21">
        <f t="shared" si="12"/>
        <v>1.0088125548362709E-2</v>
      </c>
      <c r="AL21">
        <v>800</v>
      </c>
      <c r="AM21">
        <v>1304.4615907423108</v>
      </c>
      <c r="AN21">
        <v>74.724413162142866</v>
      </c>
      <c r="AO21">
        <v>5060.2830750000003</v>
      </c>
      <c r="AP21">
        <v>2594.6657645278428</v>
      </c>
      <c r="AQ21">
        <v>331.76</v>
      </c>
      <c r="AR21">
        <v>1430.3804761904762</v>
      </c>
      <c r="AT21">
        <f t="shared" si="19"/>
        <v>10796.275319622773</v>
      </c>
      <c r="AV21">
        <f t="shared" si="8"/>
        <v>1.3495344149528467E-2</v>
      </c>
      <c r="AY21">
        <v>800</v>
      </c>
      <c r="AZ21">
        <v>0.12966320628</v>
      </c>
      <c r="BA21">
        <f t="shared" si="9"/>
        <v>2.7032071024635673E-2</v>
      </c>
      <c r="BB21">
        <f t="shared" si="10"/>
        <v>1.0088125548362709E-2</v>
      </c>
      <c r="BC21">
        <f t="shared" si="11"/>
        <v>1.3495344149528467E-2</v>
      </c>
      <c r="BO21">
        <v>500</v>
      </c>
      <c r="BP21">
        <v>9679.125</v>
      </c>
      <c r="BQ21">
        <v>54714.450000000004</v>
      </c>
      <c r="BV21">
        <f t="shared" si="13"/>
        <v>19.358250000000002</v>
      </c>
      <c r="BW21">
        <f t="shared" si="14"/>
        <v>109.42890000000001</v>
      </c>
    </row>
    <row r="22" spans="1:79" x14ac:dyDescent="0.2">
      <c r="B22">
        <f>'Septic Tank - British '!Q112</f>
        <v>1000</v>
      </c>
      <c r="C22">
        <f>'Septic Tank - British '!W112</f>
        <v>128787.15000000001</v>
      </c>
      <c r="D22">
        <v>1064.0945920000001</v>
      </c>
      <c r="E22">
        <f t="shared" si="2"/>
        <v>129851.244592</v>
      </c>
      <c r="G22">
        <f t="shared" si="3"/>
        <v>128.78715</v>
      </c>
      <c r="H22">
        <f t="shared" si="4"/>
        <v>1.0640945920000002</v>
      </c>
      <c r="I22">
        <f t="shared" si="5"/>
        <v>0.12985124459200001</v>
      </c>
      <c r="L22">
        <v>1000</v>
      </c>
      <c r="M22">
        <f t="shared" si="17"/>
        <v>3486.6765</v>
      </c>
      <c r="N22">
        <v>697.46892000000003</v>
      </c>
      <c r="O22">
        <v>6325.3538437500001</v>
      </c>
      <c r="P22">
        <f>SAF!Y277</f>
        <v>26472.81384909269</v>
      </c>
      <c r="Q22">
        <f>SAF!D313</f>
        <v>331.76</v>
      </c>
      <c r="R22">
        <f>SAF!G338</f>
        <v>83.164999999999992</v>
      </c>
      <c r="T22">
        <f>SUM(M22:R22)</f>
        <v>37397.238112842693</v>
      </c>
      <c r="V22">
        <f>(T22/L22)/1000</f>
        <v>3.7397238112842693E-2</v>
      </c>
      <c r="Y22">
        <v>1000</v>
      </c>
      <c r="Z22">
        <v>2476.1590453028884</v>
      </c>
      <c r="AA22">
        <v>91.734662305000001</v>
      </c>
      <c r="AB22">
        <v>6325.3538437500001</v>
      </c>
      <c r="AC22">
        <v>0</v>
      </c>
      <c r="AD22">
        <v>331.76</v>
      </c>
      <c r="AE22">
        <v>712.66285714285709</v>
      </c>
      <c r="AG22">
        <f t="shared" si="18"/>
        <v>9937.6704085007459</v>
      </c>
      <c r="AI22">
        <f t="shared" si="12"/>
        <v>9.9376704085007463E-3</v>
      </c>
      <c r="AL22">
        <v>1000</v>
      </c>
      <c r="AM22">
        <v>1630.5769884278886</v>
      </c>
      <c r="AN22">
        <v>91.734662305000001</v>
      </c>
      <c r="AO22">
        <v>6325.3538437500001</v>
      </c>
      <c r="AP22">
        <v>2594.6657645278428</v>
      </c>
      <c r="AQ22">
        <v>331.76</v>
      </c>
      <c r="AR22">
        <v>1609.5233333333333</v>
      </c>
      <c r="AT22">
        <f t="shared" si="19"/>
        <v>12583.614592344064</v>
      </c>
      <c r="AV22">
        <f t="shared" si="8"/>
        <v>1.2583614592344064E-2</v>
      </c>
      <c r="AY22">
        <v>1000</v>
      </c>
      <c r="AZ22">
        <v>0.12985124459200001</v>
      </c>
      <c r="BA22">
        <f t="shared" si="9"/>
        <v>3.7397238112842693E-2</v>
      </c>
      <c r="BB22">
        <f t="shared" si="10"/>
        <v>9.9376704085007463E-3</v>
      </c>
      <c r="BC22">
        <f t="shared" si="11"/>
        <v>1.2583614592344064E-2</v>
      </c>
      <c r="BO22">
        <v>600</v>
      </c>
      <c r="BP22">
        <v>11614.949999999999</v>
      </c>
      <c r="BQ22">
        <v>65657.340000000011</v>
      </c>
      <c r="BV22">
        <f t="shared" si="13"/>
        <v>19.358249999999998</v>
      </c>
      <c r="BW22">
        <f t="shared" si="14"/>
        <v>109.42890000000001</v>
      </c>
    </row>
    <row r="23" spans="1:79" x14ac:dyDescent="0.2">
      <c r="BO23">
        <v>800</v>
      </c>
      <c r="BP23">
        <v>15486.599999999999</v>
      </c>
      <c r="BQ23">
        <v>87543.12</v>
      </c>
      <c r="BV23">
        <f t="shared" si="13"/>
        <v>19.358249999999998</v>
      </c>
      <c r="BW23">
        <f t="shared" si="14"/>
        <v>109.4289</v>
      </c>
    </row>
    <row r="24" spans="1:79" x14ac:dyDescent="0.2">
      <c r="BO24">
        <v>1000</v>
      </c>
      <c r="BP24">
        <v>19358.25</v>
      </c>
      <c r="BQ24">
        <v>109428.90000000001</v>
      </c>
      <c r="BV24">
        <f>BP24/BO24</f>
        <v>19.358250000000002</v>
      </c>
      <c r="BW24">
        <f>BQ24/BO24</f>
        <v>109.42890000000001</v>
      </c>
    </row>
    <row r="26" spans="1:79" s="71" customFormat="1" x14ac:dyDescent="0.2">
      <c r="A26" s="70" t="s">
        <v>714</v>
      </c>
      <c r="J26" s="72"/>
      <c r="W26" s="72"/>
      <c r="AJ26" s="72"/>
      <c r="AW26" s="72"/>
    </row>
    <row r="28" spans="1:79" x14ac:dyDescent="0.2">
      <c r="B28" t="s">
        <v>89</v>
      </c>
      <c r="L28" t="s">
        <v>89</v>
      </c>
      <c r="M28" t="s">
        <v>40</v>
      </c>
      <c r="N28" t="s">
        <v>626</v>
      </c>
      <c r="O28" t="s">
        <v>631</v>
      </c>
      <c r="P28" t="s">
        <v>627</v>
      </c>
      <c r="Q28" t="s">
        <v>322</v>
      </c>
      <c r="R28" t="s">
        <v>321</v>
      </c>
      <c r="T28" t="s">
        <v>290</v>
      </c>
      <c r="V28" t="s">
        <v>632</v>
      </c>
      <c r="Y28" t="s">
        <v>89</v>
      </c>
      <c r="Z28" t="s">
        <v>40</v>
      </c>
      <c r="AA28" t="s">
        <v>626</v>
      </c>
      <c r="AB28" t="s">
        <v>631</v>
      </c>
      <c r="AC28" t="s">
        <v>627</v>
      </c>
      <c r="AD28" t="s">
        <v>322</v>
      </c>
      <c r="AE28" t="s">
        <v>321</v>
      </c>
      <c r="AG28" t="s">
        <v>290</v>
      </c>
      <c r="AI28" t="s">
        <v>632</v>
      </c>
      <c r="AL28" t="s">
        <v>89</v>
      </c>
      <c r="AM28" t="s">
        <v>40</v>
      </c>
      <c r="AN28" t="s">
        <v>626</v>
      </c>
      <c r="AO28" t="s">
        <v>631</v>
      </c>
      <c r="AP28" t="s">
        <v>627</v>
      </c>
      <c r="AQ28" t="s">
        <v>322</v>
      </c>
      <c r="AR28" t="s">
        <v>321</v>
      </c>
      <c r="AT28" t="s">
        <v>290</v>
      </c>
      <c r="AV28" t="s">
        <v>632</v>
      </c>
      <c r="AY28" t="s">
        <v>668</v>
      </c>
      <c r="AZ28" t="s">
        <v>669</v>
      </c>
      <c r="BB28" t="s">
        <v>670</v>
      </c>
      <c r="BC28" t="s">
        <v>671</v>
      </c>
      <c r="BE28" t="s">
        <v>672</v>
      </c>
      <c r="BF28" t="s">
        <v>673</v>
      </c>
      <c r="BH28" t="s">
        <v>674</v>
      </c>
      <c r="BI28" t="s">
        <v>675</v>
      </c>
      <c r="BL28" t="s">
        <v>668</v>
      </c>
      <c r="BM28" t="s">
        <v>670</v>
      </c>
      <c r="BN28" t="s">
        <v>672</v>
      </c>
      <c r="BO28" t="s">
        <v>674</v>
      </c>
      <c r="BP28" t="s">
        <v>669</v>
      </c>
      <c r="BQ28" t="s">
        <v>671</v>
      </c>
      <c r="BR28" t="s">
        <v>673</v>
      </c>
      <c r="BS28" t="s">
        <v>675</v>
      </c>
      <c r="BV28" t="s">
        <v>670</v>
      </c>
      <c r="BW28" t="s">
        <v>671</v>
      </c>
      <c r="BX28" t="s">
        <v>672</v>
      </c>
      <c r="BY28" t="s">
        <v>673</v>
      </c>
      <c r="BZ28" t="s">
        <v>674</v>
      </c>
      <c r="CA28" t="s">
        <v>675</v>
      </c>
    </row>
    <row r="29" spans="1:79" x14ac:dyDescent="0.2">
      <c r="B29">
        <v>5</v>
      </c>
      <c r="C29">
        <f t="shared" ref="C29:C43" si="20">C8</f>
        <v>643.93574999999998</v>
      </c>
      <c r="D29">
        <f>(D8*0.2)+(D8*0.8*(1-0.78))</f>
        <v>39.565180355999999</v>
      </c>
      <c r="E29">
        <f>C29+D29</f>
        <v>683.50093035600003</v>
      </c>
      <c r="G29">
        <f t="shared" ref="G29:G43" si="21">C29/B29</f>
        <v>128.78715</v>
      </c>
      <c r="H29">
        <f t="shared" ref="H29:H43" si="22">D29/B29</f>
        <v>7.9130360711999996</v>
      </c>
      <c r="I29">
        <f>(H29+G29)/1000</f>
        <v>0.13670018607119999</v>
      </c>
      <c r="L29">
        <v>5</v>
      </c>
      <c r="M29">
        <f>M8</f>
        <v>17.4333825</v>
      </c>
      <c r="N29">
        <f>(N8*0.2)+(N8*0.8*(1-0.78))</f>
        <v>25.349638827199996</v>
      </c>
      <c r="O29">
        <f>O8</f>
        <v>31.626769218749999</v>
      </c>
      <c r="P29">
        <v>67.419834310164603</v>
      </c>
      <c r="Q29">
        <v>7.5906445123077995E-2</v>
      </c>
      <c r="R29">
        <v>4.2688255370935897</v>
      </c>
      <c r="T29">
        <f>SUM(M29:R29)</f>
        <v>146.17435683833128</v>
      </c>
      <c r="V29">
        <f>(T29/L29)/1000</f>
        <v>2.9234871367666254E-2</v>
      </c>
      <c r="Y29">
        <v>5</v>
      </c>
      <c r="Z29">
        <f>Z8</f>
        <v>12.380795226514442</v>
      </c>
      <c r="AA29">
        <f>(AA8*0.2)+(AA8*0.8*(1-0.78))</f>
        <v>8.1146902473230647</v>
      </c>
      <c r="AB29">
        <f>AB8</f>
        <v>31.626769218749999</v>
      </c>
      <c r="AC29">
        <f>AC8</f>
        <v>0</v>
      </c>
      <c r="AD29">
        <v>7.5906445123077995E-2</v>
      </c>
      <c r="AE29">
        <v>3.219182679950733</v>
      </c>
      <c r="AG29">
        <f t="shared" ref="AG29" si="23">SUM(Z29:AE29)</f>
        <v>55.417343817661319</v>
      </c>
      <c r="AI29">
        <f>(AG29/Y29)/1000</f>
        <v>1.1083468763532263E-2</v>
      </c>
      <c r="AJ29" s="10">
        <f>AI29*1000</f>
        <v>11.083468763532263</v>
      </c>
      <c r="AL29">
        <v>5</v>
      </c>
      <c r="AM29">
        <f>AM8</f>
        <v>8.1528849421394458</v>
      </c>
      <c r="AN29">
        <f>(AN8*0.2)+(AN8*0.8*(1-0.78))</f>
        <v>8.1146902473230647</v>
      </c>
      <c r="AO29">
        <f>AO8</f>
        <v>31.626769218749999</v>
      </c>
      <c r="AP29">
        <v>24.255605124358013</v>
      </c>
      <c r="AQ29">
        <v>7.5906445123077995E-2</v>
      </c>
      <c r="AR29">
        <v>15.399182679950732</v>
      </c>
      <c r="AT29">
        <f t="shared" ref="AT29" si="24">SUM(AM29:AR29)</f>
        <v>87.625038657644339</v>
      </c>
      <c r="AV29">
        <f>(AT29/AL29)/1000</f>
        <v>1.7525007731528867E-2</v>
      </c>
      <c r="AY29">
        <v>0.14983245869999998</v>
      </c>
      <c r="AZ29">
        <v>0.13670018607119999</v>
      </c>
      <c r="BB29">
        <v>0.12139444733315663</v>
      </c>
      <c r="BC29">
        <v>2.9234871367666254E-2</v>
      </c>
      <c r="BE29">
        <v>8.5216408917264244E-2</v>
      </c>
      <c r="BF29">
        <v>1.1083468763532263E-2</v>
      </c>
      <c r="BH29">
        <v>9.5258854703040935E-2</v>
      </c>
      <c r="BI29">
        <v>1.7525007731528867E-2</v>
      </c>
      <c r="BL29">
        <v>0.14983245869999998</v>
      </c>
      <c r="BM29">
        <v>0.12139444733315663</v>
      </c>
      <c r="BN29">
        <v>8.5216408917264244E-2</v>
      </c>
      <c r="BO29">
        <v>9.5258854703040935E-2</v>
      </c>
      <c r="BP29">
        <v>0.13670018607119999</v>
      </c>
      <c r="BQ29">
        <v>2.9234871367666254E-2</v>
      </c>
      <c r="BR29">
        <v>1.1083468763532263E-2</v>
      </c>
      <c r="BS29">
        <v>1.7525007731528867E-2</v>
      </c>
      <c r="BV29">
        <v>0.12139444733315663</v>
      </c>
      <c r="BW29">
        <v>2.9234871367666254E-2</v>
      </c>
      <c r="BX29">
        <v>8.5216408917264244E-2</v>
      </c>
      <c r="BY29">
        <v>1.1083468763532263E-2</v>
      </c>
      <c r="BZ29">
        <v>9.5258854703040935E-2</v>
      </c>
      <c r="CA29">
        <v>1.7525007731528867E-2</v>
      </c>
    </row>
    <row r="30" spans="1:79" x14ac:dyDescent="0.2">
      <c r="B30">
        <v>10</v>
      </c>
      <c r="C30">
        <f t="shared" si="20"/>
        <v>1287.8715</v>
      </c>
      <c r="D30">
        <f t="shared" ref="D30:D43" si="25">(D9*0.2)+(D9*0.8*(1-0.78))</f>
        <v>40.510818851999993</v>
      </c>
      <c r="E30">
        <f t="shared" ref="E30:E43" si="26">C30+D30</f>
        <v>1328.382318852</v>
      </c>
      <c r="G30">
        <f t="shared" si="21"/>
        <v>128.78715</v>
      </c>
      <c r="H30">
        <f t="shared" si="22"/>
        <v>4.0510818851999995</v>
      </c>
      <c r="I30">
        <f t="shared" ref="I30:I43" si="27">(H30+G30)/1000</f>
        <v>0.1328382318852</v>
      </c>
      <c r="L30">
        <v>10</v>
      </c>
      <c r="M30">
        <f t="shared" ref="M30:M43" si="28">M9</f>
        <v>34.866765000000001</v>
      </c>
      <c r="N30">
        <f t="shared" ref="N30:N43" si="29">(N9*0.2)+(N9*0.8*(1-0.78))</f>
        <v>39.321925200799996</v>
      </c>
      <c r="O30">
        <f t="shared" ref="O30:O43" si="30">O9</f>
        <v>63.253538437499998</v>
      </c>
      <c r="P30">
        <v>168.54958577541151</v>
      </c>
      <c r="Q30">
        <v>7.5906445123077995E-2</v>
      </c>
      <c r="R30">
        <v>11.59382553709359</v>
      </c>
      <c r="T30">
        <f t="shared" ref="T30:T43" si="31">SUM(M30:R30)</f>
        <v>317.66154639592816</v>
      </c>
      <c r="V30">
        <f t="shared" ref="V30:V43" si="32">(T30/L30)/1000</f>
        <v>3.1766154639592814E-2</v>
      </c>
      <c r="Y30">
        <v>10</v>
      </c>
      <c r="Z30">
        <f t="shared" ref="Z30:Z43" si="33">Z9</f>
        <v>24.761590453028884</v>
      </c>
      <c r="AA30">
        <f t="shared" ref="AA30:AA43" si="34">(AA9*0.2)+(AA9*0.8*(1-0.78))</f>
        <v>2.7979372898842114</v>
      </c>
      <c r="AB30">
        <f t="shared" ref="AB30:AC30" si="35">AB9</f>
        <v>63.253538437499998</v>
      </c>
      <c r="AC30">
        <f t="shared" si="35"/>
        <v>0</v>
      </c>
      <c r="AD30">
        <v>7.5906445123077995E-2</v>
      </c>
      <c r="AE30">
        <v>6.4820398228078746</v>
      </c>
      <c r="AG30">
        <f t="shared" ref="AG30:AG43" si="36">SUM(Z30:AE30)</f>
        <v>97.371012448344047</v>
      </c>
      <c r="AI30">
        <f t="shared" ref="AI30:AI43" si="37">(AG30/Y30)/1000</f>
        <v>9.7371012448344042E-3</v>
      </c>
      <c r="AJ30" s="10">
        <f t="shared" ref="AJ30:AJ43" si="38">AI30*1000</f>
        <v>9.7371012448344043</v>
      </c>
      <c r="AL30">
        <v>10</v>
      </c>
      <c r="AM30">
        <f t="shared" ref="AM30:AM43" si="39">AM9</f>
        <v>16.305769884278892</v>
      </c>
      <c r="AN30">
        <f t="shared" ref="AN30:AN43" si="40">(AN9*0.2)+(AN9*0.8*(1-0.78))</f>
        <v>2.7979372898842114</v>
      </c>
      <c r="AO30">
        <f t="shared" ref="AO30:AO43" si="41">AO9</f>
        <v>63.253538437499998</v>
      </c>
      <c r="AP30">
        <v>48.511210248716026</v>
      </c>
      <c r="AQ30">
        <v>7.5906445123077995E-2</v>
      </c>
      <c r="AR30">
        <v>26.220611251379307</v>
      </c>
      <c r="AS30">
        <f>AM30/AL30</f>
        <v>1.6305769884278891</v>
      </c>
      <c r="AT30">
        <f t="shared" ref="AT30:AT43" si="42">SUM(AM30:AR30)</f>
        <v>157.16497355688151</v>
      </c>
      <c r="AV30">
        <f>(AT30/AL30)/1000</f>
        <v>1.5716497355688152E-2</v>
      </c>
      <c r="AY30">
        <v>0.13956130394999999</v>
      </c>
      <c r="AZ30">
        <v>0.1328382318852</v>
      </c>
      <c r="BB30">
        <v>8.556632236050829E-2</v>
      </c>
      <c r="BC30">
        <v>3.1766154639592814E-2</v>
      </c>
      <c r="BE30">
        <v>4.5921216575572243E-2</v>
      </c>
      <c r="BF30">
        <v>9.7371012448344042E-3</v>
      </c>
      <c r="BH30">
        <v>5.4944936170872746E-2</v>
      </c>
      <c r="BI30">
        <v>1.5716497355688152E-2</v>
      </c>
      <c r="BL30">
        <v>0.13956130394999999</v>
      </c>
      <c r="BM30">
        <v>8.556632236050829E-2</v>
      </c>
      <c r="BN30">
        <v>4.5921216575572243E-2</v>
      </c>
      <c r="BO30">
        <v>5.4944936170872746E-2</v>
      </c>
      <c r="BP30">
        <v>0.1328382318852</v>
      </c>
      <c r="BQ30">
        <v>3.1766154639592814E-2</v>
      </c>
      <c r="BR30">
        <v>9.7371012448344042E-3</v>
      </c>
      <c r="BS30">
        <v>1.5716497355688152E-2</v>
      </c>
      <c r="BV30">
        <v>8.556632236050829E-2</v>
      </c>
      <c r="BW30">
        <v>3.1766154639592814E-2</v>
      </c>
      <c r="BX30">
        <v>4.5921216575572243E-2</v>
      </c>
      <c r="BY30">
        <v>9.7371012448344042E-3</v>
      </c>
      <c r="BZ30">
        <v>5.4944936170872746E-2</v>
      </c>
      <c r="CA30">
        <v>1.5716497355688152E-2</v>
      </c>
    </row>
    <row r="31" spans="1:79" x14ac:dyDescent="0.2">
      <c r="B31">
        <v>20</v>
      </c>
      <c r="C31">
        <f t="shared" si="20"/>
        <v>2575.7429999999999</v>
      </c>
      <c r="D31">
        <f t="shared" si="25"/>
        <v>42.402095843999987</v>
      </c>
      <c r="E31">
        <f t="shared" si="26"/>
        <v>2618.145095844</v>
      </c>
      <c r="G31">
        <f t="shared" si="21"/>
        <v>128.78715</v>
      </c>
      <c r="H31">
        <f t="shared" si="22"/>
        <v>2.1201047921999994</v>
      </c>
      <c r="I31">
        <f t="shared" si="27"/>
        <v>0.1309072547922</v>
      </c>
      <c r="L31">
        <v>20</v>
      </c>
      <c r="M31">
        <f t="shared" si="28"/>
        <v>69.733530000000002</v>
      </c>
      <c r="N31">
        <f t="shared" si="29"/>
        <v>82.174234119999994</v>
      </c>
      <c r="O31">
        <f t="shared" si="30"/>
        <v>126.507076875</v>
      </c>
      <c r="P31">
        <v>352.77820278574501</v>
      </c>
      <c r="Q31">
        <v>7.5906445123077995E-2</v>
      </c>
      <c r="R31">
        <v>24.381325537093591</v>
      </c>
      <c r="T31">
        <f t="shared" si="31"/>
        <v>655.65027576296177</v>
      </c>
      <c r="V31">
        <f t="shared" si="32"/>
        <v>3.2782513788148088E-2</v>
      </c>
      <c r="Y31">
        <v>20</v>
      </c>
      <c r="Z31">
        <f t="shared" si="33"/>
        <v>49.523180906057767</v>
      </c>
      <c r="AA31">
        <f t="shared" si="34"/>
        <v>3.0984950009217087</v>
      </c>
      <c r="AB31">
        <f t="shared" ref="AB31:AC31" si="43">AB10</f>
        <v>126.507076875</v>
      </c>
      <c r="AC31">
        <f t="shared" si="43"/>
        <v>0</v>
      </c>
      <c r="AD31">
        <v>7.5906445123077995E-2</v>
      </c>
      <c r="AE31">
        <v>12.843468394236446</v>
      </c>
      <c r="AG31">
        <f t="shared" si="36"/>
        <v>192.04812762133901</v>
      </c>
      <c r="AI31">
        <f t="shared" si="37"/>
        <v>9.6024063810669514E-3</v>
      </c>
      <c r="AJ31" s="10">
        <f t="shared" si="38"/>
        <v>9.6024063810669507</v>
      </c>
      <c r="AL31">
        <v>20</v>
      </c>
      <c r="AM31">
        <f t="shared" si="39"/>
        <v>32.611539768557783</v>
      </c>
      <c r="AN31">
        <f t="shared" si="40"/>
        <v>3.0984950009217087</v>
      </c>
      <c r="AO31">
        <f t="shared" si="41"/>
        <v>126.507076875</v>
      </c>
      <c r="AP31">
        <v>299.15246320041541</v>
      </c>
      <c r="AQ31">
        <v>7.5906445123077995E-2</v>
      </c>
      <c r="AR31">
        <v>44.720611251379303</v>
      </c>
      <c r="AT31">
        <f t="shared" si="42"/>
        <v>506.16609254139723</v>
      </c>
      <c r="AV31">
        <f t="shared" ref="AV31:AV43" si="44">(AT31/AL31)/1000</f>
        <v>2.5308304627069862E-2</v>
      </c>
      <c r="AY31">
        <v>0.13442572657499999</v>
      </c>
      <c r="AZ31">
        <v>0.1309072547922</v>
      </c>
      <c r="BB31">
        <v>6.8158466568264506E-2</v>
      </c>
      <c r="BC31">
        <v>3.2782513788148088E-2</v>
      </c>
      <c r="BE31">
        <v>2.7719403941607067E-2</v>
      </c>
      <c r="BF31">
        <v>9.6024063810669514E-3</v>
      </c>
      <c r="BH31">
        <v>5.1839125986876372E-2</v>
      </c>
      <c r="BI31">
        <v>2.5308304627069862E-2</v>
      </c>
      <c r="BL31">
        <v>0.13442572657499999</v>
      </c>
      <c r="BM31">
        <v>6.8158466568264506E-2</v>
      </c>
      <c r="BN31">
        <v>2.7719403941607067E-2</v>
      </c>
      <c r="BO31">
        <v>5.1839125986876372E-2</v>
      </c>
      <c r="BP31">
        <v>0.1309072547922</v>
      </c>
      <c r="BQ31">
        <v>3.2782513788148088E-2</v>
      </c>
      <c r="BR31">
        <v>9.6024063810669514E-3</v>
      </c>
      <c r="BS31">
        <v>2.5308304627069862E-2</v>
      </c>
      <c r="BV31">
        <v>6.8158466568264506E-2</v>
      </c>
      <c r="BW31">
        <v>3.2782513788148088E-2</v>
      </c>
      <c r="BX31">
        <v>2.7719403941607067E-2</v>
      </c>
      <c r="BY31">
        <v>9.6024063810669514E-3</v>
      </c>
      <c r="BZ31">
        <v>5.1839125986876372E-2</v>
      </c>
      <c r="CA31">
        <v>2.5308304627069862E-2</v>
      </c>
    </row>
    <row r="32" spans="1:79" x14ac:dyDescent="0.2">
      <c r="B32">
        <v>30</v>
      </c>
      <c r="C32">
        <f t="shared" si="20"/>
        <v>3863.6145000000001</v>
      </c>
      <c r="D32">
        <f t="shared" si="25"/>
        <v>27.416298312000002</v>
      </c>
      <c r="E32">
        <f t="shared" si="26"/>
        <v>3891.0307983120001</v>
      </c>
      <c r="G32">
        <f t="shared" si="21"/>
        <v>128.78715</v>
      </c>
      <c r="H32">
        <f t="shared" si="22"/>
        <v>0.91387661040000012</v>
      </c>
      <c r="I32">
        <f t="shared" si="27"/>
        <v>0.12970102661040001</v>
      </c>
      <c r="L32">
        <v>30</v>
      </c>
      <c r="M32">
        <f t="shared" si="28"/>
        <v>104.600295</v>
      </c>
      <c r="N32">
        <f t="shared" si="29"/>
        <v>55.472438100204684</v>
      </c>
      <c r="O32">
        <f t="shared" si="30"/>
        <v>189.76061531250002</v>
      </c>
      <c r="P32">
        <v>548.76609322227</v>
      </c>
      <c r="Q32">
        <v>7.5906445123077995E-2</v>
      </c>
      <c r="R32">
        <v>14.88132553709359</v>
      </c>
      <c r="T32">
        <f t="shared" si="31"/>
        <v>913.55667361719145</v>
      </c>
      <c r="V32">
        <f t="shared" si="32"/>
        <v>3.0451889120573051E-2</v>
      </c>
      <c r="Y32">
        <v>30</v>
      </c>
      <c r="Z32">
        <f t="shared" si="33"/>
        <v>74.284771359086662</v>
      </c>
      <c r="AA32">
        <f t="shared" si="34"/>
        <v>3.750061149649508</v>
      </c>
      <c r="AB32">
        <f t="shared" ref="AB32:AC32" si="45">AB11</f>
        <v>189.76061531250002</v>
      </c>
      <c r="AC32">
        <f t="shared" si="45"/>
        <v>0</v>
      </c>
      <c r="AD32">
        <v>7.5906445123077995E-2</v>
      </c>
      <c r="AE32">
        <v>19.427754108522162</v>
      </c>
      <c r="AG32">
        <f t="shared" si="36"/>
        <v>287.29910837488137</v>
      </c>
      <c r="AI32">
        <f t="shared" si="37"/>
        <v>9.5766369458293796E-3</v>
      </c>
      <c r="AJ32" s="10">
        <f t="shared" si="38"/>
        <v>9.5766369458293799</v>
      </c>
      <c r="AL32">
        <v>30</v>
      </c>
      <c r="AM32">
        <f t="shared" si="39"/>
        <v>48.917309652836657</v>
      </c>
      <c r="AN32">
        <f t="shared" si="40"/>
        <v>3.750061149649508</v>
      </c>
      <c r="AO32">
        <f t="shared" si="41"/>
        <v>189.76061531250002</v>
      </c>
      <c r="AP32">
        <v>299.15246320041541</v>
      </c>
      <c r="AQ32">
        <v>7.5906445123077995E-2</v>
      </c>
      <c r="AR32">
        <v>63.549182679950732</v>
      </c>
      <c r="AT32">
        <f t="shared" si="42"/>
        <v>605.20553844047549</v>
      </c>
      <c r="AV32">
        <f t="shared" si="44"/>
        <v>2.0173517948015848E-2</v>
      </c>
      <c r="AY32">
        <v>0.1312176729</v>
      </c>
      <c r="AZ32">
        <v>0.12970102661040001</v>
      </c>
      <c r="BB32">
        <v>5.6048126393185856E-2</v>
      </c>
      <c r="BC32">
        <v>3.0451889120573051E-2</v>
      </c>
      <c r="BE32">
        <v>2.1690679404346033E-2</v>
      </c>
      <c r="BF32">
        <v>9.5766369458293796E-3</v>
      </c>
      <c r="BH32">
        <v>3.7896776272710091E-2</v>
      </c>
      <c r="BI32">
        <v>2.0173517948015848E-2</v>
      </c>
      <c r="BL32">
        <v>0.1312176729</v>
      </c>
      <c r="BM32">
        <v>5.6048126393185856E-2</v>
      </c>
      <c r="BN32">
        <v>2.1690679404346033E-2</v>
      </c>
      <c r="BO32">
        <v>3.7896776272710091E-2</v>
      </c>
      <c r="BP32">
        <v>0.12970102661040001</v>
      </c>
      <c r="BQ32">
        <v>3.0451889120573051E-2</v>
      </c>
      <c r="BR32">
        <v>9.5766369458293796E-3</v>
      </c>
      <c r="BS32">
        <v>2.0173517948015848E-2</v>
      </c>
      <c r="BV32">
        <v>5.6048126393185856E-2</v>
      </c>
      <c r="BW32">
        <v>3.0451889120573051E-2</v>
      </c>
      <c r="BX32">
        <v>2.1690679404346033E-2</v>
      </c>
      <c r="BY32">
        <v>9.5766369458293796E-3</v>
      </c>
      <c r="BZ32">
        <v>3.7896776272710091E-2</v>
      </c>
      <c r="CA32">
        <v>2.0173517948015848E-2</v>
      </c>
    </row>
    <row r="33" spans="1:79" x14ac:dyDescent="0.2">
      <c r="B33">
        <v>50</v>
      </c>
      <c r="C33">
        <f t="shared" si="20"/>
        <v>6439.3575000000001</v>
      </c>
      <c r="D33">
        <f t="shared" si="25"/>
        <v>28.986853319999994</v>
      </c>
      <c r="E33">
        <f t="shared" si="26"/>
        <v>6468.3443533199998</v>
      </c>
      <c r="G33">
        <f t="shared" si="21"/>
        <v>128.78715</v>
      </c>
      <c r="H33">
        <f t="shared" si="22"/>
        <v>0.57973706639999989</v>
      </c>
      <c r="I33">
        <f t="shared" si="27"/>
        <v>0.12936688706640001</v>
      </c>
      <c r="L33">
        <v>50</v>
      </c>
      <c r="M33">
        <f t="shared" si="28"/>
        <v>174.33382499999999</v>
      </c>
      <c r="N33">
        <f t="shared" si="29"/>
        <v>60.182099925741653</v>
      </c>
      <c r="O33">
        <f t="shared" si="30"/>
        <v>316.26769218750002</v>
      </c>
      <c r="P33">
        <v>862.34671792071015</v>
      </c>
      <c r="Q33">
        <v>7.5906445123077995E-2</v>
      </c>
      <c r="R33">
        <v>17.756325537093591</v>
      </c>
      <c r="T33">
        <f t="shared" si="31"/>
        <v>1430.9625670161684</v>
      </c>
      <c r="V33">
        <f t="shared" si="32"/>
        <v>2.8619251340323365E-2</v>
      </c>
      <c r="Y33">
        <v>50</v>
      </c>
      <c r="Z33">
        <f t="shared" si="33"/>
        <v>123.80795226514442</v>
      </c>
      <c r="AA33">
        <f t="shared" si="34"/>
        <v>4.1119280575371429</v>
      </c>
      <c r="AB33">
        <f t="shared" ref="AB33:AC33" si="46">AB12</f>
        <v>316.26769218750002</v>
      </c>
      <c r="AC33">
        <f t="shared" si="46"/>
        <v>0</v>
      </c>
      <c r="AD33">
        <v>7.5906445123077995E-2</v>
      </c>
      <c r="AE33">
        <v>32.513468394236448</v>
      </c>
      <c r="AG33">
        <f t="shared" si="36"/>
        <v>476.77694734954105</v>
      </c>
      <c r="AI33">
        <f t="shared" si="37"/>
        <v>9.5355389469908205E-3</v>
      </c>
      <c r="AJ33" s="10">
        <f t="shared" si="38"/>
        <v>9.5355389469908207</v>
      </c>
      <c r="AL33">
        <v>50</v>
      </c>
      <c r="AM33">
        <f t="shared" si="39"/>
        <v>81.528849421394426</v>
      </c>
      <c r="AN33">
        <f t="shared" si="40"/>
        <v>4.1119280575371429</v>
      </c>
      <c r="AO33">
        <f t="shared" si="41"/>
        <v>316.26769218750002</v>
      </c>
      <c r="AP33">
        <v>299.15246320041541</v>
      </c>
      <c r="AQ33">
        <v>7.5906445123077995E-2</v>
      </c>
      <c r="AR33">
        <v>97.920611251379299</v>
      </c>
      <c r="AT33">
        <f t="shared" si="42"/>
        <v>799.05745056334945</v>
      </c>
      <c r="AV33">
        <f t="shared" si="44"/>
        <v>1.5981149011266991E-2</v>
      </c>
      <c r="AY33">
        <v>0.13032900389999999</v>
      </c>
      <c r="AZ33">
        <v>0.12936688706640001</v>
      </c>
      <c r="BB33">
        <v>4.7483128202351378E-2</v>
      </c>
      <c r="BC33">
        <v>2.8619251340323365E-2</v>
      </c>
      <c r="BE33">
        <v>1.6815975323724315E-2</v>
      </c>
      <c r="BF33">
        <v>9.5355389469908205E-3</v>
      </c>
      <c r="BH33">
        <v>2.6627114907707042E-2</v>
      </c>
      <c r="BI33">
        <v>1.5981149011266991E-2</v>
      </c>
      <c r="BL33">
        <v>0.13032900389999999</v>
      </c>
      <c r="BM33">
        <v>4.7483128202351378E-2</v>
      </c>
      <c r="BN33">
        <v>1.6815975323724315E-2</v>
      </c>
      <c r="BO33">
        <v>2.6627114907707042E-2</v>
      </c>
      <c r="BP33">
        <v>0.12936688706640001</v>
      </c>
      <c r="BQ33">
        <v>2.8619251340323365E-2</v>
      </c>
      <c r="BR33">
        <v>9.5355389469908205E-3</v>
      </c>
      <c r="BS33">
        <v>1.5981149011266991E-2</v>
      </c>
      <c r="BV33">
        <v>4.7483128202351378E-2</v>
      </c>
      <c r="BW33">
        <v>2.8619251340323365E-2</v>
      </c>
      <c r="BX33">
        <v>1.6815975323724315E-2</v>
      </c>
      <c r="BY33">
        <v>9.5355389469908205E-3</v>
      </c>
      <c r="BZ33">
        <v>2.6627114907707042E-2</v>
      </c>
      <c r="CA33">
        <v>1.5981149011266991E-2</v>
      </c>
    </row>
    <row r="34" spans="1:79" x14ac:dyDescent="0.2">
      <c r="B34">
        <v>75</v>
      </c>
      <c r="C34">
        <f t="shared" si="20"/>
        <v>9659.036250000001</v>
      </c>
      <c r="D34">
        <f t="shared" si="25"/>
        <v>30.950047080000004</v>
      </c>
      <c r="E34">
        <f t="shared" si="26"/>
        <v>9689.9862970800004</v>
      </c>
      <c r="G34">
        <f t="shared" si="21"/>
        <v>128.78715000000003</v>
      </c>
      <c r="H34">
        <f t="shared" si="22"/>
        <v>0.41266729440000005</v>
      </c>
      <c r="I34">
        <f t="shared" si="27"/>
        <v>0.12919981729440003</v>
      </c>
      <c r="L34">
        <v>75</v>
      </c>
      <c r="M34">
        <f t="shared" si="28"/>
        <v>261.50073750000001</v>
      </c>
      <c r="N34">
        <f t="shared" si="29"/>
        <v>122.88912386856387</v>
      </c>
      <c r="O34">
        <f t="shared" si="30"/>
        <v>474.40153828124994</v>
      </c>
      <c r="P34">
        <v>1332.71765496837</v>
      </c>
      <c r="Q34">
        <v>7.5906445123077995E-2</v>
      </c>
      <c r="R34">
        <v>24.256325537093591</v>
      </c>
      <c r="T34">
        <f t="shared" si="31"/>
        <v>2215.8412866004005</v>
      </c>
      <c r="V34">
        <f t="shared" si="32"/>
        <v>2.9544550488005337E-2</v>
      </c>
      <c r="Y34">
        <v>75</v>
      </c>
      <c r="Z34">
        <f t="shared" si="33"/>
        <v>185.71192839771666</v>
      </c>
      <c r="AA34">
        <f t="shared" si="34"/>
        <v>3.8857612401073727</v>
      </c>
      <c r="AB34">
        <f t="shared" ref="AB34:AC34" si="47">AB13</f>
        <v>474.40153828124994</v>
      </c>
      <c r="AC34">
        <f t="shared" si="47"/>
        <v>0</v>
      </c>
      <c r="AD34">
        <v>7.5906445123077995E-2</v>
      </c>
      <c r="AE34">
        <v>48.434896965665018</v>
      </c>
      <c r="AG34">
        <f t="shared" si="36"/>
        <v>712.51003132986216</v>
      </c>
      <c r="AI34">
        <f t="shared" si="37"/>
        <v>9.5001337510648275E-3</v>
      </c>
      <c r="AJ34" s="10">
        <f t="shared" si="38"/>
        <v>9.500133751064828</v>
      </c>
      <c r="AL34">
        <v>75</v>
      </c>
      <c r="AM34">
        <f t="shared" si="39"/>
        <v>122.29327413209165</v>
      </c>
      <c r="AN34">
        <f t="shared" si="40"/>
        <v>3.8857612401073727</v>
      </c>
      <c r="AO34">
        <f t="shared" si="41"/>
        <v>474.40153828124994</v>
      </c>
      <c r="AP34">
        <v>299.15246320041541</v>
      </c>
      <c r="AQ34">
        <v>7.5906445123077995E-2</v>
      </c>
      <c r="AR34">
        <v>170.14918267995074</v>
      </c>
      <c r="AT34">
        <f t="shared" si="42"/>
        <v>1069.9581259789384</v>
      </c>
      <c r="AV34">
        <f t="shared" si="44"/>
        <v>1.4266108346385845E-2</v>
      </c>
      <c r="AY34">
        <v>0.12988466940000004</v>
      </c>
      <c r="AZ34">
        <v>0.12919981729440003</v>
      </c>
      <c r="BB34">
        <v>4.6857841882839604E-2</v>
      </c>
      <c r="BC34">
        <v>2.9544550488005337E-2</v>
      </c>
      <c r="BE34">
        <v>1.4348753459877361E-2</v>
      </c>
      <c r="BF34">
        <v>9.5001337510648275E-3</v>
      </c>
      <c r="BH34">
        <v>2.1358414401669416E-2</v>
      </c>
      <c r="BI34">
        <v>1.4266108346385845E-2</v>
      </c>
      <c r="BL34">
        <v>0.12988466940000004</v>
      </c>
      <c r="BM34">
        <v>4.6857841882839604E-2</v>
      </c>
      <c r="BN34">
        <v>1.4348753459877361E-2</v>
      </c>
      <c r="BO34">
        <v>2.1358414401669416E-2</v>
      </c>
      <c r="BP34">
        <v>0.12919981729440003</v>
      </c>
      <c r="BQ34">
        <v>2.9544550488005337E-2</v>
      </c>
      <c r="BR34">
        <v>9.5001337510648275E-3</v>
      </c>
      <c r="BS34">
        <v>1.4266108346385845E-2</v>
      </c>
      <c r="BV34">
        <v>4.6857841882839604E-2</v>
      </c>
      <c r="BW34">
        <v>2.9544550488005337E-2</v>
      </c>
      <c r="BX34">
        <v>1.4348753459877361E-2</v>
      </c>
      <c r="BY34">
        <v>9.5001337510648275E-3</v>
      </c>
      <c r="BZ34">
        <v>2.1358414401669416E-2</v>
      </c>
      <c r="CA34">
        <v>1.4266108346385845E-2</v>
      </c>
    </row>
    <row r="35" spans="1:79" x14ac:dyDescent="0.2">
      <c r="B35">
        <v>100</v>
      </c>
      <c r="C35">
        <f t="shared" si="20"/>
        <v>12878.715</v>
      </c>
      <c r="D35">
        <f t="shared" si="25"/>
        <v>32.91324084</v>
      </c>
      <c r="E35">
        <f t="shared" si="26"/>
        <v>12911.62824084</v>
      </c>
      <c r="G35">
        <f t="shared" si="21"/>
        <v>128.78715</v>
      </c>
      <c r="H35">
        <f t="shared" si="22"/>
        <v>0.32913240840000002</v>
      </c>
      <c r="I35">
        <f t="shared" si="27"/>
        <v>0.12911628240840001</v>
      </c>
      <c r="L35">
        <v>100</v>
      </c>
      <c r="M35">
        <f t="shared" si="28"/>
        <v>348.66764999999998</v>
      </c>
      <c r="N35">
        <f t="shared" si="29"/>
        <v>192.45156378141093</v>
      </c>
      <c r="O35">
        <f t="shared" si="30"/>
        <v>632.53538437500004</v>
      </c>
      <c r="P35">
        <v>2814.386106668499</v>
      </c>
      <c r="Q35">
        <v>7.5906445123077995E-2</v>
      </c>
      <c r="R35">
        <v>32.131325537093588</v>
      </c>
      <c r="T35">
        <f t="shared" si="31"/>
        <v>4020.2479368071267</v>
      </c>
      <c r="V35">
        <f t="shared" si="32"/>
        <v>4.0202479368071267E-2</v>
      </c>
      <c r="Y35">
        <v>100</v>
      </c>
      <c r="Z35">
        <f t="shared" si="33"/>
        <v>247.61590453028884</v>
      </c>
      <c r="AA35">
        <f t="shared" si="34"/>
        <v>4.1119280575371429</v>
      </c>
      <c r="AB35">
        <f t="shared" ref="AB35:AC35" si="48">AB14</f>
        <v>632.53538437500004</v>
      </c>
      <c r="AC35">
        <f t="shared" si="48"/>
        <v>0</v>
      </c>
      <c r="AD35">
        <v>7.5906445123077995E-2</v>
      </c>
      <c r="AE35">
        <v>64.434896965665018</v>
      </c>
      <c r="AG35">
        <f t="shared" si="36"/>
        <v>948.77402037361412</v>
      </c>
      <c r="AH35">
        <f>(AA35/AG35)*100</f>
        <v>0.43339382921951447</v>
      </c>
      <c r="AI35">
        <f t="shared" si="37"/>
        <v>9.4877402037361405E-3</v>
      </c>
      <c r="AJ35" s="10">
        <f t="shared" si="38"/>
        <v>9.4877402037361414</v>
      </c>
      <c r="AL35">
        <v>100</v>
      </c>
      <c r="AM35">
        <f t="shared" si="39"/>
        <v>163.05769884278885</v>
      </c>
      <c r="AN35">
        <f t="shared" si="40"/>
        <v>4.1119280575371429</v>
      </c>
      <c r="AO35">
        <f t="shared" si="41"/>
        <v>632.53538437500004</v>
      </c>
      <c r="AP35">
        <v>299.15246320041541</v>
      </c>
      <c r="AQ35">
        <v>7.5906445123077995E-2</v>
      </c>
      <c r="AR35">
        <v>217.43489696566502</v>
      </c>
      <c r="AS35">
        <f>(AL35/AR35)*100</f>
        <v>45.990777651386352</v>
      </c>
      <c r="AT35">
        <f t="shared" si="42"/>
        <v>1316.3682778865295</v>
      </c>
      <c r="AV35">
        <f t="shared" si="44"/>
        <v>1.3163682778865295E-2</v>
      </c>
      <c r="AY35">
        <v>0.12966250215</v>
      </c>
      <c r="AZ35">
        <v>0.12911628240840001</v>
      </c>
      <c r="BB35">
        <v>6.2255823527958498E-2</v>
      </c>
      <c r="BC35">
        <v>4.0202479368071267E-2</v>
      </c>
      <c r="BE35">
        <v>1.3127958392102887E-2</v>
      </c>
      <c r="BF35">
        <v>9.4877402037361405E-3</v>
      </c>
      <c r="BH35">
        <v>1.8486665727085322E-2</v>
      </c>
      <c r="BI35">
        <v>1.3163682778865295E-2</v>
      </c>
      <c r="BL35">
        <v>0.12966250215</v>
      </c>
      <c r="BM35">
        <v>6.2255823527958498E-2</v>
      </c>
      <c r="BN35">
        <v>1.3127958392102887E-2</v>
      </c>
      <c r="BO35">
        <v>1.8486665727085322E-2</v>
      </c>
      <c r="BP35">
        <v>0.12911628240840001</v>
      </c>
      <c r="BQ35">
        <v>4.0202479368071267E-2</v>
      </c>
      <c r="BR35">
        <v>9.4877402037361405E-3</v>
      </c>
      <c r="BS35">
        <v>1.3163682778865295E-2</v>
      </c>
      <c r="BV35">
        <v>6.2255823527958498E-2</v>
      </c>
      <c r="BW35">
        <v>4.0202479368071267E-2</v>
      </c>
      <c r="BX35">
        <v>1.3127958392102887E-2</v>
      </c>
      <c r="BY35">
        <v>9.4877402037361405E-3</v>
      </c>
      <c r="BZ35">
        <v>1.8486665727085322E-2</v>
      </c>
      <c r="CA35">
        <v>1.3163682778865295E-2</v>
      </c>
    </row>
    <row r="36" spans="1:79" x14ac:dyDescent="0.2">
      <c r="B36">
        <v>150</v>
      </c>
      <c r="C36">
        <f t="shared" si="20"/>
        <v>19318.072500000002</v>
      </c>
      <c r="D36">
        <f t="shared" si="25"/>
        <v>36.839628360000006</v>
      </c>
      <c r="E36">
        <f t="shared" si="26"/>
        <v>19354.912128360003</v>
      </c>
      <c r="G36">
        <f t="shared" si="21"/>
        <v>128.78715000000003</v>
      </c>
      <c r="H36">
        <f t="shared" si="22"/>
        <v>0.24559752240000005</v>
      </c>
      <c r="I36">
        <f t="shared" si="27"/>
        <v>0.12903274752240004</v>
      </c>
      <c r="L36">
        <v>150</v>
      </c>
      <c r="M36">
        <f t="shared" si="28"/>
        <v>523.00147500000003</v>
      </c>
      <c r="N36">
        <f t="shared" si="29"/>
        <v>317.61672783999995</v>
      </c>
      <c r="O36">
        <f t="shared" si="30"/>
        <v>948.80307656249988</v>
      </c>
      <c r="P36">
        <v>862.34671792071015</v>
      </c>
      <c r="Q36">
        <v>7.5906445123077995E-2</v>
      </c>
      <c r="R36">
        <v>32.131325537093588</v>
      </c>
      <c r="T36">
        <f t="shared" si="31"/>
        <v>2683.9752293054266</v>
      </c>
      <c r="V36">
        <f t="shared" si="32"/>
        <v>1.7893168195369513E-2</v>
      </c>
      <c r="Y36">
        <v>150</v>
      </c>
      <c r="Z36">
        <f t="shared" si="33"/>
        <v>371.42385679543332</v>
      </c>
      <c r="AA36">
        <f t="shared" si="34"/>
        <v>8.908818315822856</v>
      </c>
      <c r="AB36">
        <f t="shared" ref="AB36:AC36" si="49">AB15</f>
        <v>948.80307656249988</v>
      </c>
      <c r="AC36">
        <f t="shared" si="49"/>
        <v>0</v>
      </c>
      <c r="AD36">
        <v>7.5906445123077995E-2</v>
      </c>
      <c r="AE36">
        <v>127.97775410852215</v>
      </c>
      <c r="AG36">
        <f t="shared" si="36"/>
        <v>1457.1894122274014</v>
      </c>
      <c r="AI36">
        <f t="shared" si="37"/>
        <v>9.7145960815160082E-3</v>
      </c>
      <c r="AJ36" s="10">
        <f t="shared" si="38"/>
        <v>9.7145960815160084</v>
      </c>
      <c r="AL36">
        <v>150</v>
      </c>
      <c r="AM36">
        <f t="shared" si="39"/>
        <v>244.58654826418331</v>
      </c>
      <c r="AN36">
        <f t="shared" si="40"/>
        <v>8.908818315822856</v>
      </c>
      <c r="AO36">
        <f t="shared" si="41"/>
        <v>948.80307656249988</v>
      </c>
      <c r="AP36">
        <v>323.40806832477347</v>
      </c>
      <c r="AQ36">
        <v>7.5906445123077995E-2</v>
      </c>
      <c r="AR36">
        <v>290.00632553709357</v>
      </c>
      <c r="AT36">
        <f t="shared" si="42"/>
        <v>1815.7887434494962</v>
      </c>
      <c r="AV36">
        <f t="shared" si="44"/>
        <v>1.2105258289663308E-2</v>
      </c>
      <c r="AY36">
        <v>0.12944033490000004</v>
      </c>
      <c r="AZ36">
        <v>0.12903274752240004</v>
      </c>
      <c r="BB36">
        <v>2.7029340053962132E-2</v>
      </c>
      <c r="BC36">
        <v>1.7893168195369513E-2</v>
      </c>
      <c r="BE36">
        <v>1.2194480184419555E-2</v>
      </c>
      <c r="BF36">
        <v>9.7145960815160082E-3</v>
      </c>
      <c r="BH36">
        <v>1.5900160237506154E-2</v>
      </c>
      <c r="BI36">
        <v>1.2105258289663308E-2</v>
      </c>
      <c r="BL36">
        <v>0.12944033490000004</v>
      </c>
      <c r="BM36">
        <v>2.7029340053962132E-2</v>
      </c>
      <c r="BN36">
        <v>1.2194480184419555E-2</v>
      </c>
      <c r="BO36">
        <v>1.5900160237506154E-2</v>
      </c>
      <c r="BP36">
        <v>0.12903274752240004</v>
      </c>
      <c r="BQ36">
        <v>1.7893168195369513E-2</v>
      </c>
      <c r="BR36">
        <v>9.7145960815160082E-3</v>
      </c>
      <c r="BS36">
        <v>1.2105258289663308E-2</v>
      </c>
      <c r="BV36">
        <v>2.7029340053962132E-2</v>
      </c>
      <c r="BW36">
        <v>1.7893168195369513E-2</v>
      </c>
      <c r="BX36">
        <v>1.2194480184419555E-2</v>
      </c>
      <c r="BY36">
        <v>9.7145960815160082E-3</v>
      </c>
      <c r="BZ36">
        <v>1.5900160237506154E-2</v>
      </c>
      <c r="CA36">
        <v>1.2105258289663308E-2</v>
      </c>
    </row>
    <row r="37" spans="1:79" x14ac:dyDescent="0.2">
      <c r="B37">
        <v>200</v>
      </c>
      <c r="C37">
        <f t="shared" si="20"/>
        <v>25757.43</v>
      </c>
      <c r="D37">
        <f t="shared" si="25"/>
        <v>51.282297088000007</v>
      </c>
      <c r="E37">
        <f t="shared" si="26"/>
        <v>25808.712297088001</v>
      </c>
      <c r="G37">
        <f t="shared" si="21"/>
        <v>128.78715</v>
      </c>
      <c r="H37">
        <f t="shared" si="22"/>
        <v>0.25641148544000003</v>
      </c>
      <c r="I37">
        <f t="shared" si="27"/>
        <v>0.12904356148543999</v>
      </c>
      <c r="L37">
        <v>200</v>
      </c>
      <c r="M37">
        <f t="shared" si="28"/>
        <v>697.33530000000007</v>
      </c>
      <c r="N37">
        <f t="shared" si="29"/>
        <v>325.25825104</v>
      </c>
      <c r="O37">
        <f t="shared" si="30"/>
        <v>1265.0707687500001</v>
      </c>
      <c r="P37">
        <v>940.74187409531987</v>
      </c>
      <c r="Q37">
        <v>7.5906445123077995E-2</v>
      </c>
      <c r="R37">
        <v>32.131325537093588</v>
      </c>
      <c r="T37">
        <f t="shared" si="31"/>
        <v>3260.613425867537</v>
      </c>
      <c r="V37">
        <f t="shared" si="32"/>
        <v>1.6303067129337684E-2</v>
      </c>
      <c r="Y37">
        <v>200</v>
      </c>
      <c r="Z37">
        <f t="shared" si="33"/>
        <v>495.23180906057769</v>
      </c>
      <c r="AA37">
        <f t="shared" si="34"/>
        <v>10.507781735251431</v>
      </c>
      <c r="AB37">
        <f t="shared" ref="AB37:AC37" si="50">AB16</f>
        <v>1265.0707687500001</v>
      </c>
      <c r="AC37">
        <f t="shared" si="50"/>
        <v>0</v>
      </c>
      <c r="AD37">
        <v>7.5906445123077995E-2</v>
      </c>
      <c r="AE37">
        <v>170.86346839423646</v>
      </c>
      <c r="AG37">
        <f t="shared" si="36"/>
        <v>1941.7497343851887</v>
      </c>
      <c r="AI37">
        <f t="shared" si="37"/>
        <v>9.7087486719259434E-3</v>
      </c>
      <c r="AJ37" s="10">
        <f t="shared" si="38"/>
        <v>9.7087486719259442</v>
      </c>
      <c r="AL37">
        <v>200</v>
      </c>
      <c r="AM37">
        <f t="shared" si="39"/>
        <v>326.1153976855777</v>
      </c>
      <c r="AN37">
        <f t="shared" si="40"/>
        <v>10.507781735251431</v>
      </c>
      <c r="AO37">
        <f t="shared" si="41"/>
        <v>1265.0707687500001</v>
      </c>
      <c r="AP37">
        <v>323.40806832477347</v>
      </c>
      <c r="AQ37">
        <v>7.5906445123077995E-2</v>
      </c>
      <c r="AR37">
        <v>398.14918267995074</v>
      </c>
      <c r="AT37">
        <f t="shared" si="42"/>
        <v>2323.3271056206763</v>
      </c>
      <c r="AV37">
        <f t="shared" si="44"/>
        <v>1.1616635528103382E-2</v>
      </c>
      <c r="AY37">
        <v>0.12946909543999999</v>
      </c>
      <c r="AZ37">
        <v>0.12904356148543999</v>
      </c>
      <c r="BB37">
        <v>2.34279677702872E-2</v>
      </c>
      <c r="BC37">
        <v>1.6303067129337684E-2</v>
      </c>
      <c r="BE37">
        <v>1.158192974343503E-2</v>
      </c>
      <c r="BF37">
        <v>9.7087486719259434E-3</v>
      </c>
      <c r="BH37">
        <v>1.4476079983316946E-2</v>
      </c>
      <c r="BI37">
        <v>1.1616635528103382E-2</v>
      </c>
      <c r="BL37">
        <v>0.12946909543999999</v>
      </c>
      <c r="BM37">
        <v>2.34279677702872E-2</v>
      </c>
      <c r="BN37">
        <v>1.158192974343503E-2</v>
      </c>
      <c r="BO37">
        <v>1.4476079983316946E-2</v>
      </c>
      <c r="BP37">
        <v>0.12904356148543999</v>
      </c>
      <c r="BQ37">
        <v>1.6303067129337684E-2</v>
      </c>
      <c r="BR37">
        <v>9.7087486719259434E-3</v>
      </c>
      <c r="BS37">
        <v>1.1616635528103382E-2</v>
      </c>
      <c r="BV37">
        <v>2.34279677702872E-2</v>
      </c>
      <c r="BW37">
        <v>1.6303067129337684E-2</v>
      </c>
      <c r="BX37">
        <v>1.158192974343503E-2</v>
      </c>
      <c r="BY37">
        <v>9.7087486719259434E-3</v>
      </c>
      <c r="BZ37">
        <v>1.4476079983316946E-2</v>
      </c>
      <c r="CA37">
        <v>1.1616635528103382E-2</v>
      </c>
    </row>
    <row r="38" spans="1:79" x14ac:dyDescent="0.2">
      <c r="B38">
        <v>300</v>
      </c>
      <c r="C38">
        <f t="shared" si="20"/>
        <v>38636.145000000004</v>
      </c>
      <c r="D38">
        <f t="shared" si="25"/>
        <v>57.375121408000012</v>
      </c>
      <c r="E38">
        <f t="shared" si="26"/>
        <v>38693.520121408001</v>
      </c>
      <c r="G38">
        <f t="shared" si="21"/>
        <v>128.78715000000003</v>
      </c>
      <c r="H38">
        <f t="shared" si="22"/>
        <v>0.19125040469333338</v>
      </c>
      <c r="I38">
        <f t="shared" si="27"/>
        <v>0.12897840040469336</v>
      </c>
      <c r="L38">
        <v>300</v>
      </c>
      <c r="M38">
        <f t="shared" si="28"/>
        <v>1046.0029500000001</v>
      </c>
      <c r="N38">
        <f t="shared" si="29"/>
        <v>340.54129743999999</v>
      </c>
      <c r="O38">
        <f t="shared" si="30"/>
        <v>1897.6061531249998</v>
      </c>
      <c r="P38">
        <v>1019.1370302699302</v>
      </c>
      <c r="Q38">
        <v>7.5906445123077995E-2</v>
      </c>
      <c r="R38">
        <v>32.131325537093588</v>
      </c>
      <c r="T38">
        <f t="shared" si="31"/>
        <v>4335.4946628171465</v>
      </c>
      <c r="V38">
        <f t="shared" si="32"/>
        <v>1.4451648876057155E-2</v>
      </c>
      <c r="Y38">
        <v>300</v>
      </c>
      <c r="Z38">
        <f t="shared" si="33"/>
        <v>742.84771359086665</v>
      </c>
      <c r="AA38">
        <f t="shared" si="34"/>
        <v>12.106745154680002</v>
      </c>
      <c r="AB38">
        <f t="shared" ref="AB38:AC38" si="51">AB17</f>
        <v>1897.6061531249998</v>
      </c>
      <c r="AC38">
        <f t="shared" si="51"/>
        <v>0</v>
      </c>
      <c r="AD38">
        <v>7.5906445123077995E-2</v>
      </c>
      <c r="AE38">
        <v>255.87775410852217</v>
      </c>
      <c r="AG38">
        <f t="shared" si="36"/>
        <v>2908.5142724241919</v>
      </c>
      <c r="AI38">
        <f t="shared" si="37"/>
        <v>9.6950475747473071E-3</v>
      </c>
      <c r="AJ38" s="10">
        <f t="shared" si="38"/>
        <v>9.6950475747473064</v>
      </c>
      <c r="AL38">
        <v>300</v>
      </c>
      <c r="AM38">
        <f t="shared" si="39"/>
        <v>489.17309652836661</v>
      </c>
      <c r="AN38">
        <f t="shared" si="40"/>
        <v>12.106745154680002</v>
      </c>
      <c r="AO38">
        <f t="shared" si="41"/>
        <v>1897.6061531249998</v>
      </c>
      <c r="AP38">
        <v>485.1121024871602</v>
      </c>
      <c r="AQ38">
        <v>7.5906445123077995E-2</v>
      </c>
      <c r="AR38">
        <v>581.29203982280796</v>
      </c>
      <c r="AT38">
        <f t="shared" si="42"/>
        <v>3465.3660435631373</v>
      </c>
      <c r="AV38">
        <f t="shared" si="44"/>
        <v>1.1551220145210457E-2</v>
      </c>
      <c r="AY38">
        <v>0.12929579469333335</v>
      </c>
      <c r="AZ38">
        <v>0.12897840040469336</v>
      </c>
      <c r="BB38">
        <v>1.9425702724026866E-2</v>
      </c>
      <c r="BC38">
        <v>1.4451648876057155E-2</v>
      </c>
      <c r="BE38">
        <v>1.095268028530765E-2</v>
      </c>
      <c r="BF38">
        <v>9.6950475747473071E-3</v>
      </c>
      <c r="BH38">
        <v>1.3713610683919724E-2</v>
      </c>
      <c r="BI38">
        <v>1.1551220145210457E-2</v>
      </c>
      <c r="BL38">
        <v>0.12929579469333335</v>
      </c>
      <c r="BM38">
        <v>1.9425702724026866E-2</v>
      </c>
      <c r="BN38">
        <v>1.095268028530765E-2</v>
      </c>
      <c r="BO38">
        <v>1.3713610683919724E-2</v>
      </c>
      <c r="BP38">
        <v>0.12897840040469336</v>
      </c>
      <c r="BQ38">
        <v>1.4451648876057155E-2</v>
      </c>
      <c r="BR38">
        <v>9.6950475747473071E-3</v>
      </c>
      <c r="BS38">
        <v>1.1551220145210457E-2</v>
      </c>
      <c r="BV38">
        <v>1.9425702724026866E-2</v>
      </c>
      <c r="BW38">
        <v>1.4451648876057155E-2</v>
      </c>
      <c r="BX38">
        <v>1.095268028530765E-2</v>
      </c>
      <c r="BY38">
        <v>9.6950475747473071E-3</v>
      </c>
      <c r="BZ38">
        <v>1.3713610683919724E-2</v>
      </c>
      <c r="CA38">
        <v>1.1551220145210457E-2</v>
      </c>
    </row>
    <row r="39" spans="1:79" x14ac:dyDescent="0.2">
      <c r="B39">
        <v>400</v>
      </c>
      <c r="C39">
        <f t="shared" si="20"/>
        <v>51514.86</v>
      </c>
      <c r="D39">
        <f t="shared" si="25"/>
        <v>126.93589145600004</v>
      </c>
      <c r="E39">
        <f t="shared" si="26"/>
        <v>51641.795891456</v>
      </c>
      <c r="G39">
        <f t="shared" si="21"/>
        <v>128.78715</v>
      </c>
      <c r="H39">
        <f t="shared" si="22"/>
        <v>0.3173397286400001</v>
      </c>
      <c r="I39">
        <f t="shared" si="27"/>
        <v>0.12910448972864</v>
      </c>
      <c r="L39">
        <v>400</v>
      </c>
      <c r="M39">
        <f t="shared" si="28"/>
        <v>1394.6706000000001</v>
      </c>
      <c r="N39">
        <f t="shared" si="29"/>
        <v>221.00141471999999</v>
      </c>
      <c r="O39">
        <f t="shared" si="30"/>
        <v>2530.1415375000001</v>
      </c>
      <c r="P39">
        <v>1254.3224987937601</v>
      </c>
      <c r="Q39">
        <v>7.5906445123077995E-2</v>
      </c>
      <c r="R39">
        <v>32.131325537093588</v>
      </c>
      <c r="T39">
        <f t="shared" si="31"/>
        <v>5432.3432829959766</v>
      </c>
      <c r="V39">
        <f t="shared" si="32"/>
        <v>1.3580858207489941E-2</v>
      </c>
      <c r="Y39">
        <v>400</v>
      </c>
      <c r="Z39">
        <f t="shared" si="33"/>
        <v>990.46361812115538</v>
      </c>
      <c r="AA39">
        <f t="shared" si="34"/>
        <v>15.304671993537143</v>
      </c>
      <c r="AB39">
        <f t="shared" ref="AB39:AC39" si="52">AB18</f>
        <v>2530.1415375000001</v>
      </c>
      <c r="AC39">
        <f t="shared" si="52"/>
        <v>0</v>
      </c>
      <c r="AD39">
        <v>7.5906445123077995E-2</v>
      </c>
      <c r="AE39">
        <v>340.93489696566502</v>
      </c>
      <c r="AG39">
        <f t="shared" si="36"/>
        <v>3876.9206310254804</v>
      </c>
      <c r="AI39">
        <f t="shared" si="37"/>
        <v>9.6923015775637004E-3</v>
      </c>
      <c r="AJ39" s="10">
        <f t="shared" si="38"/>
        <v>9.6923015775637005</v>
      </c>
      <c r="AL39">
        <v>400</v>
      </c>
      <c r="AM39">
        <f t="shared" si="39"/>
        <v>652.23079537115541</v>
      </c>
      <c r="AN39">
        <f t="shared" si="40"/>
        <v>15.304671993537143</v>
      </c>
      <c r="AO39">
        <f t="shared" si="41"/>
        <v>2530.1415375000001</v>
      </c>
      <c r="AP39">
        <v>485.1121024871602</v>
      </c>
      <c r="AQ39">
        <v>7.5906445123077995E-2</v>
      </c>
      <c r="AR39">
        <v>795.7206112513793</v>
      </c>
      <c r="AT39">
        <f t="shared" si="42"/>
        <v>4478.5856250483557</v>
      </c>
      <c r="AV39">
        <f t="shared" si="44"/>
        <v>1.1196464062620889E-2</v>
      </c>
      <c r="AY39">
        <v>0.12963113863999998</v>
      </c>
      <c r="AZ39">
        <v>0.12910448972864</v>
      </c>
      <c r="BB39">
        <v>1.7129480294774801E-2</v>
      </c>
      <c r="BC39">
        <v>1.3580858207489941E-2</v>
      </c>
      <c r="BE39">
        <v>1.0648794104815387E-2</v>
      </c>
      <c r="BF39">
        <v>9.6923015775637004E-3</v>
      </c>
      <c r="BH39">
        <v>1.2831524960984267E-2</v>
      </c>
      <c r="BI39">
        <v>1.1196464062620889E-2</v>
      </c>
      <c r="BL39">
        <v>0.12963113863999998</v>
      </c>
      <c r="BM39">
        <v>1.7129480294774801E-2</v>
      </c>
      <c r="BN39">
        <v>1.0648794104815387E-2</v>
      </c>
      <c r="BO39">
        <v>1.2831524960984267E-2</v>
      </c>
      <c r="BP39">
        <v>0.12910448972864</v>
      </c>
      <c r="BQ39">
        <v>1.3580858207489941E-2</v>
      </c>
      <c r="BR39">
        <v>9.6923015775637004E-3</v>
      </c>
      <c r="BS39">
        <v>1.1196464062620889E-2</v>
      </c>
      <c r="BV39">
        <v>1.7129480294774801E-2</v>
      </c>
      <c r="BW39">
        <v>1.3580858207489941E-2</v>
      </c>
      <c r="BX39">
        <v>1.0648794104815387E-2</v>
      </c>
      <c r="BY39">
        <v>9.6923015775637004E-3</v>
      </c>
      <c r="BZ39">
        <v>1.2831524960984267E-2</v>
      </c>
      <c r="CA39">
        <v>1.1196464062620889E-2</v>
      </c>
    </row>
    <row r="40" spans="1:79" x14ac:dyDescent="0.2">
      <c r="B40">
        <v>500</v>
      </c>
      <c r="C40">
        <f t="shared" si="20"/>
        <v>64393.575000000004</v>
      </c>
      <c r="D40">
        <f t="shared" si="25"/>
        <v>139.12154009599999</v>
      </c>
      <c r="E40">
        <f t="shared" si="26"/>
        <v>64532.696540096003</v>
      </c>
      <c r="G40">
        <f t="shared" si="21"/>
        <v>128.78715</v>
      </c>
      <c r="H40">
        <f t="shared" si="22"/>
        <v>0.278243080192</v>
      </c>
      <c r="I40">
        <f t="shared" si="27"/>
        <v>0.12906539308019199</v>
      </c>
      <c r="L40">
        <v>500</v>
      </c>
      <c r="M40">
        <f t="shared" si="28"/>
        <v>1743.33825</v>
      </c>
      <c r="N40">
        <f t="shared" si="29"/>
        <v>227.34709151999999</v>
      </c>
      <c r="O40">
        <f t="shared" si="30"/>
        <v>3162.6769218750001</v>
      </c>
      <c r="P40">
        <v>1724.6934358414203</v>
      </c>
      <c r="Q40">
        <v>7.5906445123077995E-2</v>
      </c>
      <c r="R40">
        <v>32.131325537093588</v>
      </c>
      <c r="T40">
        <f t="shared" si="31"/>
        <v>6890.2629312186364</v>
      </c>
      <c r="V40">
        <f t="shared" si="32"/>
        <v>1.3780525862437273E-2</v>
      </c>
      <c r="Y40">
        <v>500</v>
      </c>
      <c r="Z40">
        <f t="shared" si="33"/>
        <v>1238.0795226514442</v>
      </c>
      <c r="AA40">
        <f t="shared" si="34"/>
        <v>18.502598832394291</v>
      </c>
      <c r="AB40">
        <f t="shared" ref="AB40:AC40" si="53">AB19</f>
        <v>3162.6769218750001</v>
      </c>
      <c r="AC40">
        <f t="shared" si="53"/>
        <v>0</v>
      </c>
      <c r="AD40">
        <v>7.5906445123077995E-2</v>
      </c>
      <c r="AE40">
        <v>424.86346839423641</v>
      </c>
      <c r="AG40">
        <f t="shared" si="36"/>
        <v>4844.1984181981979</v>
      </c>
      <c r="AI40">
        <f t="shared" si="37"/>
        <v>9.6883968363963967E-3</v>
      </c>
      <c r="AJ40" s="10">
        <f t="shared" si="38"/>
        <v>9.6883968363963966</v>
      </c>
      <c r="AL40">
        <v>500</v>
      </c>
      <c r="AM40">
        <f t="shared" si="39"/>
        <v>815.28849421394432</v>
      </c>
      <c r="AN40">
        <f t="shared" si="40"/>
        <v>18.502598832394291</v>
      </c>
      <c r="AO40">
        <f t="shared" si="41"/>
        <v>3162.6769218750001</v>
      </c>
      <c r="AP40">
        <v>485.1121024871602</v>
      </c>
      <c r="AQ40">
        <v>7.5906445123077995E-2</v>
      </c>
      <c r="AR40" s="10">
        <v>979.00632553709363</v>
      </c>
      <c r="AT40">
        <f t="shared" si="42"/>
        <v>5460.6623493907155</v>
      </c>
      <c r="AV40">
        <f t="shared" si="44"/>
        <v>1.0921324698781432E-2</v>
      </c>
      <c r="AY40">
        <v>0.129527158192</v>
      </c>
      <c r="AZ40">
        <v>0.12906539308019199</v>
      </c>
      <c r="BB40">
        <v>1.7142957849877283E-2</v>
      </c>
      <c r="BC40">
        <v>1.3780525862437273E-2</v>
      </c>
      <c r="BE40">
        <v>1.046420525366289E-2</v>
      </c>
      <c r="BF40">
        <v>9.6883968363963967E-3</v>
      </c>
      <c r="BH40">
        <v>1.2239987812937276E-2</v>
      </c>
      <c r="BI40">
        <v>1.0921324698781432E-2</v>
      </c>
      <c r="BL40">
        <v>0.129527158192</v>
      </c>
      <c r="BM40">
        <v>1.7142957849877283E-2</v>
      </c>
      <c r="BN40">
        <v>1.046420525366289E-2</v>
      </c>
      <c r="BO40">
        <v>1.2239987812937276E-2</v>
      </c>
      <c r="BP40">
        <v>0.12906539308019199</v>
      </c>
      <c r="BQ40">
        <v>1.3780525862437273E-2</v>
      </c>
      <c r="BR40">
        <v>9.6883968363963967E-3</v>
      </c>
      <c r="BS40">
        <v>1.0921324698781432E-2</v>
      </c>
      <c r="BV40">
        <v>1.7142957849877283E-2</v>
      </c>
      <c r="BW40">
        <v>1.3780525862437273E-2</v>
      </c>
      <c r="BX40">
        <v>1.046420525366289E-2</v>
      </c>
      <c r="BY40">
        <v>9.6883968363963967E-3</v>
      </c>
      <c r="BZ40">
        <v>1.2239987812937276E-2</v>
      </c>
      <c r="CA40">
        <v>1.0921324698781432E-2</v>
      </c>
    </row>
    <row r="41" spans="1:79" x14ac:dyDescent="0.2">
      <c r="B41">
        <v>600</v>
      </c>
      <c r="C41">
        <f t="shared" si="20"/>
        <v>77272.290000000008</v>
      </c>
      <c r="D41">
        <f t="shared" si="25"/>
        <v>151.30718873600006</v>
      </c>
      <c r="E41">
        <f t="shared" si="26"/>
        <v>77423.597188736007</v>
      </c>
      <c r="G41">
        <f t="shared" si="21"/>
        <v>128.78715000000003</v>
      </c>
      <c r="H41">
        <f t="shared" si="22"/>
        <v>0.25217864789333344</v>
      </c>
      <c r="I41">
        <f t="shared" si="27"/>
        <v>0.12903932864789336</v>
      </c>
      <c r="L41">
        <v>600</v>
      </c>
      <c r="M41">
        <f t="shared" si="28"/>
        <v>2092.0059000000001</v>
      </c>
      <c r="N41">
        <f t="shared" si="29"/>
        <v>234.75038111999999</v>
      </c>
      <c r="O41">
        <f t="shared" si="30"/>
        <v>3795.2123062499995</v>
      </c>
      <c r="P41" s="10">
        <v>2038.2740605398603</v>
      </c>
      <c r="Q41">
        <v>7.5906445123077995E-2</v>
      </c>
      <c r="R41">
        <v>32.131325537093588</v>
      </c>
      <c r="T41">
        <f t="shared" si="31"/>
        <v>8192.4498798920777</v>
      </c>
      <c r="V41">
        <f t="shared" si="32"/>
        <v>1.3654083133153463E-2</v>
      </c>
      <c r="Y41">
        <v>600</v>
      </c>
      <c r="Z41">
        <f t="shared" si="33"/>
        <v>1485.6954271817333</v>
      </c>
      <c r="AA41">
        <f t="shared" si="34"/>
        <v>21.700525671251434</v>
      </c>
      <c r="AB41">
        <f t="shared" ref="AB41:AC41" si="54">AB20</f>
        <v>3795.2123062499995</v>
      </c>
      <c r="AC41">
        <f t="shared" si="54"/>
        <v>0</v>
      </c>
      <c r="AD41">
        <v>7.5906445123077995E-2</v>
      </c>
      <c r="AE41">
        <v>510.7206112513793</v>
      </c>
      <c r="AG41">
        <f t="shared" si="36"/>
        <v>5813.4047767994871</v>
      </c>
      <c r="AI41">
        <f t="shared" si="37"/>
        <v>9.6890079613324784E-3</v>
      </c>
      <c r="AJ41" s="10">
        <f t="shared" si="38"/>
        <v>9.6890079613324787</v>
      </c>
      <c r="AL41">
        <v>600</v>
      </c>
      <c r="AM41">
        <f t="shared" si="39"/>
        <v>978.34619305673323</v>
      </c>
      <c r="AN41">
        <f t="shared" si="40"/>
        <v>21.700525671251434</v>
      </c>
      <c r="AO41">
        <f t="shared" si="41"/>
        <v>3795.2123062499995</v>
      </c>
      <c r="AP41" s="10">
        <v>889.37218789312715</v>
      </c>
      <c r="AQ41">
        <v>7.5906445123077995E-2</v>
      </c>
      <c r="AR41">
        <v>1162.4348969656648</v>
      </c>
      <c r="AT41">
        <f t="shared" si="42"/>
        <v>6847.1420162818995</v>
      </c>
      <c r="AV41">
        <f t="shared" si="44"/>
        <v>1.1411903360469832E-2</v>
      </c>
      <c r="AY41">
        <v>0.12945783789333337</v>
      </c>
      <c r="AZ41">
        <v>0.12903932864789336</v>
      </c>
      <c r="BB41">
        <v>1.6755738124026871E-2</v>
      </c>
      <c r="BC41">
        <v>1.3654083133153463E-2</v>
      </c>
      <c r="BE41">
        <v>1.0344360305275508E-2</v>
      </c>
      <c r="BF41">
        <v>9.6890079613324784E-3</v>
      </c>
      <c r="BH41">
        <v>1.278032075058641E-2</v>
      </c>
      <c r="BI41">
        <v>1.1411903360469832E-2</v>
      </c>
      <c r="BL41">
        <v>0.12945783789333337</v>
      </c>
      <c r="BM41">
        <v>1.6755738124026871E-2</v>
      </c>
      <c r="BN41">
        <v>1.0344360305275508E-2</v>
      </c>
      <c r="BO41">
        <v>1.278032075058641E-2</v>
      </c>
      <c r="BP41">
        <v>0.12903932864789336</v>
      </c>
      <c r="BQ41">
        <v>1.3654083133153463E-2</v>
      </c>
      <c r="BR41">
        <v>9.6890079613324784E-3</v>
      </c>
      <c r="BS41">
        <v>1.1411903360469832E-2</v>
      </c>
      <c r="BV41">
        <v>1.6755738124026871E-2</v>
      </c>
      <c r="BW41">
        <v>1.3654083133153463E-2</v>
      </c>
      <c r="BX41">
        <v>1.0344360305275508E-2</v>
      </c>
      <c r="BY41">
        <v>9.6890079613324784E-3</v>
      </c>
      <c r="BZ41">
        <v>1.278032075058641E-2</v>
      </c>
      <c r="CA41">
        <v>1.1411903360469832E-2</v>
      </c>
    </row>
    <row r="42" spans="1:79" x14ac:dyDescent="0.2">
      <c r="B42">
        <v>800</v>
      </c>
      <c r="C42">
        <f t="shared" si="20"/>
        <v>103029.72</v>
      </c>
      <c r="D42">
        <f t="shared" si="25"/>
        <v>263.517729024</v>
      </c>
      <c r="E42">
        <f t="shared" si="26"/>
        <v>103293.237729024</v>
      </c>
      <c r="G42">
        <f t="shared" si="21"/>
        <v>128.78715</v>
      </c>
      <c r="H42">
        <f t="shared" si="22"/>
        <v>0.32939716128000002</v>
      </c>
      <c r="I42">
        <f t="shared" si="27"/>
        <v>0.12911654716128002</v>
      </c>
      <c r="L42">
        <v>800</v>
      </c>
      <c r="M42">
        <f t="shared" si="28"/>
        <v>2789.3412000000003</v>
      </c>
      <c r="N42">
        <f t="shared" si="29"/>
        <v>247.44173472000003</v>
      </c>
      <c r="O42">
        <f t="shared" si="30"/>
        <v>5060.2830750000003</v>
      </c>
      <c r="P42">
        <v>2508.6449975875203</v>
      </c>
      <c r="Q42">
        <v>7.5906445123077995E-2</v>
      </c>
      <c r="R42">
        <v>32.131325537093588</v>
      </c>
      <c r="T42">
        <f t="shared" si="31"/>
        <v>10637.918239289736</v>
      </c>
      <c r="V42">
        <f t="shared" si="32"/>
        <v>1.329739779911217E-2</v>
      </c>
      <c r="Y42">
        <v>800</v>
      </c>
      <c r="Z42">
        <f t="shared" si="33"/>
        <v>1980.9272362423108</v>
      </c>
      <c r="AA42">
        <f t="shared" si="34"/>
        <v>28.096379348965716</v>
      </c>
      <c r="AB42">
        <f t="shared" ref="AB42:AC42" si="55">AB21</f>
        <v>5060.2830750000003</v>
      </c>
      <c r="AC42">
        <f t="shared" si="55"/>
        <v>0</v>
      </c>
      <c r="AD42">
        <v>7.5906445123077995E-2</v>
      </c>
      <c r="AE42">
        <v>597.29203982280796</v>
      </c>
      <c r="AG42">
        <f t="shared" si="36"/>
        <v>7666.6746368592076</v>
      </c>
      <c r="AI42">
        <f t="shared" si="37"/>
        <v>9.5833432960740084E-3</v>
      </c>
      <c r="AJ42" s="10">
        <f t="shared" si="38"/>
        <v>9.583343296074009</v>
      </c>
      <c r="AL42">
        <v>800</v>
      </c>
      <c r="AM42">
        <f t="shared" si="39"/>
        <v>1304.4615907423108</v>
      </c>
      <c r="AN42">
        <f t="shared" si="40"/>
        <v>28.096379348965716</v>
      </c>
      <c r="AO42">
        <f t="shared" si="41"/>
        <v>5060.2830750000003</v>
      </c>
      <c r="AP42">
        <v>1778.7443757862543</v>
      </c>
      <c r="AQ42">
        <v>7.5906445123077995E-2</v>
      </c>
      <c r="AR42">
        <v>1380.8634683942364</v>
      </c>
      <c r="AT42">
        <f t="shared" si="42"/>
        <v>9552.5247957168904</v>
      </c>
      <c r="AV42">
        <f t="shared" si="44"/>
        <v>1.1940655994646113E-2</v>
      </c>
      <c r="AY42">
        <v>0.12966320628</v>
      </c>
      <c r="AZ42">
        <v>0.12911654716128002</v>
      </c>
      <c r="BB42">
        <v>1.59640118947748E-2</v>
      </c>
      <c r="BC42">
        <v>1.329739779911217E-2</v>
      </c>
      <c r="BE42">
        <v>1.0088125548362709E-2</v>
      </c>
      <c r="BF42">
        <v>9.5833432960740084E-3</v>
      </c>
      <c r="BH42">
        <v>1.3495344149528467E-2</v>
      </c>
      <c r="BI42">
        <v>1.1940655994646113E-2</v>
      </c>
      <c r="BL42">
        <v>0.12966320628</v>
      </c>
      <c r="BM42">
        <v>1.59640118947748E-2</v>
      </c>
      <c r="BN42">
        <v>1.0088125548362709E-2</v>
      </c>
      <c r="BO42">
        <v>1.3495344149528467E-2</v>
      </c>
      <c r="BP42">
        <v>0.12911654716128002</v>
      </c>
      <c r="BQ42">
        <v>1.329739779911217E-2</v>
      </c>
      <c r="BR42">
        <v>9.5833432960740084E-3</v>
      </c>
      <c r="BS42">
        <v>1.1940655994646113E-2</v>
      </c>
      <c r="BV42">
        <v>1.59640118947748E-2</v>
      </c>
      <c r="BW42">
        <v>1.329739779911217E-2</v>
      </c>
      <c r="BX42">
        <v>1.0088125548362709E-2</v>
      </c>
      <c r="BY42">
        <v>9.5833432960740084E-3</v>
      </c>
      <c r="BZ42">
        <v>1.3495344149528467E-2</v>
      </c>
      <c r="CA42">
        <v>1.1940655994646113E-2</v>
      </c>
    </row>
    <row r="43" spans="1:79" x14ac:dyDescent="0.2">
      <c r="B43">
        <v>1000</v>
      </c>
      <c r="C43">
        <f t="shared" si="20"/>
        <v>128787.15000000001</v>
      </c>
      <c r="D43">
        <f t="shared" si="25"/>
        <v>400.09956659200003</v>
      </c>
      <c r="E43">
        <f t="shared" si="26"/>
        <v>129187.24956659201</v>
      </c>
      <c r="G43">
        <f t="shared" si="21"/>
        <v>128.78715</v>
      </c>
      <c r="H43">
        <f t="shared" si="22"/>
        <v>0.40009956659200002</v>
      </c>
      <c r="I43">
        <f t="shared" si="27"/>
        <v>0.129187249566592</v>
      </c>
      <c r="L43">
        <v>1000</v>
      </c>
      <c r="M43">
        <f t="shared" si="28"/>
        <v>3486.6765</v>
      </c>
      <c r="N43">
        <f t="shared" si="29"/>
        <v>262.24831391999999</v>
      </c>
      <c r="O43">
        <f t="shared" si="30"/>
        <v>6325.3538437500001</v>
      </c>
      <c r="P43">
        <v>3449.3868716828406</v>
      </c>
      <c r="Q43">
        <v>7.5906445123077995E-2</v>
      </c>
      <c r="R43">
        <v>32.131325537093588</v>
      </c>
      <c r="T43">
        <f t="shared" si="31"/>
        <v>13555.872761335057</v>
      </c>
      <c r="V43">
        <f t="shared" si="32"/>
        <v>1.3555872761335056E-2</v>
      </c>
      <c r="Y43">
        <v>1000</v>
      </c>
      <c r="Z43">
        <f t="shared" si="33"/>
        <v>2476.1590453028884</v>
      </c>
      <c r="AA43">
        <f t="shared" si="34"/>
        <v>34.492233026679997</v>
      </c>
      <c r="AB43">
        <f t="shared" ref="AB43:AC43" si="56">AB22</f>
        <v>6325.3538437500001</v>
      </c>
      <c r="AC43">
        <f t="shared" si="56"/>
        <v>0</v>
      </c>
      <c r="AD43">
        <v>7.5906445123077995E-2</v>
      </c>
      <c r="AE43">
        <v>687.14918267995074</v>
      </c>
      <c r="AG43">
        <f t="shared" si="36"/>
        <v>9523.2302112046418</v>
      </c>
      <c r="AI43">
        <f t="shared" si="37"/>
        <v>9.5232302112046412E-3</v>
      </c>
      <c r="AJ43" s="10">
        <f t="shared" si="38"/>
        <v>9.5232302112046412</v>
      </c>
      <c r="AL43">
        <v>1000</v>
      </c>
      <c r="AM43">
        <f t="shared" si="39"/>
        <v>1630.5769884278886</v>
      </c>
      <c r="AN43">
        <f t="shared" si="40"/>
        <v>34.492233026679997</v>
      </c>
      <c r="AO43">
        <f t="shared" si="41"/>
        <v>6325.3538437500001</v>
      </c>
      <c r="AP43">
        <v>1778.7443757862543</v>
      </c>
      <c r="AQ43">
        <v>7.5906445123077995E-2</v>
      </c>
      <c r="AR43">
        <v>1560.0063255370935</v>
      </c>
      <c r="AT43">
        <f t="shared" si="42"/>
        <v>11329.249672973039</v>
      </c>
      <c r="AV43">
        <f t="shared" si="44"/>
        <v>1.132924967297304E-2</v>
      </c>
      <c r="AY43">
        <v>0.12985124459200001</v>
      </c>
      <c r="AZ43">
        <v>0.129187249566592</v>
      </c>
      <c r="BB43">
        <v>1.6216208729877279E-2</v>
      </c>
      <c r="BC43">
        <v>1.3555872761335056E-2</v>
      </c>
      <c r="BE43">
        <v>9.9376704085007463E-3</v>
      </c>
      <c r="BF43">
        <v>9.5232302112046412E-3</v>
      </c>
      <c r="BH43">
        <v>1.2583614592344064E-2</v>
      </c>
      <c r="BI43">
        <v>1.132924967297304E-2</v>
      </c>
      <c r="BL43">
        <v>0.12985124459200001</v>
      </c>
      <c r="BM43">
        <v>1.6216208729877279E-2</v>
      </c>
      <c r="BN43">
        <v>9.9376704085007463E-3</v>
      </c>
      <c r="BO43">
        <v>1.2583614592344064E-2</v>
      </c>
      <c r="BP43">
        <v>0.129187249566592</v>
      </c>
      <c r="BQ43">
        <v>1.3555872761335056E-2</v>
      </c>
      <c r="BR43">
        <v>9.5232302112046412E-3</v>
      </c>
      <c r="BS43">
        <v>1.132924967297304E-2</v>
      </c>
      <c r="BV43">
        <v>1.6216208729877279E-2</v>
      </c>
      <c r="BW43">
        <v>1.3555872761335056E-2</v>
      </c>
      <c r="BX43">
        <v>9.9376704085007463E-3</v>
      </c>
      <c r="BY43">
        <v>9.5232302112046412E-3</v>
      </c>
      <c r="BZ43">
        <v>1.2583614592344064E-2</v>
      </c>
      <c r="CA43">
        <v>1.132924967297304E-2</v>
      </c>
    </row>
    <row r="45" spans="1:79" s="71" customFormat="1" x14ac:dyDescent="0.2">
      <c r="A45" s="70" t="s">
        <v>692</v>
      </c>
      <c r="J45" s="72"/>
      <c r="W45" s="72"/>
      <c r="AJ45" s="72"/>
      <c r="AW45" s="72"/>
    </row>
    <row r="47" spans="1:79" x14ac:dyDescent="0.2">
      <c r="A47">
        <v>19.358250000000002</v>
      </c>
      <c r="S47" t="s">
        <v>708</v>
      </c>
      <c r="AN47">
        <f>AN29/AN8</f>
        <v>0.376</v>
      </c>
      <c r="AP47">
        <f>1/AN47</f>
        <v>2.6595744680851063</v>
      </c>
      <c r="BW47">
        <f>(BV29-BW29)/BV29</f>
        <v>0.75917455855757832</v>
      </c>
      <c r="BY47">
        <f>(BX29-BY29)/BX29</f>
        <v>0.86993738759523309</v>
      </c>
      <c r="CA47">
        <f>(BZ29-CA29)/BZ29</f>
        <v>0.81602752010654367</v>
      </c>
    </row>
    <row r="48" spans="1:79" x14ac:dyDescent="0.2">
      <c r="B48" t="str">
        <f>B7</f>
        <v>PE</v>
      </c>
      <c r="C48" t="str">
        <f>C7</f>
        <v>Process</v>
      </c>
      <c r="D48" t="str">
        <f>D7</f>
        <v>Tankering</v>
      </c>
      <c r="E48" t="str">
        <f>E7</f>
        <v>Overall</v>
      </c>
      <c r="I48" t="str">
        <f>I7</f>
        <v>tCo2eq PE-1 yr-1</v>
      </c>
      <c r="L48" t="str">
        <f t="shared" ref="L48:L63" si="57">L7</f>
        <v>PE</v>
      </c>
      <c r="M48" t="s">
        <v>649</v>
      </c>
      <c r="N48" t="s">
        <v>224</v>
      </c>
      <c r="O48" t="s">
        <v>405</v>
      </c>
      <c r="P48" t="s">
        <v>406</v>
      </c>
      <c r="R48" t="s">
        <v>627</v>
      </c>
      <c r="S48" s="22">
        <v>89.430933350000004</v>
      </c>
      <c r="AN48">
        <f t="shared" ref="AN48:AN52" si="58">AN30/AN9</f>
        <v>0.376</v>
      </c>
    </row>
    <row r="49" spans="2:49" x14ac:dyDescent="0.2">
      <c r="B49">
        <f t="shared" ref="B49:B63" si="59">B8</f>
        <v>5</v>
      </c>
      <c r="C49">
        <f>$A$47*B49</f>
        <v>96.791250000000005</v>
      </c>
      <c r="D49">
        <f t="shared" ref="D49:E63" si="60">D8</f>
        <v>105.22654350000001</v>
      </c>
      <c r="E49">
        <f t="shared" si="60"/>
        <v>749.16229350000003</v>
      </c>
      <c r="G49">
        <f>C49/B49</f>
        <v>19.358250000000002</v>
      </c>
      <c r="H49">
        <f t="shared" ref="H49:H63" si="61">D49/B49</f>
        <v>21.0453087</v>
      </c>
      <c r="I49">
        <f>(H49+G49)/1000</f>
        <v>4.0403558700000002E-2</v>
      </c>
      <c r="L49">
        <f t="shared" si="57"/>
        <v>5</v>
      </c>
      <c r="M49">
        <v>4.0403558700000002E-2</v>
      </c>
      <c r="N49">
        <v>0.12139444733315663</v>
      </c>
      <c r="O49">
        <v>8.5216408917264244E-2</v>
      </c>
      <c r="P49">
        <v>9.5258854703040935E-2</v>
      </c>
      <c r="S49" t="s">
        <v>710</v>
      </c>
      <c r="AN49">
        <f t="shared" si="58"/>
        <v>0.376</v>
      </c>
    </row>
    <row r="50" spans="2:49" x14ac:dyDescent="0.2">
      <c r="B50">
        <f t="shared" si="59"/>
        <v>10</v>
      </c>
      <c r="C50">
        <f t="shared" ref="C50:C63" si="62">$A$47*B50</f>
        <v>193.58250000000001</v>
      </c>
      <c r="D50">
        <f t="shared" si="60"/>
        <v>107.74153949999999</v>
      </c>
      <c r="E50">
        <f t="shared" si="60"/>
        <v>1395.6130395</v>
      </c>
      <c r="G50">
        <f t="shared" ref="G50:G63" si="63">C50/B50</f>
        <v>19.358250000000002</v>
      </c>
      <c r="H50">
        <f t="shared" si="61"/>
        <v>10.774153949999999</v>
      </c>
      <c r="I50">
        <f t="shared" ref="I50:I63" si="64">(H50+G50)/1000</f>
        <v>3.0132403950000001E-2</v>
      </c>
      <c r="L50">
        <f>L9</f>
        <v>10</v>
      </c>
      <c r="M50">
        <v>3.0132403950000001E-2</v>
      </c>
      <c r="N50">
        <v>8.556632236050829E-2</v>
      </c>
      <c r="O50">
        <v>4.5921216575572243E-2</v>
      </c>
      <c r="P50">
        <v>5.4944936170872746E-2</v>
      </c>
      <c r="R50" t="s">
        <v>709</v>
      </c>
      <c r="S50" s="81">
        <f>'Uk Grid Decarbonisation'!$H$68</f>
        <v>77.234341073636372</v>
      </c>
      <c r="T50" t="s">
        <v>707</v>
      </c>
      <c r="AN50">
        <f t="shared" si="58"/>
        <v>0.376</v>
      </c>
    </row>
    <row r="51" spans="2:49" x14ac:dyDescent="0.2">
      <c r="B51">
        <f t="shared" si="59"/>
        <v>20</v>
      </c>
      <c r="C51">
        <f t="shared" si="62"/>
        <v>387.16500000000002</v>
      </c>
      <c r="D51">
        <f t="shared" si="60"/>
        <v>112.77153149999998</v>
      </c>
      <c r="E51">
        <f t="shared" si="60"/>
        <v>2688.5145315</v>
      </c>
      <c r="G51">
        <f t="shared" si="63"/>
        <v>19.358250000000002</v>
      </c>
      <c r="H51">
        <f t="shared" si="61"/>
        <v>5.6385765749999992</v>
      </c>
      <c r="I51">
        <f t="shared" si="64"/>
        <v>2.4996826574999999E-2</v>
      </c>
      <c r="L51">
        <f t="shared" si="57"/>
        <v>20</v>
      </c>
      <c r="M51">
        <v>2.4996826574999999E-2</v>
      </c>
      <c r="N51">
        <v>6.8158466568264506E-2</v>
      </c>
      <c r="O51">
        <v>2.7719403941607067E-2</v>
      </c>
      <c r="P51">
        <v>5.1839125986876372E-2</v>
      </c>
      <c r="AN51">
        <f t="shared" si="58"/>
        <v>0.376</v>
      </c>
      <c r="AW51"/>
    </row>
    <row r="52" spans="2:49" x14ac:dyDescent="0.2">
      <c r="B52">
        <f t="shared" si="59"/>
        <v>30</v>
      </c>
      <c r="C52">
        <f t="shared" si="62"/>
        <v>580.74750000000006</v>
      </c>
      <c r="D52">
        <f t="shared" si="60"/>
        <v>72.915687000000005</v>
      </c>
      <c r="E52">
        <f t="shared" si="60"/>
        <v>3936.5301870000003</v>
      </c>
      <c r="G52">
        <f t="shared" si="63"/>
        <v>19.358250000000002</v>
      </c>
      <c r="H52">
        <f t="shared" si="61"/>
        <v>2.4305229000000002</v>
      </c>
      <c r="I52">
        <f t="shared" si="64"/>
        <v>2.1788772900000003E-2</v>
      </c>
      <c r="L52">
        <f t="shared" si="57"/>
        <v>30</v>
      </c>
      <c r="M52">
        <v>2.1788772900000003E-2</v>
      </c>
      <c r="N52">
        <v>5.6048126393185856E-2</v>
      </c>
      <c r="O52">
        <v>2.1690679404346033E-2</v>
      </c>
      <c r="P52">
        <v>3.7896776272710091E-2</v>
      </c>
      <c r="AN52">
        <f t="shared" si="58"/>
        <v>0.376</v>
      </c>
    </row>
    <row r="53" spans="2:49" x14ac:dyDescent="0.2">
      <c r="B53">
        <f t="shared" si="59"/>
        <v>50</v>
      </c>
      <c r="C53">
        <f t="shared" si="62"/>
        <v>967.91250000000014</v>
      </c>
      <c r="D53">
        <f t="shared" si="60"/>
        <v>77.092694999999992</v>
      </c>
      <c r="E53">
        <f t="shared" si="60"/>
        <v>6516.4501950000003</v>
      </c>
      <c r="G53">
        <f t="shared" si="63"/>
        <v>19.358250000000002</v>
      </c>
      <c r="H53">
        <f t="shared" si="61"/>
        <v>1.5418538999999998</v>
      </c>
      <c r="I53">
        <f t="shared" si="64"/>
        <v>2.0900103900000001E-2</v>
      </c>
      <c r="L53">
        <f t="shared" si="57"/>
        <v>50</v>
      </c>
      <c r="M53">
        <v>2.0900103900000001E-2</v>
      </c>
      <c r="N53">
        <v>4.7483128202351378E-2</v>
      </c>
      <c r="O53">
        <v>1.6815975323724315E-2</v>
      </c>
      <c r="P53">
        <v>2.6627114907707042E-2</v>
      </c>
    </row>
    <row r="54" spans="2:49" x14ac:dyDescent="0.2">
      <c r="B54">
        <f t="shared" si="59"/>
        <v>75</v>
      </c>
      <c r="C54">
        <f t="shared" si="62"/>
        <v>1451.8687500000001</v>
      </c>
      <c r="D54">
        <f t="shared" si="60"/>
        <v>82.313955000000007</v>
      </c>
      <c r="E54">
        <f t="shared" si="60"/>
        <v>9741.3502050000006</v>
      </c>
      <c r="G54">
        <f t="shared" si="63"/>
        <v>19.358250000000002</v>
      </c>
      <c r="H54">
        <f t="shared" si="61"/>
        <v>1.0975194000000001</v>
      </c>
      <c r="I54">
        <f t="shared" si="64"/>
        <v>2.0455769400000001E-2</v>
      </c>
      <c r="L54">
        <f t="shared" si="57"/>
        <v>75</v>
      </c>
      <c r="M54">
        <v>2.0455769400000001E-2</v>
      </c>
      <c r="N54">
        <v>4.6857841882839604E-2</v>
      </c>
      <c r="O54">
        <v>1.4348753459877361E-2</v>
      </c>
      <c r="P54">
        <v>2.1358414401669416E-2</v>
      </c>
    </row>
    <row r="55" spans="2:49" x14ac:dyDescent="0.2">
      <c r="B55">
        <f t="shared" si="59"/>
        <v>100</v>
      </c>
      <c r="C55">
        <f t="shared" si="62"/>
        <v>1935.8250000000003</v>
      </c>
      <c r="D55">
        <f t="shared" si="60"/>
        <v>87.535215000000008</v>
      </c>
      <c r="E55">
        <f t="shared" si="60"/>
        <v>12966.250215</v>
      </c>
      <c r="G55">
        <f t="shared" si="63"/>
        <v>19.358250000000002</v>
      </c>
      <c r="H55">
        <f t="shared" si="61"/>
        <v>0.87535215000000011</v>
      </c>
      <c r="I55">
        <f t="shared" si="64"/>
        <v>2.0233602150000002E-2</v>
      </c>
      <c r="L55">
        <f t="shared" si="57"/>
        <v>100</v>
      </c>
      <c r="M55">
        <v>2.0233602150000002E-2</v>
      </c>
      <c r="N55">
        <v>6.2255823527958498E-2</v>
      </c>
      <c r="O55">
        <v>1.3127958392102887E-2</v>
      </c>
      <c r="P55">
        <v>1.8486665727085322E-2</v>
      </c>
    </row>
    <row r="56" spans="2:49" x14ac:dyDescent="0.2">
      <c r="B56">
        <f t="shared" si="59"/>
        <v>150</v>
      </c>
      <c r="C56">
        <f t="shared" si="62"/>
        <v>2903.7375000000002</v>
      </c>
      <c r="D56">
        <f t="shared" si="60"/>
        <v>97.97773500000001</v>
      </c>
      <c r="E56">
        <f t="shared" si="60"/>
        <v>19416.050235000002</v>
      </c>
      <c r="G56">
        <f t="shared" si="63"/>
        <v>19.358250000000002</v>
      </c>
      <c r="H56">
        <f t="shared" si="61"/>
        <v>0.65318490000000007</v>
      </c>
      <c r="I56">
        <f t="shared" si="64"/>
        <v>2.00114349E-2</v>
      </c>
      <c r="L56">
        <f t="shared" si="57"/>
        <v>150</v>
      </c>
      <c r="M56">
        <v>2.00114349E-2</v>
      </c>
      <c r="N56">
        <v>2.7029340053962132E-2</v>
      </c>
      <c r="O56">
        <v>1.2194480184419555E-2</v>
      </c>
      <c r="P56">
        <v>1.5900160237506154E-2</v>
      </c>
    </row>
    <row r="57" spans="2:49" x14ac:dyDescent="0.2">
      <c r="B57">
        <f t="shared" si="59"/>
        <v>200</v>
      </c>
      <c r="C57">
        <f t="shared" si="62"/>
        <v>3871.6500000000005</v>
      </c>
      <c r="D57">
        <f t="shared" si="60"/>
        <v>136.38908800000002</v>
      </c>
      <c r="E57">
        <f t="shared" si="60"/>
        <v>25893.819088</v>
      </c>
      <c r="G57">
        <f t="shared" si="63"/>
        <v>19.358250000000002</v>
      </c>
      <c r="H57">
        <f t="shared" si="61"/>
        <v>0.68194544000000012</v>
      </c>
      <c r="I57">
        <f t="shared" si="64"/>
        <v>2.0040195440000002E-2</v>
      </c>
      <c r="L57">
        <f t="shared" si="57"/>
        <v>200</v>
      </c>
      <c r="M57">
        <v>2.0040195440000002E-2</v>
      </c>
      <c r="N57">
        <v>2.34279677702872E-2</v>
      </c>
      <c r="O57">
        <v>1.158192974343503E-2</v>
      </c>
      <c r="P57">
        <v>1.4476079983316946E-2</v>
      </c>
    </row>
    <row r="58" spans="2:49" x14ac:dyDescent="0.2">
      <c r="B58">
        <f t="shared" si="59"/>
        <v>300</v>
      </c>
      <c r="C58">
        <f t="shared" si="62"/>
        <v>5807.4750000000004</v>
      </c>
      <c r="D58">
        <f t="shared" si="60"/>
        <v>152.59340800000004</v>
      </c>
      <c r="E58">
        <f t="shared" si="60"/>
        <v>38788.738408000005</v>
      </c>
      <c r="G58">
        <f t="shared" si="63"/>
        <v>19.358250000000002</v>
      </c>
      <c r="H58">
        <f t="shared" si="61"/>
        <v>0.50864469333333351</v>
      </c>
      <c r="I58">
        <f t="shared" si="64"/>
        <v>1.9866894693333335E-2</v>
      </c>
      <c r="L58">
        <f t="shared" si="57"/>
        <v>300</v>
      </c>
      <c r="M58">
        <v>1.9866894693333335E-2</v>
      </c>
      <c r="N58">
        <v>1.9425702724026866E-2</v>
      </c>
      <c r="O58">
        <v>1.095268028530765E-2</v>
      </c>
      <c r="P58">
        <v>1.3713610683919724E-2</v>
      </c>
    </row>
    <row r="59" spans="2:49" x14ac:dyDescent="0.2">
      <c r="B59">
        <f t="shared" si="59"/>
        <v>400</v>
      </c>
      <c r="C59">
        <f t="shared" si="62"/>
        <v>7743.3000000000011</v>
      </c>
      <c r="D59">
        <f t="shared" si="60"/>
        <v>337.59545600000007</v>
      </c>
      <c r="E59">
        <f t="shared" si="60"/>
        <v>51852.455456000003</v>
      </c>
      <c r="G59">
        <f t="shared" si="63"/>
        <v>19.358250000000002</v>
      </c>
      <c r="H59">
        <f t="shared" si="61"/>
        <v>0.84398864000000018</v>
      </c>
      <c r="I59">
        <f t="shared" si="64"/>
        <v>2.0202238640000002E-2</v>
      </c>
      <c r="L59">
        <f t="shared" si="57"/>
        <v>400</v>
      </c>
      <c r="M59">
        <v>2.0202238640000002E-2</v>
      </c>
      <c r="N59">
        <v>1.7129480294774801E-2</v>
      </c>
      <c r="O59">
        <v>1.0648794104815387E-2</v>
      </c>
      <c r="P59">
        <v>1.2831524960984267E-2</v>
      </c>
    </row>
    <row r="60" spans="2:49" x14ac:dyDescent="0.2">
      <c r="B60">
        <f t="shared" si="59"/>
        <v>500</v>
      </c>
      <c r="C60">
        <f t="shared" si="62"/>
        <v>9679.125</v>
      </c>
      <c r="D60">
        <f t="shared" si="60"/>
        <v>370.00409600000006</v>
      </c>
      <c r="E60">
        <f t="shared" si="60"/>
        <v>64763.579096000001</v>
      </c>
      <c r="G60">
        <f t="shared" si="63"/>
        <v>19.358250000000002</v>
      </c>
      <c r="H60">
        <f t="shared" si="61"/>
        <v>0.74000819200000012</v>
      </c>
      <c r="I60">
        <f t="shared" si="64"/>
        <v>2.0098258192000003E-2</v>
      </c>
      <c r="L60">
        <f t="shared" si="57"/>
        <v>500</v>
      </c>
      <c r="M60">
        <v>2.0098258192000003E-2</v>
      </c>
      <c r="N60">
        <v>1.7142957849877283E-2</v>
      </c>
      <c r="O60">
        <v>1.046420525366289E-2</v>
      </c>
      <c r="P60">
        <v>1.2239987812937276E-2</v>
      </c>
    </row>
    <row r="61" spans="2:49" x14ac:dyDescent="0.2">
      <c r="B61">
        <f t="shared" si="59"/>
        <v>600</v>
      </c>
      <c r="C61">
        <f t="shared" si="62"/>
        <v>11614.95</v>
      </c>
      <c r="D61">
        <f t="shared" si="60"/>
        <v>402.41273600000011</v>
      </c>
      <c r="E61">
        <f t="shared" si="60"/>
        <v>77674.702736000007</v>
      </c>
      <c r="G61">
        <f t="shared" si="63"/>
        <v>19.358250000000002</v>
      </c>
      <c r="H61">
        <f t="shared" si="61"/>
        <v>0.67068789333333356</v>
      </c>
      <c r="I61">
        <f t="shared" si="64"/>
        <v>2.0028937893333335E-2</v>
      </c>
      <c r="L61">
        <f t="shared" si="57"/>
        <v>600</v>
      </c>
      <c r="M61">
        <v>2.0028937893333335E-2</v>
      </c>
      <c r="N61">
        <v>1.6755738124026871E-2</v>
      </c>
      <c r="O61">
        <v>1.0344360305275508E-2</v>
      </c>
      <c r="P61">
        <v>1.278032075058641E-2</v>
      </c>
    </row>
    <row r="62" spans="2:49" x14ac:dyDescent="0.2">
      <c r="B62">
        <f t="shared" si="59"/>
        <v>800</v>
      </c>
      <c r="C62">
        <f t="shared" si="62"/>
        <v>15486.600000000002</v>
      </c>
      <c r="D62">
        <f t="shared" si="60"/>
        <v>700.84502400000008</v>
      </c>
      <c r="E62">
        <f t="shared" si="60"/>
        <v>103730.565024</v>
      </c>
      <c r="G62">
        <f t="shared" si="63"/>
        <v>19.358250000000002</v>
      </c>
      <c r="H62">
        <f t="shared" si="61"/>
        <v>0.87605628000000013</v>
      </c>
      <c r="I62">
        <f t="shared" si="64"/>
        <v>2.0234306280000003E-2</v>
      </c>
      <c r="L62">
        <f t="shared" si="57"/>
        <v>800</v>
      </c>
      <c r="M62">
        <v>2.0234306280000003E-2</v>
      </c>
      <c r="N62">
        <v>1.59640118947748E-2</v>
      </c>
      <c r="O62">
        <v>1.0088125548362709E-2</v>
      </c>
      <c r="P62">
        <v>1.3495344149528467E-2</v>
      </c>
    </row>
    <row r="63" spans="2:49" x14ac:dyDescent="0.2">
      <c r="B63">
        <f t="shared" si="59"/>
        <v>1000</v>
      </c>
      <c r="C63">
        <f t="shared" si="62"/>
        <v>19358.25</v>
      </c>
      <c r="D63">
        <f t="shared" si="60"/>
        <v>1064.0945920000001</v>
      </c>
      <c r="E63">
        <f t="shared" si="60"/>
        <v>129851.244592</v>
      </c>
      <c r="G63">
        <f t="shared" si="63"/>
        <v>19.358250000000002</v>
      </c>
      <c r="H63">
        <f t="shared" si="61"/>
        <v>1.0640945920000002</v>
      </c>
      <c r="I63">
        <f t="shared" si="64"/>
        <v>2.0422344592000003E-2</v>
      </c>
      <c r="L63">
        <f t="shared" si="57"/>
        <v>1000</v>
      </c>
      <c r="M63">
        <v>2.0422344592000003E-2</v>
      </c>
      <c r="N63">
        <v>1.6216208729877279E-2</v>
      </c>
      <c r="O63">
        <v>9.9376704085007463E-3</v>
      </c>
      <c r="P63">
        <v>1.2583614592344064E-2</v>
      </c>
    </row>
    <row r="66" spans="1:73" s="71" customFormat="1" x14ac:dyDescent="0.2">
      <c r="A66" s="70" t="s">
        <v>706</v>
      </c>
      <c r="J66" s="72"/>
      <c r="W66" s="72"/>
      <c r="AJ66" s="72"/>
      <c r="AW66" s="72"/>
      <c r="AX66" s="71" t="s">
        <v>711</v>
      </c>
    </row>
    <row r="67" spans="1:73" x14ac:dyDescent="0.2">
      <c r="K67" t="s">
        <v>627</v>
      </c>
      <c r="L67" s="81">
        <f>'Uk Grid Decarbonisation'!$H$68</f>
        <v>77.234341073636372</v>
      </c>
      <c r="M67" t="s">
        <v>707</v>
      </c>
      <c r="X67" t="s">
        <v>627</v>
      </c>
      <c r="Y67" s="81">
        <f>'Uk Grid Decarbonisation'!$H$68</f>
        <v>77.234341073636372</v>
      </c>
      <c r="Z67" t="s">
        <v>707</v>
      </c>
      <c r="AK67" t="s">
        <v>627</v>
      </c>
      <c r="AL67" s="81">
        <f>'Uk Grid Decarbonisation'!$H$68</f>
        <v>77.234341073636372</v>
      </c>
      <c r="AM67" t="s">
        <v>707</v>
      </c>
      <c r="BK67" t="s">
        <v>712</v>
      </c>
    </row>
    <row r="68" spans="1:73" x14ac:dyDescent="0.2">
      <c r="B68" t="str">
        <f t="shared" ref="B68" si="65">B28</f>
        <v>PE</v>
      </c>
      <c r="L68" t="str">
        <f t="shared" ref="L68:O83" si="66">L28</f>
        <v>PE</v>
      </c>
      <c r="M68" t="str">
        <f t="shared" si="66"/>
        <v>Process</v>
      </c>
      <c r="N68" t="str">
        <f t="shared" si="66"/>
        <v>Tankering</v>
      </c>
      <c r="O68" t="str">
        <f t="shared" si="66"/>
        <v>Discharge to Surface Waters</v>
      </c>
      <c r="P68" t="s">
        <v>627</v>
      </c>
      <c r="Q68" t="str">
        <f t="shared" ref="Q68:R83" si="67">Q28</f>
        <v>Site Visits</v>
      </c>
      <c r="R68" t="str">
        <f t="shared" si="67"/>
        <v>Maintanence</v>
      </c>
      <c r="T68" t="s">
        <v>290</v>
      </c>
      <c r="V68" t="s">
        <v>632</v>
      </c>
      <c r="Y68" t="str">
        <f t="shared" ref="Y68:AB68" si="68">Y28</f>
        <v>PE</v>
      </c>
      <c r="Z68" t="str">
        <f t="shared" si="68"/>
        <v>Process</v>
      </c>
      <c r="AA68" t="str">
        <f t="shared" si="68"/>
        <v>Tankering</v>
      </c>
      <c r="AB68" t="str">
        <f t="shared" si="68"/>
        <v>Discharge to Surface Waters</v>
      </c>
      <c r="AC68" t="s">
        <v>627</v>
      </c>
      <c r="AD68" t="str">
        <f t="shared" ref="AD68:AE68" si="69">AD28</f>
        <v>Site Visits</v>
      </c>
      <c r="AE68" t="str">
        <f t="shared" si="69"/>
        <v>Maintanence</v>
      </c>
      <c r="AG68" t="s">
        <v>290</v>
      </c>
      <c r="AI68" t="s">
        <v>632</v>
      </c>
      <c r="AL68" t="str">
        <f t="shared" ref="AL68:AO68" si="70">AL28</f>
        <v>PE</v>
      </c>
      <c r="AM68" t="str">
        <f t="shared" si="70"/>
        <v>Process</v>
      </c>
      <c r="AN68" t="str">
        <f t="shared" si="70"/>
        <v>Tankering</v>
      </c>
      <c r="AO68" t="str">
        <f t="shared" si="70"/>
        <v>Discharge to Surface Waters</v>
      </c>
      <c r="AP68" t="s">
        <v>627</v>
      </c>
      <c r="AQ68" t="str">
        <f t="shared" ref="AQ68:AR68" si="71">AQ28</f>
        <v>Site Visits</v>
      </c>
      <c r="AR68" t="str">
        <f t="shared" si="71"/>
        <v>Maintanence</v>
      </c>
      <c r="AT68" t="s">
        <v>290</v>
      </c>
      <c r="AV68" t="s">
        <v>632</v>
      </c>
      <c r="AY68" t="s">
        <v>89</v>
      </c>
      <c r="AZ68" t="s">
        <v>649</v>
      </c>
      <c r="BA68" t="s">
        <v>224</v>
      </c>
      <c r="BB68" t="s">
        <v>405</v>
      </c>
      <c r="BC68" t="s">
        <v>406</v>
      </c>
      <c r="BF68" t="s">
        <v>155</v>
      </c>
      <c r="BG68" t="s">
        <v>156</v>
      </c>
      <c r="BK68" t="s">
        <v>704</v>
      </c>
    </row>
    <row r="69" spans="1:73" x14ac:dyDescent="0.2">
      <c r="B69">
        <f t="shared" ref="B69:I69" si="72">B29</f>
        <v>5</v>
      </c>
      <c r="C69">
        <f t="shared" si="72"/>
        <v>643.93574999999998</v>
      </c>
      <c r="D69">
        <f t="shared" si="72"/>
        <v>39.565180355999999</v>
      </c>
      <c r="E69">
        <f t="shared" si="72"/>
        <v>683.50093035600003</v>
      </c>
      <c r="G69">
        <f t="shared" si="72"/>
        <v>128.78715</v>
      </c>
      <c r="H69">
        <f t="shared" si="72"/>
        <v>7.9130360711999996</v>
      </c>
      <c r="I69">
        <f t="shared" si="72"/>
        <v>0.13670018607119999</v>
      </c>
      <c r="L69">
        <f t="shared" si="66"/>
        <v>5</v>
      </c>
      <c r="M69">
        <f t="shared" si="66"/>
        <v>17.4333825</v>
      </c>
      <c r="N69">
        <f t="shared" si="66"/>
        <v>25.349638827199996</v>
      </c>
      <c r="O69">
        <f t="shared" si="66"/>
        <v>31.626769218749999</v>
      </c>
      <c r="P69">
        <f>(P29/$S$48)*$S$50</f>
        <v>58.225116111228694</v>
      </c>
      <c r="Q69">
        <f t="shared" si="67"/>
        <v>7.5906445123077995E-2</v>
      </c>
      <c r="R69">
        <f t="shared" si="67"/>
        <v>4.2688255370935897</v>
      </c>
      <c r="T69">
        <f>SUM(M69:R69)</f>
        <v>136.97963863939535</v>
      </c>
      <c r="V69">
        <f>(T69/L69)/1000</f>
        <v>2.739592772787907E-2</v>
      </c>
      <c r="Y69">
        <f t="shared" ref="Y69:AB69" si="73">Y29</f>
        <v>5</v>
      </c>
      <c r="Z69">
        <f t="shared" si="73"/>
        <v>12.380795226514442</v>
      </c>
      <c r="AA69">
        <f t="shared" si="73"/>
        <v>8.1146902473230647</v>
      </c>
      <c r="AB69">
        <f t="shared" si="73"/>
        <v>31.626769218749999</v>
      </c>
      <c r="AC69">
        <f>(AC29/$S$48)*$S$50</f>
        <v>0</v>
      </c>
      <c r="AD69">
        <f t="shared" ref="AD69:AE69" si="74">AD29</f>
        <v>7.5906445123077995E-2</v>
      </c>
      <c r="AE69">
        <f t="shared" si="74"/>
        <v>3.219182679950733</v>
      </c>
      <c r="AG69">
        <f>SUM(Z69:AE69)</f>
        <v>55.417343817661319</v>
      </c>
      <c r="AI69">
        <f>(AG69/Y69)/1000</f>
        <v>1.1083468763532263E-2</v>
      </c>
      <c r="AL69">
        <f t="shared" ref="AL69:AO69" si="75">AL29</f>
        <v>5</v>
      </c>
      <c r="AM69">
        <f t="shared" si="75"/>
        <v>8.1528849421394458</v>
      </c>
      <c r="AN69">
        <f t="shared" si="75"/>
        <v>8.1146902473230647</v>
      </c>
      <c r="AO69">
        <f t="shared" si="75"/>
        <v>31.626769218749999</v>
      </c>
      <c r="AP69">
        <f>(AP29/$S$48)*$S$50</f>
        <v>20.947625267315953</v>
      </c>
      <c r="AQ69">
        <f t="shared" ref="AQ69:AR69" si="76">AQ29</f>
        <v>7.5906445123077995E-2</v>
      </c>
      <c r="AR69">
        <f t="shared" si="76"/>
        <v>15.399182679950732</v>
      </c>
      <c r="AT69">
        <f>SUM(AM69:AR69)</f>
        <v>84.317058800602268</v>
      </c>
      <c r="AV69">
        <f>(AT69/AL69)/1000</f>
        <v>1.6863411760120454E-2</v>
      </c>
      <c r="AY69">
        <v>5</v>
      </c>
      <c r="AZ69">
        <v>0.13670018607119999</v>
      </c>
      <c r="BA69">
        <v>2.739592772787907E-2</v>
      </c>
      <c r="BB69">
        <v>1.1083468763532263E-2</v>
      </c>
      <c r="BC69">
        <v>1.6863411760120454E-2</v>
      </c>
      <c r="BE69" t="s">
        <v>649</v>
      </c>
      <c r="BF69">
        <v>0.12897840040469336</v>
      </c>
      <c r="BG69">
        <v>0.13670018607119999</v>
      </c>
      <c r="BK69">
        <v>1000</v>
      </c>
      <c r="BL69" t="s">
        <v>705</v>
      </c>
      <c r="BQ69">
        <v>4.0403558700000002E-2</v>
      </c>
      <c r="BS69">
        <f>BQ69*BK69</f>
        <v>40.403558700000005</v>
      </c>
      <c r="BU69">
        <f>BL73-BS69</f>
        <v>96.296627371199989</v>
      </c>
    </row>
    <row r="70" spans="1:73" x14ac:dyDescent="0.2">
      <c r="B70">
        <f t="shared" ref="B70:I70" si="77">B30</f>
        <v>10</v>
      </c>
      <c r="C70">
        <f t="shared" si="77"/>
        <v>1287.8715</v>
      </c>
      <c r="D70">
        <f t="shared" si="77"/>
        <v>40.510818851999993</v>
      </c>
      <c r="E70">
        <f t="shared" si="77"/>
        <v>1328.382318852</v>
      </c>
      <c r="G70">
        <f t="shared" si="77"/>
        <v>128.78715</v>
      </c>
      <c r="H70">
        <f t="shared" si="77"/>
        <v>4.0510818851999995</v>
      </c>
      <c r="I70">
        <f t="shared" si="77"/>
        <v>0.1328382318852</v>
      </c>
      <c r="L70">
        <f t="shared" si="66"/>
        <v>10</v>
      </c>
      <c r="M70">
        <f t="shared" si="66"/>
        <v>34.866765000000001</v>
      </c>
      <c r="N70">
        <f t="shared" si="66"/>
        <v>39.321925200799996</v>
      </c>
      <c r="O70">
        <f t="shared" si="66"/>
        <v>63.253538437499998</v>
      </c>
      <c r="P70">
        <f t="shared" ref="P70:P83" si="78">(P30/$S$48)*$S$50</f>
        <v>145.56279027807176</v>
      </c>
      <c r="Q70">
        <f t="shared" si="67"/>
        <v>7.5906445123077995E-2</v>
      </c>
      <c r="R70">
        <f t="shared" si="67"/>
        <v>11.59382553709359</v>
      </c>
      <c r="T70">
        <f t="shared" ref="T70:T83" si="79">SUM(M70:R70)</f>
        <v>294.6747508985884</v>
      </c>
      <c r="V70">
        <f t="shared" ref="V70:V83" si="80">(T70/L70)/1000</f>
        <v>2.9467475089858839E-2</v>
      </c>
      <c r="Y70">
        <f t="shared" ref="Y70:AB70" si="81">Y30</f>
        <v>10</v>
      </c>
      <c r="Z70">
        <f t="shared" si="81"/>
        <v>24.761590453028884</v>
      </c>
      <c r="AA70">
        <f t="shared" si="81"/>
        <v>2.7979372898842114</v>
      </c>
      <c r="AB70">
        <f t="shared" si="81"/>
        <v>63.253538437499998</v>
      </c>
      <c r="AC70">
        <f t="shared" ref="AC70:AC83" si="82">(AC30/$S$48)*$S$50</f>
        <v>0</v>
      </c>
      <c r="AD70">
        <f t="shared" ref="AD70:AE70" si="83">AD30</f>
        <v>7.5906445123077995E-2</v>
      </c>
      <c r="AE70">
        <f t="shared" si="83"/>
        <v>6.4820398228078746</v>
      </c>
      <c r="AG70">
        <f t="shared" ref="AG70:AG83" si="84">SUM(Z70:AE70)</f>
        <v>97.371012448344047</v>
      </c>
      <c r="AI70">
        <f t="shared" ref="AI70:AI83" si="85">(AG70/Y70)/1000</f>
        <v>9.7371012448344042E-3</v>
      </c>
      <c r="AL70">
        <f t="shared" ref="AL70:AO70" si="86">AL30</f>
        <v>10</v>
      </c>
      <c r="AM70">
        <f t="shared" si="86"/>
        <v>16.305769884278892</v>
      </c>
      <c r="AN70">
        <f t="shared" si="86"/>
        <v>2.7979372898842114</v>
      </c>
      <c r="AO70">
        <f t="shared" si="86"/>
        <v>63.253538437499998</v>
      </c>
      <c r="AP70">
        <f t="shared" ref="AP70:AP83" si="87">(AP30/$S$48)*$S$50</f>
        <v>41.895250534631906</v>
      </c>
      <c r="AQ70">
        <f t="shared" ref="AQ70:AR70" si="88">AQ30</f>
        <v>7.5906445123077995E-2</v>
      </c>
      <c r="AR70">
        <f t="shared" si="88"/>
        <v>26.220611251379307</v>
      </c>
      <c r="AT70">
        <f t="shared" ref="AT70:AT83" si="89">SUM(AM70:AR70)</f>
        <v>150.54901384279739</v>
      </c>
      <c r="AV70">
        <f t="shared" ref="AV70:AV83" si="90">(AT70/AL70)/1000</f>
        <v>1.5054901384279739E-2</v>
      </c>
      <c r="AY70">
        <v>10</v>
      </c>
      <c r="AZ70">
        <v>0.1328382318852</v>
      </c>
      <c r="BA70">
        <v>2.9467475089858839E-2</v>
      </c>
      <c r="BB70">
        <v>9.7371012448344042E-3</v>
      </c>
      <c r="BC70">
        <v>1.5054901384279739E-2</v>
      </c>
      <c r="BE70" t="s">
        <v>224</v>
      </c>
      <c r="BF70">
        <v>1.2869736487533758E-2</v>
      </c>
      <c r="BG70">
        <v>3.6364219096655E-2</v>
      </c>
      <c r="BQ70">
        <v>3.0132403950000001E-2</v>
      </c>
    </row>
    <row r="71" spans="1:73" x14ac:dyDescent="0.2">
      <c r="B71">
        <f t="shared" ref="B71:I71" si="91">B31</f>
        <v>20</v>
      </c>
      <c r="C71">
        <f t="shared" si="91"/>
        <v>2575.7429999999999</v>
      </c>
      <c r="D71">
        <f t="shared" si="91"/>
        <v>42.402095843999987</v>
      </c>
      <c r="E71">
        <f t="shared" si="91"/>
        <v>2618.145095844</v>
      </c>
      <c r="G71">
        <f t="shared" si="91"/>
        <v>128.78715</v>
      </c>
      <c r="H71">
        <f t="shared" si="91"/>
        <v>2.1201047921999994</v>
      </c>
      <c r="I71">
        <f t="shared" si="91"/>
        <v>0.1309072547922</v>
      </c>
      <c r="L71">
        <f t="shared" si="66"/>
        <v>20</v>
      </c>
      <c r="M71">
        <f t="shared" si="66"/>
        <v>69.733530000000002</v>
      </c>
      <c r="N71">
        <f t="shared" si="66"/>
        <v>82.174234119999994</v>
      </c>
      <c r="O71">
        <f t="shared" si="66"/>
        <v>126.507076875</v>
      </c>
      <c r="P71">
        <f t="shared" si="78"/>
        <v>304.66630523317343</v>
      </c>
      <c r="Q71">
        <f t="shared" si="67"/>
        <v>7.5906445123077995E-2</v>
      </c>
      <c r="R71">
        <f t="shared" si="67"/>
        <v>24.381325537093591</v>
      </c>
      <c r="T71">
        <f t="shared" si="79"/>
        <v>607.53837821039008</v>
      </c>
      <c r="V71">
        <f t="shared" si="80"/>
        <v>3.0376918910519503E-2</v>
      </c>
      <c r="Y71">
        <f t="shared" ref="Y71:AB71" si="92">Y31</f>
        <v>20</v>
      </c>
      <c r="Z71">
        <f t="shared" si="92"/>
        <v>49.523180906057767</v>
      </c>
      <c r="AA71">
        <f t="shared" si="92"/>
        <v>3.0984950009217087</v>
      </c>
      <c r="AB71">
        <f t="shared" si="92"/>
        <v>126.507076875</v>
      </c>
      <c r="AC71">
        <f t="shared" si="82"/>
        <v>0</v>
      </c>
      <c r="AD71">
        <f t="shared" ref="AD71:AE71" si="93">AD31</f>
        <v>7.5906445123077995E-2</v>
      </c>
      <c r="AE71">
        <f t="shared" si="93"/>
        <v>12.843468394236446</v>
      </c>
      <c r="AG71">
        <f t="shared" si="84"/>
        <v>192.04812762133901</v>
      </c>
      <c r="AI71">
        <f t="shared" si="85"/>
        <v>9.6024063810669514E-3</v>
      </c>
      <c r="AL71">
        <f t="shared" ref="AL71:AO71" si="94">AL31</f>
        <v>20</v>
      </c>
      <c r="AM71">
        <f t="shared" si="94"/>
        <v>32.611539768557783</v>
      </c>
      <c r="AN71">
        <f t="shared" si="94"/>
        <v>3.0984950009217087</v>
      </c>
      <c r="AO71">
        <f t="shared" si="94"/>
        <v>126.507076875</v>
      </c>
      <c r="AP71">
        <f t="shared" si="87"/>
        <v>258.35404496356335</v>
      </c>
      <c r="AQ71">
        <f t="shared" ref="AQ71:AR71" si="95">AQ31</f>
        <v>7.5906445123077995E-2</v>
      </c>
      <c r="AR71">
        <f t="shared" si="95"/>
        <v>44.720611251379303</v>
      </c>
      <c r="AT71">
        <f t="shared" si="89"/>
        <v>465.36767430454518</v>
      </c>
      <c r="AV71">
        <f t="shared" si="90"/>
        <v>2.3268383715227259E-2</v>
      </c>
      <c r="AY71">
        <v>20</v>
      </c>
      <c r="AZ71">
        <v>0.1309072547922</v>
      </c>
      <c r="BA71">
        <v>3.0376918910519503E-2</v>
      </c>
      <c r="BB71">
        <v>9.6024063810669514E-3</v>
      </c>
      <c r="BC71">
        <v>2.3268383715227259E-2</v>
      </c>
      <c r="BE71" t="s">
        <v>405</v>
      </c>
      <c r="BF71">
        <v>9.4877402037361405E-3</v>
      </c>
      <c r="BG71">
        <v>1.1083468763532263E-2</v>
      </c>
      <c r="BQ71">
        <v>2.4996826574999999E-2</v>
      </c>
    </row>
    <row r="72" spans="1:73" x14ac:dyDescent="0.2">
      <c r="B72">
        <f t="shared" ref="B72:I72" si="96">B32</f>
        <v>30</v>
      </c>
      <c r="C72">
        <f t="shared" si="96"/>
        <v>3863.6145000000001</v>
      </c>
      <c r="D72">
        <f t="shared" si="96"/>
        <v>27.416298312000002</v>
      </c>
      <c r="E72">
        <f t="shared" si="96"/>
        <v>3891.0307983120001</v>
      </c>
      <c r="G72">
        <f t="shared" si="96"/>
        <v>128.78715</v>
      </c>
      <c r="H72">
        <f t="shared" si="96"/>
        <v>0.91387661040000012</v>
      </c>
      <c r="I72">
        <f t="shared" si="96"/>
        <v>0.12970102661040001</v>
      </c>
      <c r="L72">
        <f t="shared" si="66"/>
        <v>30</v>
      </c>
      <c r="M72">
        <f t="shared" si="66"/>
        <v>104.600295</v>
      </c>
      <c r="N72">
        <f t="shared" si="66"/>
        <v>55.472438100204684</v>
      </c>
      <c r="O72">
        <f t="shared" si="66"/>
        <v>189.76061531250002</v>
      </c>
      <c r="P72">
        <f t="shared" si="78"/>
        <v>473.9253636960475</v>
      </c>
      <c r="Q72">
        <f t="shared" si="67"/>
        <v>7.5906445123077995E-2</v>
      </c>
      <c r="R72">
        <f t="shared" si="67"/>
        <v>14.88132553709359</v>
      </c>
      <c r="T72">
        <f t="shared" si="79"/>
        <v>838.71594409096895</v>
      </c>
      <c r="V72">
        <f t="shared" si="80"/>
        <v>2.795719813636563E-2</v>
      </c>
      <c r="Y72">
        <f t="shared" ref="Y72:AB72" si="97">Y32</f>
        <v>30</v>
      </c>
      <c r="Z72">
        <f t="shared" si="97"/>
        <v>74.284771359086662</v>
      </c>
      <c r="AA72">
        <f t="shared" si="97"/>
        <v>3.750061149649508</v>
      </c>
      <c r="AB72">
        <f t="shared" si="97"/>
        <v>189.76061531250002</v>
      </c>
      <c r="AC72">
        <f t="shared" si="82"/>
        <v>0</v>
      </c>
      <c r="AD72">
        <f t="shared" ref="AD72:AE72" si="98">AD32</f>
        <v>7.5906445123077995E-2</v>
      </c>
      <c r="AE72">
        <f t="shared" si="98"/>
        <v>19.427754108522162</v>
      </c>
      <c r="AG72">
        <f t="shared" si="84"/>
        <v>287.29910837488137</v>
      </c>
      <c r="AI72">
        <f t="shared" si="85"/>
        <v>9.5766369458293796E-3</v>
      </c>
      <c r="AL72">
        <f t="shared" ref="AL72:AO72" si="99">AL32</f>
        <v>30</v>
      </c>
      <c r="AM72">
        <f t="shared" si="99"/>
        <v>48.917309652836657</v>
      </c>
      <c r="AN72">
        <f t="shared" si="99"/>
        <v>3.750061149649508</v>
      </c>
      <c r="AO72">
        <f t="shared" si="99"/>
        <v>189.76061531250002</v>
      </c>
      <c r="AP72">
        <f t="shared" si="87"/>
        <v>258.35404496356335</v>
      </c>
      <c r="AQ72">
        <f t="shared" ref="AQ72:AR72" si="100">AQ32</f>
        <v>7.5906445123077995E-2</v>
      </c>
      <c r="AR72">
        <f t="shared" si="100"/>
        <v>63.549182679950732</v>
      </c>
      <c r="AT72">
        <f t="shared" si="89"/>
        <v>564.40712020362332</v>
      </c>
      <c r="AV72">
        <f t="shared" si="90"/>
        <v>1.8813570673454114E-2</v>
      </c>
      <c r="AY72">
        <v>30</v>
      </c>
      <c r="AZ72">
        <v>0.12970102661040001</v>
      </c>
      <c r="BA72">
        <v>2.795719813636563E-2</v>
      </c>
      <c r="BB72">
        <v>9.5766369458293796E-3</v>
      </c>
      <c r="BC72">
        <v>1.8813570673454114E-2</v>
      </c>
      <c r="BE72" t="s">
        <v>406</v>
      </c>
      <c r="BF72">
        <v>1.0789005504499748E-2</v>
      </c>
      <c r="BG72">
        <v>2.3268383715227259E-2</v>
      </c>
      <c r="BK72" t="s">
        <v>713</v>
      </c>
      <c r="BQ72">
        <v>2.1788772900000003E-2</v>
      </c>
    </row>
    <row r="73" spans="1:73" x14ac:dyDescent="0.2">
      <c r="B73">
        <f t="shared" ref="B73:I73" si="101">B33</f>
        <v>50</v>
      </c>
      <c r="C73">
        <f t="shared" si="101"/>
        <v>6439.3575000000001</v>
      </c>
      <c r="D73">
        <f t="shared" si="101"/>
        <v>28.986853319999994</v>
      </c>
      <c r="E73">
        <f t="shared" si="101"/>
        <v>6468.3443533199998</v>
      </c>
      <c r="G73">
        <f t="shared" si="101"/>
        <v>128.78715</v>
      </c>
      <c r="H73">
        <f t="shared" si="101"/>
        <v>0.57973706639999989</v>
      </c>
      <c r="I73">
        <f t="shared" si="101"/>
        <v>0.12936688706640001</v>
      </c>
      <c r="L73">
        <f t="shared" si="66"/>
        <v>50</v>
      </c>
      <c r="M73">
        <f t="shared" si="66"/>
        <v>174.33382499999999</v>
      </c>
      <c r="N73">
        <f t="shared" si="66"/>
        <v>60.182099925741653</v>
      </c>
      <c r="O73">
        <f t="shared" si="66"/>
        <v>316.26769218750002</v>
      </c>
      <c r="P73">
        <f t="shared" si="78"/>
        <v>744.73985723664623</v>
      </c>
      <c r="Q73">
        <f t="shared" si="67"/>
        <v>7.5906445123077995E-2</v>
      </c>
      <c r="R73">
        <f t="shared" si="67"/>
        <v>17.756325537093591</v>
      </c>
      <c r="T73">
        <f t="shared" si="79"/>
        <v>1313.3557063321045</v>
      </c>
      <c r="V73">
        <f t="shared" si="80"/>
        <v>2.626711412664209E-2</v>
      </c>
      <c r="Y73">
        <f t="shared" ref="Y73:AB73" si="102">Y33</f>
        <v>50</v>
      </c>
      <c r="Z73">
        <f t="shared" si="102"/>
        <v>123.80795226514442</v>
      </c>
      <c r="AA73">
        <f t="shared" si="102"/>
        <v>4.1119280575371429</v>
      </c>
      <c r="AB73">
        <f t="shared" si="102"/>
        <v>316.26769218750002</v>
      </c>
      <c r="AC73">
        <f t="shared" si="82"/>
        <v>0</v>
      </c>
      <c r="AD73">
        <f t="shared" ref="AD73:AE73" si="103">AD33</f>
        <v>7.5906445123077995E-2</v>
      </c>
      <c r="AE73">
        <f t="shared" si="103"/>
        <v>32.513468394236448</v>
      </c>
      <c r="AG73">
        <f t="shared" si="84"/>
        <v>476.77694734954105</v>
      </c>
      <c r="AI73">
        <f t="shared" si="85"/>
        <v>9.5355389469908205E-3</v>
      </c>
      <c r="AL73">
        <f t="shared" ref="AL73:AO73" si="104">AL33</f>
        <v>50</v>
      </c>
      <c r="AM73">
        <f t="shared" si="104"/>
        <v>81.528849421394426</v>
      </c>
      <c r="AN73">
        <f t="shared" si="104"/>
        <v>4.1119280575371429</v>
      </c>
      <c r="AO73">
        <f t="shared" si="104"/>
        <v>316.26769218750002</v>
      </c>
      <c r="AP73">
        <f t="shared" si="87"/>
        <v>258.35404496356335</v>
      </c>
      <c r="AQ73">
        <f t="shared" ref="AQ73:AR73" si="105">AQ33</f>
        <v>7.5906445123077995E-2</v>
      </c>
      <c r="AR73">
        <f t="shared" si="105"/>
        <v>97.920611251379299</v>
      </c>
      <c r="AT73">
        <f t="shared" si="89"/>
        <v>758.25903232649739</v>
      </c>
      <c r="AV73">
        <f t="shared" si="90"/>
        <v>1.5165180646529948E-2</v>
      </c>
      <c r="AY73">
        <v>50</v>
      </c>
      <c r="AZ73">
        <v>0.12936688706640001</v>
      </c>
      <c r="BA73">
        <v>2.626711412664209E-2</v>
      </c>
      <c r="BB73">
        <v>9.5355389469908205E-3</v>
      </c>
      <c r="BC73">
        <v>1.5165180646529948E-2</v>
      </c>
      <c r="BK73">
        <f>$BK$69*BF69</f>
        <v>128.97840040469336</v>
      </c>
      <c r="BL73">
        <f>$BK$69*BG69</f>
        <v>136.70018607119999</v>
      </c>
      <c r="BN73">
        <f>AVERAGE(BK73:BL73)</f>
        <v>132.83929323794666</v>
      </c>
      <c r="BQ73">
        <v>2.0900103900000001E-2</v>
      </c>
    </row>
    <row r="74" spans="1:73" x14ac:dyDescent="0.2">
      <c r="B74">
        <f t="shared" ref="B74:I74" si="106">B34</f>
        <v>75</v>
      </c>
      <c r="C74">
        <f t="shared" si="106"/>
        <v>9659.036250000001</v>
      </c>
      <c r="D74">
        <f t="shared" si="106"/>
        <v>30.950047080000004</v>
      </c>
      <c r="E74">
        <f t="shared" si="106"/>
        <v>9689.9862970800004</v>
      </c>
      <c r="G74">
        <f t="shared" si="106"/>
        <v>128.78715000000003</v>
      </c>
      <c r="H74">
        <f t="shared" si="106"/>
        <v>0.41266729440000005</v>
      </c>
      <c r="I74">
        <f t="shared" si="106"/>
        <v>0.12919981729440003</v>
      </c>
      <c r="L74">
        <f t="shared" si="66"/>
        <v>75</v>
      </c>
      <c r="M74">
        <f t="shared" si="66"/>
        <v>261.50073750000001</v>
      </c>
      <c r="N74">
        <f t="shared" si="66"/>
        <v>122.88912386856387</v>
      </c>
      <c r="O74">
        <f t="shared" si="66"/>
        <v>474.40153828124994</v>
      </c>
      <c r="P74">
        <f t="shared" si="78"/>
        <v>1150.9615975475438</v>
      </c>
      <c r="Q74">
        <f t="shared" si="67"/>
        <v>7.5906445123077995E-2</v>
      </c>
      <c r="R74">
        <f t="shared" si="67"/>
        <v>24.256325537093591</v>
      </c>
      <c r="T74">
        <f t="shared" si="79"/>
        <v>2034.0852291795743</v>
      </c>
      <c r="V74">
        <f t="shared" si="80"/>
        <v>2.7121136389060989E-2</v>
      </c>
      <c r="Y74">
        <f t="shared" ref="Y74:AB74" si="107">Y34</f>
        <v>75</v>
      </c>
      <c r="Z74">
        <f t="shared" si="107"/>
        <v>185.71192839771666</v>
      </c>
      <c r="AA74">
        <f t="shared" si="107"/>
        <v>3.8857612401073727</v>
      </c>
      <c r="AB74">
        <f t="shared" si="107"/>
        <v>474.40153828124994</v>
      </c>
      <c r="AC74">
        <f t="shared" si="82"/>
        <v>0</v>
      </c>
      <c r="AD74">
        <f t="shared" ref="AD74:AE74" si="108">AD34</f>
        <v>7.5906445123077995E-2</v>
      </c>
      <c r="AE74">
        <f t="shared" si="108"/>
        <v>48.434896965665018</v>
      </c>
      <c r="AG74">
        <f t="shared" si="84"/>
        <v>712.51003132986216</v>
      </c>
      <c r="AI74">
        <f t="shared" si="85"/>
        <v>9.5001337510648275E-3</v>
      </c>
      <c r="AL74">
        <f t="shared" ref="AL74:AO74" si="109">AL34</f>
        <v>75</v>
      </c>
      <c r="AM74">
        <f t="shared" si="109"/>
        <v>122.29327413209165</v>
      </c>
      <c r="AN74">
        <f t="shared" si="109"/>
        <v>3.8857612401073727</v>
      </c>
      <c r="AO74">
        <f t="shared" si="109"/>
        <v>474.40153828124994</v>
      </c>
      <c r="AP74">
        <f t="shared" si="87"/>
        <v>258.35404496356335</v>
      </c>
      <c r="AQ74">
        <f t="shared" ref="AQ74:AR74" si="110">AQ34</f>
        <v>7.5906445123077995E-2</v>
      </c>
      <c r="AR74">
        <f t="shared" si="110"/>
        <v>170.14918267995074</v>
      </c>
      <c r="AT74">
        <f t="shared" si="89"/>
        <v>1029.1597077420861</v>
      </c>
      <c r="AV74">
        <f t="shared" si="90"/>
        <v>1.3722129436561146E-2</v>
      </c>
      <c r="AY74">
        <v>75</v>
      </c>
      <c r="AZ74">
        <v>0.12919981729440003</v>
      </c>
      <c r="BA74">
        <v>2.7121136389060989E-2</v>
      </c>
      <c r="BB74">
        <v>9.5001337510648275E-3</v>
      </c>
      <c r="BC74">
        <v>1.3722129436561146E-2</v>
      </c>
      <c r="BK74">
        <f t="shared" ref="BK74:BL74" si="111">$BK$69*BF70</f>
        <v>12.869736487533757</v>
      </c>
      <c r="BL74">
        <f t="shared" si="111"/>
        <v>36.364219096654999</v>
      </c>
      <c r="BN74">
        <f t="shared" ref="BN74:BN76" si="112">AVERAGE(BK74:BL74)</f>
        <v>24.616977792094378</v>
      </c>
      <c r="BQ74">
        <v>2.0455769400000001E-2</v>
      </c>
    </row>
    <row r="75" spans="1:73" x14ac:dyDescent="0.2">
      <c r="B75">
        <f t="shared" ref="B75:I75" si="113">B35</f>
        <v>100</v>
      </c>
      <c r="C75">
        <f t="shared" si="113"/>
        <v>12878.715</v>
      </c>
      <c r="D75">
        <f t="shared" si="113"/>
        <v>32.91324084</v>
      </c>
      <c r="E75">
        <f t="shared" si="113"/>
        <v>12911.62824084</v>
      </c>
      <c r="G75">
        <f t="shared" si="113"/>
        <v>128.78715</v>
      </c>
      <c r="H75">
        <f t="shared" si="113"/>
        <v>0.32913240840000002</v>
      </c>
      <c r="I75">
        <f t="shared" si="113"/>
        <v>0.12911628240840001</v>
      </c>
      <c r="L75">
        <f t="shared" si="66"/>
        <v>100</v>
      </c>
      <c r="M75">
        <f t="shared" si="66"/>
        <v>348.66764999999998</v>
      </c>
      <c r="N75">
        <f t="shared" si="66"/>
        <v>192.45156378141093</v>
      </c>
      <c r="O75">
        <f t="shared" si="66"/>
        <v>632.53538437500004</v>
      </c>
      <c r="P75">
        <f t="shared" si="78"/>
        <v>2430.560079526872</v>
      </c>
      <c r="Q75">
        <f t="shared" si="67"/>
        <v>7.5906445123077995E-2</v>
      </c>
      <c r="R75">
        <f t="shared" si="67"/>
        <v>32.131325537093588</v>
      </c>
      <c r="T75">
        <f t="shared" si="79"/>
        <v>3636.4219096654997</v>
      </c>
      <c r="V75">
        <f t="shared" si="80"/>
        <v>3.6364219096655E-2</v>
      </c>
      <c r="Y75">
        <f t="shared" ref="Y75:AB75" si="114">Y35</f>
        <v>100</v>
      </c>
      <c r="Z75">
        <f t="shared" si="114"/>
        <v>247.61590453028884</v>
      </c>
      <c r="AA75">
        <f t="shared" si="114"/>
        <v>4.1119280575371429</v>
      </c>
      <c r="AB75">
        <f t="shared" si="114"/>
        <v>632.53538437500004</v>
      </c>
      <c r="AC75">
        <f t="shared" si="82"/>
        <v>0</v>
      </c>
      <c r="AD75">
        <f t="shared" ref="AD75:AE75" si="115">AD35</f>
        <v>7.5906445123077995E-2</v>
      </c>
      <c r="AE75">
        <f t="shared" si="115"/>
        <v>64.434896965665018</v>
      </c>
      <c r="AG75">
        <f t="shared" si="84"/>
        <v>948.77402037361412</v>
      </c>
      <c r="AI75">
        <f t="shared" si="85"/>
        <v>9.4877402037361405E-3</v>
      </c>
      <c r="AL75">
        <f t="shared" ref="AL75:AO75" si="116">AL35</f>
        <v>100</v>
      </c>
      <c r="AM75">
        <f t="shared" si="116"/>
        <v>163.05769884278885</v>
      </c>
      <c r="AN75">
        <f t="shared" si="116"/>
        <v>4.1119280575371429</v>
      </c>
      <c r="AO75">
        <f t="shared" si="116"/>
        <v>632.53538437500004</v>
      </c>
      <c r="AP75">
        <f t="shared" si="87"/>
        <v>258.35404496356335</v>
      </c>
      <c r="AQ75">
        <f t="shared" ref="AQ75:AR75" si="117">AQ35</f>
        <v>7.5906445123077995E-2</v>
      </c>
      <c r="AR75">
        <f t="shared" si="117"/>
        <v>217.43489696566502</v>
      </c>
      <c r="AT75">
        <f t="shared" si="89"/>
        <v>1275.5698596496775</v>
      </c>
      <c r="AV75">
        <f t="shared" si="90"/>
        <v>1.2755698596496775E-2</v>
      </c>
      <c r="AY75">
        <v>100</v>
      </c>
      <c r="AZ75">
        <v>0.12911628240840001</v>
      </c>
      <c r="BA75">
        <v>3.6364219096655E-2</v>
      </c>
      <c r="BB75">
        <v>9.4877402037361405E-3</v>
      </c>
      <c r="BC75">
        <v>1.2755698596496775E-2</v>
      </c>
      <c r="BK75">
        <f t="shared" ref="BK75:BL75" si="118">$BK$69*BF71</f>
        <v>9.4877402037361414</v>
      </c>
      <c r="BL75">
        <f t="shared" si="118"/>
        <v>11.083468763532263</v>
      </c>
      <c r="BN75">
        <f t="shared" si="112"/>
        <v>10.285604483634202</v>
      </c>
      <c r="BQ75">
        <v>2.0233602150000002E-2</v>
      </c>
    </row>
    <row r="76" spans="1:73" x14ac:dyDescent="0.2">
      <c r="B76">
        <f t="shared" ref="B76:I76" si="119">B36</f>
        <v>150</v>
      </c>
      <c r="C76">
        <f t="shared" si="119"/>
        <v>19318.072500000002</v>
      </c>
      <c r="D76">
        <f t="shared" si="119"/>
        <v>36.839628360000006</v>
      </c>
      <c r="E76">
        <f t="shared" si="119"/>
        <v>19354.912128360003</v>
      </c>
      <c r="G76">
        <f t="shared" si="119"/>
        <v>128.78715000000003</v>
      </c>
      <c r="H76">
        <f t="shared" si="119"/>
        <v>0.24559752240000005</v>
      </c>
      <c r="I76">
        <f t="shared" si="119"/>
        <v>0.12903274752240004</v>
      </c>
      <c r="L76">
        <f t="shared" si="66"/>
        <v>150</v>
      </c>
      <c r="M76">
        <f t="shared" si="66"/>
        <v>523.00147500000003</v>
      </c>
      <c r="N76">
        <f t="shared" si="66"/>
        <v>317.61672783999995</v>
      </c>
      <c r="O76">
        <f t="shared" si="66"/>
        <v>948.80307656249988</v>
      </c>
      <c r="P76">
        <f t="shared" si="78"/>
        <v>744.73985723664623</v>
      </c>
      <c r="Q76">
        <f t="shared" si="67"/>
        <v>7.5906445123077995E-2</v>
      </c>
      <c r="R76">
        <f t="shared" si="67"/>
        <v>32.131325537093588</v>
      </c>
      <c r="T76">
        <f t="shared" si="79"/>
        <v>2566.3683686213631</v>
      </c>
      <c r="V76">
        <f t="shared" si="80"/>
        <v>1.7109122457475753E-2</v>
      </c>
      <c r="Y76">
        <f t="shared" ref="Y76:AB76" si="120">Y36</f>
        <v>150</v>
      </c>
      <c r="Z76">
        <f t="shared" si="120"/>
        <v>371.42385679543332</v>
      </c>
      <c r="AA76">
        <f t="shared" si="120"/>
        <v>8.908818315822856</v>
      </c>
      <c r="AB76">
        <f t="shared" si="120"/>
        <v>948.80307656249988</v>
      </c>
      <c r="AC76">
        <f t="shared" si="82"/>
        <v>0</v>
      </c>
      <c r="AD76">
        <f t="shared" ref="AD76:AE76" si="121">AD36</f>
        <v>7.5906445123077995E-2</v>
      </c>
      <c r="AE76">
        <f t="shared" si="121"/>
        <v>127.97775410852215</v>
      </c>
      <c r="AG76">
        <f t="shared" si="84"/>
        <v>1457.1894122274014</v>
      </c>
      <c r="AI76">
        <f t="shared" si="85"/>
        <v>9.7145960815160082E-3</v>
      </c>
      <c r="AL76">
        <f t="shared" ref="AL76:AO76" si="122">AL36</f>
        <v>150</v>
      </c>
      <c r="AM76">
        <f t="shared" si="122"/>
        <v>244.58654826418331</v>
      </c>
      <c r="AN76">
        <f t="shared" si="122"/>
        <v>8.908818315822856</v>
      </c>
      <c r="AO76">
        <f t="shared" si="122"/>
        <v>948.80307656249988</v>
      </c>
      <c r="AP76">
        <f t="shared" si="87"/>
        <v>279.30167023087932</v>
      </c>
      <c r="AQ76">
        <f t="shared" ref="AQ76:AR76" si="123">AQ36</f>
        <v>7.5906445123077995E-2</v>
      </c>
      <c r="AR76">
        <f t="shared" si="123"/>
        <v>290.00632553709357</v>
      </c>
      <c r="AT76">
        <f t="shared" si="89"/>
        <v>1771.6823453556021</v>
      </c>
      <c r="AV76">
        <f t="shared" si="90"/>
        <v>1.1811215635704015E-2</v>
      </c>
      <c r="AY76">
        <v>150</v>
      </c>
      <c r="AZ76">
        <v>0.12903274752240004</v>
      </c>
      <c r="BA76">
        <v>1.7109122457475753E-2</v>
      </c>
      <c r="BB76">
        <v>9.7145960815160082E-3</v>
      </c>
      <c r="BC76">
        <v>1.1811215635704015E-2</v>
      </c>
      <c r="BK76">
        <f t="shared" ref="BK76:BL76" si="124">$BK$69*BF72</f>
        <v>10.789005504499748</v>
      </c>
      <c r="BL76">
        <f t="shared" si="124"/>
        <v>23.268383715227259</v>
      </c>
      <c r="BN76">
        <f t="shared" si="112"/>
        <v>17.028694609863503</v>
      </c>
      <c r="BQ76">
        <v>2.00114349E-2</v>
      </c>
    </row>
    <row r="77" spans="1:73" x14ac:dyDescent="0.2">
      <c r="B77">
        <f t="shared" ref="B77:I77" si="125">B37</f>
        <v>200</v>
      </c>
      <c r="C77">
        <f t="shared" si="125"/>
        <v>25757.43</v>
      </c>
      <c r="D77">
        <f t="shared" si="125"/>
        <v>51.282297088000007</v>
      </c>
      <c r="E77">
        <f t="shared" si="125"/>
        <v>25808.712297088001</v>
      </c>
      <c r="G77">
        <f t="shared" si="125"/>
        <v>128.78715</v>
      </c>
      <c r="H77">
        <f t="shared" si="125"/>
        <v>0.25641148544000003</v>
      </c>
      <c r="I77">
        <f t="shared" si="125"/>
        <v>0.12904356148543999</v>
      </c>
      <c r="L77">
        <f t="shared" si="66"/>
        <v>200</v>
      </c>
      <c r="M77">
        <f t="shared" si="66"/>
        <v>697.33530000000007</v>
      </c>
      <c r="N77">
        <f t="shared" si="66"/>
        <v>325.25825104</v>
      </c>
      <c r="O77">
        <f t="shared" si="66"/>
        <v>1265.0707687500001</v>
      </c>
      <c r="P77">
        <f t="shared" si="78"/>
        <v>812.44348062179552</v>
      </c>
      <c r="Q77">
        <f t="shared" si="67"/>
        <v>7.5906445123077995E-2</v>
      </c>
      <c r="R77">
        <f t="shared" si="67"/>
        <v>32.131325537093588</v>
      </c>
      <c r="T77">
        <f t="shared" si="79"/>
        <v>3132.3150323940126</v>
      </c>
      <c r="V77">
        <f t="shared" si="80"/>
        <v>1.5661575161970063E-2</v>
      </c>
      <c r="Y77">
        <f t="shared" ref="Y77:AB77" si="126">Y37</f>
        <v>200</v>
      </c>
      <c r="Z77">
        <f t="shared" si="126"/>
        <v>495.23180906057769</v>
      </c>
      <c r="AA77">
        <f t="shared" si="126"/>
        <v>10.507781735251431</v>
      </c>
      <c r="AB77">
        <f t="shared" si="126"/>
        <v>1265.0707687500001</v>
      </c>
      <c r="AC77">
        <f t="shared" si="82"/>
        <v>0</v>
      </c>
      <c r="AD77">
        <f t="shared" ref="AD77:AE77" si="127">AD37</f>
        <v>7.5906445123077995E-2</v>
      </c>
      <c r="AE77">
        <f t="shared" si="127"/>
        <v>170.86346839423646</v>
      </c>
      <c r="AG77">
        <f t="shared" si="84"/>
        <v>1941.7497343851887</v>
      </c>
      <c r="AI77">
        <f t="shared" si="85"/>
        <v>9.7087486719259434E-3</v>
      </c>
      <c r="AL77">
        <f t="shared" ref="AL77:AO77" si="128">AL37</f>
        <v>200</v>
      </c>
      <c r="AM77">
        <f t="shared" si="128"/>
        <v>326.1153976855777</v>
      </c>
      <c r="AN77">
        <f t="shared" si="128"/>
        <v>10.507781735251431</v>
      </c>
      <c r="AO77">
        <f t="shared" si="128"/>
        <v>1265.0707687500001</v>
      </c>
      <c r="AP77">
        <f t="shared" si="87"/>
        <v>279.30167023087932</v>
      </c>
      <c r="AQ77">
        <f t="shared" ref="AQ77:AR77" si="129">AQ37</f>
        <v>7.5906445123077995E-2</v>
      </c>
      <c r="AR77">
        <f t="shared" si="129"/>
        <v>398.14918267995074</v>
      </c>
      <c r="AT77">
        <f t="shared" si="89"/>
        <v>2279.2207075267825</v>
      </c>
      <c r="AV77">
        <f t="shared" si="90"/>
        <v>1.1396103537633913E-2</v>
      </c>
      <c r="AY77">
        <v>200</v>
      </c>
      <c r="AZ77">
        <v>0.12904356148543999</v>
      </c>
      <c r="BA77">
        <v>1.5661575161970063E-2</v>
      </c>
      <c r="BB77">
        <v>9.7087486719259434E-3</v>
      </c>
      <c r="BC77">
        <v>1.1396103537633913E-2</v>
      </c>
      <c r="BQ77">
        <v>2.0040195440000002E-2</v>
      </c>
    </row>
    <row r="78" spans="1:73" x14ac:dyDescent="0.2">
      <c r="B78">
        <f t="shared" ref="B78:I78" si="130">B38</f>
        <v>300</v>
      </c>
      <c r="C78">
        <f t="shared" si="130"/>
        <v>38636.145000000004</v>
      </c>
      <c r="D78">
        <f t="shared" si="130"/>
        <v>57.375121408000012</v>
      </c>
      <c r="E78">
        <f t="shared" si="130"/>
        <v>38693.520121408001</v>
      </c>
      <c r="G78">
        <f t="shared" si="130"/>
        <v>128.78715000000003</v>
      </c>
      <c r="H78">
        <f t="shared" si="130"/>
        <v>0.19125040469333338</v>
      </c>
      <c r="I78">
        <f t="shared" si="130"/>
        <v>0.12897840040469336</v>
      </c>
      <c r="L78">
        <f t="shared" si="66"/>
        <v>300</v>
      </c>
      <c r="M78">
        <f t="shared" si="66"/>
        <v>1046.0029500000001</v>
      </c>
      <c r="N78">
        <f t="shared" si="66"/>
        <v>340.54129743999999</v>
      </c>
      <c r="O78">
        <f t="shared" si="66"/>
        <v>1897.6061531249998</v>
      </c>
      <c r="P78">
        <f t="shared" si="78"/>
        <v>880.14710400694548</v>
      </c>
      <c r="Q78">
        <f t="shared" si="67"/>
        <v>7.5906445123077995E-2</v>
      </c>
      <c r="R78">
        <f t="shared" si="67"/>
        <v>32.131325537093588</v>
      </c>
      <c r="T78">
        <f t="shared" si="79"/>
        <v>4196.5047365541614</v>
      </c>
      <c r="V78">
        <f t="shared" si="80"/>
        <v>1.3988349121847203E-2</v>
      </c>
      <c r="Y78">
        <f t="shared" ref="Y78:AB78" si="131">Y38</f>
        <v>300</v>
      </c>
      <c r="Z78">
        <f t="shared" si="131"/>
        <v>742.84771359086665</v>
      </c>
      <c r="AA78">
        <f t="shared" si="131"/>
        <v>12.106745154680002</v>
      </c>
      <c r="AB78">
        <f t="shared" si="131"/>
        <v>1897.6061531249998</v>
      </c>
      <c r="AC78">
        <f t="shared" si="82"/>
        <v>0</v>
      </c>
      <c r="AD78">
        <f t="shared" ref="AD78:AE78" si="132">AD38</f>
        <v>7.5906445123077995E-2</v>
      </c>
      <c r="AE78">
        <f t="shared" si="132"/>
        <v>255.87775410852217</v>
      </c>
      <c r="AG78">
        <f t="shared" si="84"/>
        <v>2908.5142724241919</v>
      </c>
      <c r="AI78">
        <f t="shared" si="85"/>
        <v>9.6950475747473071E-3</v>
      </c>
      <c r="AL78">
        <f t="shared" ref="AL78:AO78" si="133">AL38</f>
        <v>300</v>
      </c>
      <c r="AM78">
        <f t="shared" si="133"/>
        <v>489.17309652836661</v>
      </c>
      <c r="AN78">
        <f t="shared" si="133"/>
        <v>12.106745154680002</v>
      </c>
      <c r="AO78">
        <f t="shared" si="133"/>
        <v>1897.6061531249998</v>
      </c>
      <c r="AP78">
        <f t="shared" si="87"/>
        <v>418.95250534631896</v>
      </c>
      <c r="AQ78">
        <f t="shared" ref="AQ78:AR78" si="134">AQ38</f>
        <v>7.5906445123077995E-2</v>
      </c>
      <c r="AR78">
        <f t="shared" si="134"/>
        <v>581.29203982280796</v>
      </c>
      <c r="AT78">
        <f t="shared" si="89"/>
        <v>3399.2064464222963</v>
      </c>
      <c r="AV78">
        <f t="shared" si="90"/>
        <v>1.1330688154740988E-2</v>
      </c>
      <c r="AY78">
        <v>300</v>
      </c>
      <c r="AZ78">
        <v>0.12897840040469336</v>
      </c>
      <c r="BA78">
        <v>1.3988349121847203E-2</v>
      </c>
      <c r="BB78">
        <v>9.6950475747473071E-3</v>
      </c>
      <c r="BC78">
        <v>1.1330688154740988E-2</v>
      </c>
      <c r="BQ78">
        <v>1.9866894693333335E-2</v>
      </c>
    </row>
    <row r="79" spans="1:73" x14ac:dyDescent="0.2">
      <c r="B79">
        <f t="shared" ref="B79:I79" si="135">B39</f>
        <v>400</v>
      </c>
      <c r="C79">
        <f t="shared" si="135"/>
        <v>51514.86</v>
      </c>
      <c r="D79">
        <f t="shared" si="135"/>
        <v>126.93589145600004</v>
      </c>
      <c r="E79">
        <f t="shared" si="135"/>
        <v>51641.795891456</v>
      </c>
      <c r="G79">
        <f t="shared" si="135"/>
        <v>128.78715</v>
      </c>
      <c r="H79">
        <f t="shared" si="135"/>
        <v>0.3173397286400001</v>
      </c>
      <c r="I79">
        <f t="shared" si="135"/>
        <v>0.12910448972864</v>
      </c>
      <c r="L79">
        <f t="shared" si="66"/>
        <v>400</v>
      </c>
      <c r="M79">
        <f t="shared" si="66"/>
        <v>1394.6706000000001</v>
      </c>
      <c r="N79">
        <f t="shared" si="66"/>
        <v>221.00141471999999</v>
      </c>
      <c r="O79">
        <f t="shared" si="66"/>
        <v>2530.1415375000001</v>
      </c>
      <c r="P79">
        <f t="shared" si="78"/>
        <v>1083.2579741623942</v>
      </c>
      <c r="Q79">
        <f t="shared" si="67"/>
        <v>7.5906445123077995E-2</v>
      </c>
      <c r="R79">
        <f t="shared" si="67"/>
        <v>32.131325537093588</v>
      </c>
      <c r="T79">
        <f t="shared" si="79"/>
        <v>5261.2787583646104</v>
      </c>
      <c r="V79">
        <f t="shared" si="80"/>
        <v>1.3153196895911526E-2</v>
      </c>
      <c r="Y79">
        <f t="shared" ref="Y79:AB79" si="136">Y39</f>
        <v>400</v>
      </c>
      <c r="Z79">
        <f t="shared" si="136"/>
        <v>990.46361812115538</v>
      </c>
      <c r="AA79">
        <f t="shared" si="136"/>
        <v>15.304671993537143</v>
      </c>
      <c r="AB79">
        <f t="shared" si="136"/>
        <v>2530.1415375000001</v>
      </c>
      <c r="AC79">
        <f t="shared" si="82"/>
        <v>0</v>
      </c>
      <c r="AD79">
        <f t="shared" ref="AD79:AE79" si="137">AD39</f>
        <v>7.5906445123077995E-2</v>
      </c>
      <c r="AE79">
        <f t="shared" si="137"/>
        <v>340.93489696566502</v>
      </c>
      <c r="AG79">
        <f t="shared" si="84"/>
        <v>3876.9206310254804</v>
      </c>
      <c r="AI79">
        <f t="shared" si="85"/>
        <v>9.6923015775637004E-3</v>
      </c>
      <c r="AL79">
        <f t="shared" ref="AL79:AO79" si="138">AL39</f>
        <v>400</v>
      </c>
      <c r="AM79">
        <f t="shared" si="138"/>
        <v>652.23079537115541</v>
      </c>
      <c r="AN79">
        <f t="shared" si="138"/>
        <v>15.304671993537143</v>
      </c>
      <c r="AO79">
        <f t="shared" si="138"/>
        <v>2530.1415375000001</v>
      </c>
      <c r="AP79">
        <f t="shared" si="87"/>
        <v>418.95250534631896</v>
      </c>
      <c r="AQ79">
        <f t="shared" ref="AQ79:AR79" si="139">AQ39</f>
        <v>7.5906445123077995E-2</v>
      </c>
      <c r="AR79">
        <f t="shared" si="139"/>
        <v>795.7206112513793</v>
      </c>
      <c r="AT79">
        <f t="shared" si="89"/>
        <v>4412.4260279075143</v>
      </c>
      <c r="AV79">
        <f t="shared" si="90"/>
        <v>1.1031065069768786E-2</v>
      </c>
      <c r="AY79">
        <v>400</v>
      </c>
      <c r="AZ79">
        <v>0.12910448972864</v>
      </c>
      <c r="BA79">
        <v>1.3153196895911526E-2</v>
      </c>
      <c r="BB79">
        <v>9.6923015775637004E-3</v>
      </c>
      <c r="BC79">
        <v>1.1031065069768786E-2</v>
      </c>
      <c r="BQ79">
        <v>2.0202238640000002E-2</v>
      </c>
    </row>
    <row r="80" spans="1:73" x14ac:dyDescent="0.2">
      <c r="B80">
        <f t="shared" ref="B80:I80" si="140">B40</f>
        <v>500</v>
      </c>
      <c r="C80">
        <f t="shared" si="140"/>
        <v>64393.575000000004</v>
      </c>
      <c r="D80">
        <f t="shared" si="140"/>
        <v>139.12154009599999</v>
      </c>
      <c r="E80">
        <f t="shared" si="140"/>
        <v>64532.696540096003</v>
      </c>
      <c r="G80">
        <f t="shared" si="140"/>
        <v>128.78715</v>
      </c>
      <c r="H80">
        <f t="shared" si="140"/>
        <v>0.278243080192</v>
      </c>
      <c r="I80">
        <f t="shared" si="140"/>
        <v>0.12906539308019199</v>
      </c>
      <c r="L80">
        <f t="shared" si="66"/>
        <v>500</v>
      </c>
      <c r="M80">
        <f t="shared" si="66"/>
        <v>1743.33825</v>
      </c>
      <c r="N80">
        <f t="shared" si="66"/>
        <v>227.34709151999999</v>
      </c>
      <c r="O80">
        <f t="shared" si="66"/>
        <v>3162.6769218750001</v>
      </c>
      <c r="P80">
        <f t="shared" si="78"/>
        <v>1489.4797144732925</v>
      </c>
      <c r="Q80">
        <f t="shared" si="67"/>
        <v>7.5906445123077995E-2</v>
      </c>
      <c r="R80">
        <f t="shared" si="67"/>
        <v>32.131325537093588</v>
      </c>
      <c r="T80">
        <f t="shared" si="79"/>
        <v>6655.0492098505092</v>
      </c>
      <c r="V80">
        <f t="shared" si="80"/>
        <v>1.3310098419701018E-2</v>
      </c>
      <c r="Y80">
        <f t="shared" ref="Y80:AB80" si="141">Y40</f>
        <v>500</v>
      </c>
      <c r="Z80">
        <f t="shared" si="141"/>
        <v>1238.0795226514442</v>
      </c>
      <c r="AA80">
        <f t="shared" si="141"/>
        <v>18.502598832394291</v>
      </c>
      <c r="AB80">
        <f t="shared" si="141"/>
        <v>3162.6769218750001</v>
      </c>
      <c r="AC80">
        <f t="shared" si="82"/>
        <v>0</v>
      </c>
      <c r="AD80">
        <f t="shared" ref="AD80:AE80" si="142">AD40</f>
        <v>7.5906445123077995E-2</v>
      </c>
      <c r="AE80">
        <f t="shared" si="142"/>
        <v>424.86346839423641</v>
      </c>
      <c r="AG80">
        <f t="shared" si="84"/>
        <v>4844.1984181981979</v>
      </c>
      <c r="AI80">
        <f t="shared" si="85"/>
        <v>9.6883968363963967E-3</v>
      </c>
      <c r="AL80">
        <f t="shared" ref="AL80:AO80" si="143">AL40</f>
        <v>500</v>
      </c>
      <c r="AM80">
        <f t="shared" si="143"/>
        <v>815.28849421394432</v>
      </c>
      <c r="AN80">
        <f t="shared" si="143"/>
        <v>18.502598832394291</v>
      </c>
      <c r="AO80">
        <f t="shared" si="143"/>
        <v>3162.6769218750001</v>
      </c>
      <c r="AP80">
        <f t="shared" si="87"/>
        <v>418.95250534631896</v>
      </c>
      <c r="AQ80">
        <f t="shared" ref="AQ80:AR80" si="144">AQ40</f>
        <v>7.5906445123077995E-2</v>
      </c>
      <c r="AR80">
        <f t="shared" si="144"/>
        <v>979.00632553709363</v>
      </c>
      <c r="AT80">
        <f t="shared" si="89"/>
        <v>5394.502752249874</v>
      </c>
      <c r="AV80">
        <f t="shared" si="90"/>
        <v>1.0789005504499748E-2</v>
      </c>
      <c r="AY80">
        <v>500</v>
      </c>
      <c r="AZ80">
        <v>0.12906539308019199</v>
      </c>
      <c r="BA80">
        <v>1.3310098419701018E-2</v>
      </c>
      <c r="BB80">
        <v>9.6883968363963967E-3</v>
      </c>
      <c r="BC80">
        <v>1.0789005504499748E-2</v>
      </c>
      <c r="BQ80">
        <v>2.0098258192000003E-2</v>
      </c>
    </row>
    <row r="81" spans="1:79" x14ac:dyDescent="0.2">
      <c r="B81">
        <f t="shared" ref="B81:I81" si="145">B41</f>
        <v>600</v>
      </c>
      <c r="C81">
        <f t="shared" si="145"/>
        <v>77272.290000000008</v>
      </c>
      <c r="D81">
        <f t="shared" si="145"/>
        <v>151.30718873600006</v>
      </c>
      <c r="E81">
        <f t="shared" si="145"/>
        <v>77423.597188736007</v>
      </c>
      <c r="G81">
        <f t="shared" si="145"/>
        <v>128.78715000000003</v>
      </c>
      <c r="H81">
        <f t="shared" si="145"/>
        <v>0.25217864789333344</v>
      </c>
      <c r="I81">
        <f t="shared" si="145"/>
        <v>0.12903932864789336</v>
      </c>
      <c r="L81">
        <f t="shared" si="66"/>
        <v>600</v>
      </c>
      <c r="M81">
        <f t="shared" si="66"/>
        <v>2092.0059000000001</v>
      </c>
      <c r="N81">
        <f t="shared" si="66"/>
        <v>234.75038111999999</v>
      </c>
      <c r="O81">
        <f t="shared" si="66"/>
        <v>3795.2123062499995</v>
      </c>
      <c r="P81">
        <f t="shared" si="78"/>
        <v>1760.294208013891</v>
      </c>
      <c r="Q81">
        <f t="shared" si="67"/>
        <v>7.5906445123077995E-2</v>
      </c>
      <c r="R81">
        <f t="shared" si="67"/>
        <v>32.131325537093588</v>
      </c>
      <c r="T81">
        <f t="shared" si="79"/>
        <v>7914.4700273661074</v>
      </c>
      <c r="V81">
        <f t="shared" si="80"/>
        <v>1.3190783378943513E-2</v>
      </c>
      <c r="Y81">
        <f t="shared" ref="Y81:AB81" si="146">Y41</f>
        <v>600</v>
      </c>
      <c r="Z81">
        <f t="shared" si="146"/>
        <v>1485.6954271817333</v>
      </c>
      <c r="AA81">
        <f t="shared" si="146"/>
        <v>21.700525671251434</v>
      </c>
      <c r="AB81">
        <f t="shared" si="146"/>
        <v>3795.2123062499995</v>
      </c>
      <c r="AC81">
        <f t="shared" si="82"/>
        <v>0</v>
      </c>
      <c r="AD81">
        <f t="shared" ref="AD81:AE81" si="147">AD41</f>
        <v>7.5906445123077995E-2</v>
      </c>
      <c r="AE81">
        <f t="shared" si="147"/>
        <v>510.7206112513793</v>
      </c>
      <c r="AG81">
        <f t="shared" si="84"/>
        <v>5813.4047767994871</v>
      </c>
      <c r="AI81">
        <f t="shared" si="85"/>
        <v>9.6890079613324784E-3</v>
      </c>
      <c r="AL81">
        <f t="shared" ref="AL81:AO81" si="148">AL41</f>
        <v>600</v>
      </c>
      <c r="AM81">
        <f t="shared" si="148"/>
        <v>978.34619305673323</v>
      </c>
      <c r="AN81">
        <f t="shared" si="148"/>
        <v>21.700525671251434</v>
      </c>
      <c r="AO81">
        <f t="shared" si="148"/>
        <v>3795.2123062499995</v>
      </c>
      <c r="AP81">
        <f t="shared" si="87"/>
        <v>768.07959313491824</v>
      </c>
      <c r="AQ81">
        <f t="shared" ref="AQ81:AR81" si="149">AQ41</f>
        <v>7.5906445123077995E-2</v>
      </c>
      <c r="AR81">
        <f t="shared" si="149"/>
        <v>1162.4348969656648</v>
      </c>
      <c r="AT81">
        <f t="shared" si="89"/>
        <v>6725.8494215236906</v>
      </c>
      <c r="AV81">
        <f t="shared" si="90"/>
        <v>1.1209749035872818E-2</v>
      </c>
      <c r="AY81">
        <v>600</v>
      </c>
      <c r="AZ81">
        <v>0.12903932864789336</v>
      </c>
      <c r="BA81">
        <v>1.3190783378943513E-2</v>
      </c>
      <c r="BB81">
        <v>9.6890079613324784E-3</v>
      </c>
      <c r="BC81">
        <v>1.1209749035872818E-2</v>
      </c>
      <c r="BQ81">
        <v>2.0028937893333335E-2</v>
      </c>
    </row>
    <row r="82" spans="1:79" x14ac:dyDescent="0.2">
      <c r="B82">
        <f t="shared" ref="B82:I82" si="150">B42</f>
        <v>800</v>
      </c>
      <c r="C82">
        <f t="shared" si="150"/>
        <v>103029.72</v>
      </c>
      <c r="D82">
        <f t="shared" si="150"/>
        <v>263.517729024</v>
      </c>
      <c r="E82">
        <f t="shared" si="150"/>
        <v>103293.237729024</v>
      </c>
      <c r="G82">
        <f t="shared" si="150"/>
        <v>128.78715</v>
      </c>
      <c r="H82">
        <f t="shared" si="150"/>
        <v>0.32939716128000002</v>
      </c>
      <c r="I82">
        <f t="shared" si="150"/>
        <v>0.12911654716128002</v>
      </c>
      <c r="L82">
        <f t="shared" si="66"/>
        <v>800</v>
      </c>
      <c r="M82">
        <f t="shared" si="66"/>
        <v>2789.3412000000003</v>
      </c>
      <c r="N82">
        <f t="shared" si="66"/>
        <v>247.44173472000003</v>
      </c>
      <c r="O82">
        <f t="shared" si="66"/>
        <v>5060.2830750000003</v>
      </c>
      <c r="P82">
        <f>(P42/$S$48)*$S$50</f>
        <v>2166.5159483247885</v>
      </c>
      <c r="Q82">
        <f t="shared" si="67"/>
        <v>7.5906445123077995E-2</v>
      </c>
      <c r="R82">
        <f t="shared" si="67"/>
        <v>32.131325537093588</v>
      </c>
      <c r="T82">
        <f t="shared" si="79"/>
        <v>10295.789190027006</v>
      </c>
      <c r="V82">
        <f t="shared" si="80"/>
        <v>1.2869736487533758E-2</v>
      </c>
      <c r="Y82">
        <f t="shared" ref="Y82:AB82" si="151">Y42</f>
        <v>800</v>
      </c>
      <c r="Z82">
        <f t="shared" si="151"/>
        <v>1980.9272362423108</v>
      </c>
      <c r="AA82">
        <f t="shared" si="151"/>
        <v>28.096379348965716</v>
      </c>
      <c r="AB82">
        <f t="shared" si="151"/>
        <v>5060.2830750000003</v>
      </c>
      <c r="AC82">
        <f t="shared" si="82"/>
        <v>0</v>
      </c>
      <c r="AD82">
        <f t="shared" ref="AD82:AE82" si="152">AD42</f>
        <v>7.5906445123077995E-2</v>
      </c>
      <c r="AE82">
        <f t="shared" si="152"/>
        <v>597.29203982280796</v>
      </c>
      <c r="AG82">
        <f t="shared" si="84"/>
        <v>7666.6746368592076</v>
      </c>
      <c r="AI82">
        <f t="shared" si="85"/>
        <v>9.5833432960740084E-3</v>
      </c>
      <c r="AL82">
        <f t="shared" ref="AL82:AO82" si="153">AL42</f>
        <v>800</v>
      </c>
      <c r="AM82">
        <f t="shared" si="153"/>
        <v>1304.4615907423108</v>
      </c>
      <c r="AN82">
        <f t="shared" si="153"/>
        <v>28.096379348965716</v>
      </c>
      <c r="AO82">
        <f t="shared" si="153"/>
        <v>5060.2830750000003</v>
      </c>
      <c r="AP82">
        <f t="shared" si="87"/>
        <v>1536.1591862698365</v>
      </c>
      <c r="AQ82">
        <f t="shared" ref="AQ82:AR82" si="154">AQ42</f>
        <v>7.5906445123077995E-2</v>
      </c>
      <c r="AR82">
        <f t="shared" si="154"/>
        <v>1380.8634683942364</v>
      </c>
      <c r="AT82">
        <f t="shared" si="89"/>
        <v>9309.9396062004726</v>
      </c>
      <c r="AV82">
        <f t="shared" si="90"/>
        <v>1.1637424507750592E-2</v>
      </c>
      <c r="AY82">
        <v>800</v>
      </c>
      <c r="AZ82">
        <v>0.12911654716128002</v>
      </c>
      <c r="BA82">
        <v>1.2869736487533758E-2</v>
      </c>
      <c r="BB82">
        <v>9.5833432960740084E-3</v>
      </c>
      <c r="BC82">
        <v>1.1637424507750592E-2</v>
      </c>
      <c r="BQ82">
        <v>2.0234306280000003E-2</v>
      </c>
    </row>
    <row r="83" spans="1:79" x14ac:dyDescent="0.2">
      <c r="B83">
        <f t="shared" ref="B83:I83" si="155">B43</f>
        <v>1000</v>
      </c>
      <c r="C83">
        <f t="shared" si="155"/>
        <v>128787.15000000001</v>
      </c>
      <c r="D83">
        <f t="shared" si="155"/>
        <v>400.09956659200003</v>
      </c>
      <c r="E83">
        <f t="shared" si="155"/>
        <v>129187.24956659201</v>
      </c>
      <c r="G83">
        <f t="shared" si="155"/>
        <v>128.78715</v>
      </c>
      <c r="H83">
        <f t="shared" si="155"/>
        <v>0.40009956659200002</v>
      </c>
      <c r="I83">
        <f t="shared" si="155"/>
        <v>0.129187249566592</v>
      </c>
      <c r="L83">
        <f t="shared" si="66"/>
        <v>1000</v>
      </c>
      <c r="M83">
        <f t="shared" si="66"/>
        <v>3486.6765</v>
      </c>
      <c r="N83">
        <f t="shared" si="66"/>
        <v>262.24831391999999</v>
      </c>
      <c r="O83">
        <f t="shared" si="66"/>
        <v>6325.3538437500001</v>
      </c>
      <c r="P83">
        <f t="shared" si="78"/>
        <v>2978.9594289465849</v>
      </c>
      <c r="Q83">
        <f t="shared" si="67"/>
        <v>7.5906445123077995E-2</v>
      </c>
      <c r="R83">
        <f t="shared" si="67"/>
        <v>32.131325537093588</v>
      </c>
      <c r="T83">
        <f t="shared" si="79"/>
        <v>13085.4453185988</v>
      </c>
      <c r="V83">
        <f t="shared" si="80"/>
        <v>1.3085445318598801E-2</v>
      </c>
      <c r="Y83">
        <f t="shared" ref="Y83:AB83" si="156">Y43</f>
        <v>1000</v>
      </c>
      <c r="Z83">
        <f t="shared" si="156"/>
        <v>2476.1590453028884</v>
      </c>
      <c r="AA83">
        <f t="shared" si="156"/>
        <v>34.492233026679997</v>
      </c>
      <c r="AB83">
        <f t="shared" si="156"/>
        <v>6325.3538437500001</v>
      </c>
      <c r="AC83">
        <f t="shared" si="82"/>
        <v>0</v>
      </c>
      <c r="AD83">
        <f t="shared" ref="AD83:AE83" si="157">AD43</f>
        <v>7.5906445123077995E-2</v>
      </c>
      <c r="AE83">
        <f t="shared" si="157"/>
        <v>687.14918267995074</v>
      </c>
      <c r="AG83">
        <f t="shared" si="84"/>
        <v>9523.2302112046418</v>
      </c>
      <c r="AI83">
        <f t="shared" si="85"/>
        <v>9.5232302112046412E-3</v>
      </c>
      <c r="AL83">
        <f t="shared" ref="AL83:AO83" si="158">AL43</f>
        <v>1000</v>
      </c>
      <c r="AM83">
        <f t="shared" si="158"/>
        <v>1630.5769884278886</v>
      </c>
      <c r="AN83">
        <f t="shared" si="158"/>
        <v>34.492233026679997</v>
      </c>
      <c r="AO83">
        <f t="shared" si="158"/>
        <v>6325.3538437500001</v>
      </c>
      <c r="AP83">
        <f t="shared" si="87"/>
        <v>1536.1591862698365</v>
      </c>
      <c r="AQ83">
        <f t="shared" ref="AQ83:AR83" si="159">AQ43</f>
        <v>7.5906445123077995E-2</v>
      </c>
      <c r="AR83">
        <f t="shared" si="159"/>
        <v>1560.0063255370935</v>
      </c>
      <c r="AT83">
        <f t="shared" si="89"/>
        <v>11086.664483456621</v>
      </c>
      <c r="AV83">
        <f t="shared" si="90"/>
        <v>1.1086664483456622E-2</v>
      </c>
      <c r="AY83">
        <v>1000</v>
      </c>
      <c r="AZ83">
        <v>0.129187249566592</v>
      </c>
      <c r="BA83">
        <v>1.3085445318598801E-2</v>
      </c>
      <c r="BB83">
        <v>9.5232302112046412E-3</v>
      </c>
      <c r="BC83">
        <v>1.1086664483456622E-2</v>
      </c>
      <c r="BQ83">
        <v>2.0422344592000003E-2</v>
      </c>
      <c r="BS83">
        <f>BQ83*BK69</f>
        <v>20.422344592000002</v>
      </c>
      <c r="BU83">
        <f>BK73-BS83</f>
        <v>108.55605581269336</v>
      </c>
    </row>
    <row r="85" spans="1:79" x14ac:dyDescent="0.2">
      <c r="BK85">
        <v>7.4232302112046407</v>
      </c>
      <c r="BL85">
        <v>8.9834687635322634</v>
      </c>
      <c r="BN85">
        <f>AVERAGE(BK85:BL85)</f>
        <v>8.2033494873684525</v>
      </c>
      <c r="BO85">
        <f>BN75-BN85</f>
        <v>2.0822549962657497</v>
      </c>
    </row>
    <row r="86" spans="1:79" ht="15" thickBot="1" x14ac:dyDescent="0.25">
      <c r="BB86">
        <f>BB69-(2.1/1000)</f>
        <v>8.9834687635322631E-3</v>
      </c>
      <c r="BC86">
        <f>BC69-(2.1/1000)</f>
        <v>1.4763411760120453E-2</v>
      </c>
      <c r="BF86">
        <f>BB86*1000</f>
        <v>8.9834687635322634</v>
      </c>
      <c r="BG86">
        <f>BC86*1000</f>
        <v>14.763411760120453</v>
      </c>
      <c r="BK86">
        <v>8.9866644834566198</v>
      </c>
      <c r="BL86">
        <v>21.168383715227257</v>
      </c>
      <c r="BN86">
        <f t="shared" ref="BN86" si="160">AVERAGE(BK86:BL86)</f>
        <v>15.077524099341939</v>
      </c>
      <c r="BO86">
        <f>BN76-BN86</f>
        <v>1.951170510521564</v>
      </c>
    </row>
    <row r="87" spans="1:79" s="34" customFormat="1" ht="15" thickBot="1" x14ac:dyDescent="0.25">
      <c r="A87" s="70" t="s">
        <v>715</v>
      </c>
      <c r="J87" s="36"/>
      <c r="W87" s="36"/>
      <c r="AJ87" s="36"/>
      <c r="AW87" s="36"/>
    </row>
    <row r="89" spans="1:79" x14ac:dyDescent="0.2">
      <c r="B89" t="str">
        <f t="shared" ref="B89:B104" si="161">B28</f>
        <v>PE</v>
      </c>
      <c r="L89" t="str">
        <f t="shared" ref="L89:R89" si="162">L28</f>
        <v>PE</v>
      </c>
      <c r="M89" t="str">
        <f t="shared" si="162"/>
        <v>Process</v>
      </c>
      <c r="N89" t="str">
        <f t="shared" si="162"/>
        <v>Tankering</v>
      </c>
      <c r="O89" t="str">
        <f t="shared" si="162"/>
        <v>Discharge to Surface Waters</v>
      </c>
      <c r="P89" t="str">
        <f t="shared" si="162"/>
        <v>Electrical</v>
      </c>
      <c r="Q89" t="str">
        <f t="shared" si="162"/>
        <v>Site Visits</v>
      </c>
      <c r="R89" t="str">
        <f t="shared" si="162"/>
        <v>Maintanence</v>
      </c>
      <c r="T89" t="str">
        <f>T28</f>
        <v>Overall</v>
      </c>
      <c r="V89" t="str">
        <f>V28</f>
        <v>tCo2eq PE-1 yr-1</v>
      </c>
      <c r="Y89" t="str">
        <f t="shared" ref="Y89:AE98" si="163">Y28</f>
        <v>PE</v>
      </c>
      <c r="Z89" t="str">
        <f t="shared" si="163"/>
        <v>Process</v>
      </c>
      <c r="AA89" t="str">
        <f t="shared" si="163"/>
        <v>Tankering</v>
      </c>
      <c r="AB89" t="str">
        <f t="shared" si="163"/>
        <v>Discharge to Surface Waters</v>
      </c>
      <c r="AC89" t="str">
        <f t="shared" si="163"/>
        <v>Electrical</v>
      </c>
      <c r="AD89" t="str">
        <f t="shared" si="163"/>
        <v>Site Visits</v>
      </c>
      <c r="AE89" t="str">
        <f t="shared" si="163"/>
        <v>Maintanence</v>
      </c>
      <c r="AG89" t="str">
        <f>AG28</f>
        <v>Overall</v>
      </c>
      <c r="AI89" t="str">
        <f>AI28</f>
        <v>tCo2eq PE-1 yr-1</v>
      </c>
      <c r="AJ89" s="10">
        <f>AJ28</f>
        <v>0</v>
      </c>
      <c r="AL89" t="str">
        <f t="shared" ref="AL89:AR89" si="164">AL28</f>
        <v>PE</v>
      </c>
      <c r="AM89" t="str">
        <f t="shared" si="164"/>
        <v>Process</v>
      </c>
      <c r="AN89" t="str">
        <f t="shared" si="164"/>
        <v>Tankering</v>
      </c>
      <c r="AO89" t="str">
        <f t="shared" si="164"/>
        <v>Discharge to Surface Waters</v>
      </c>
      <c r="AP89" t="str">
        <f t="shared" si="164"/>
        <v>Electrical</v>
      </c>
      <c r="AQ89" t="str">
        <f t="shared" si="164"/>
        <v>Site Visits</v>
      </c>
      <c r="AR89" t="str">
        <f t="shared" si="164"/>
        <v>Maintanence</v>
      </c>
      <c r="AT89" t="str">
        <f>AT28</f>
        <v>Overall</v>
      </c>
      <c r="AV89" t="str">
        <f>AV28</f>
        <v>tCo2eq PE-1 yr-1</v>
      </c>
      <c r="AY89" t="str">
        <f t="shared" ref="AY89:AZ104" si="165">AY28</f>
        <v>STS 2021</v>
      </c>
      <c r="AZ89" t="str">
        <f t="shared" si="165"/>
        <v>STS 2030</v>
      </c>
      <c r="BB89" t="str">
        <f t="shared" ref="BB89:BC104" si="166">BB28</f>
        <v>SAF 2021</v>
      </c>
      <c r="BC89" t="str">
        <f t="shared" si="166"/>
        <v>SAF 2030</v>
      </c>
      <c r="BE89" t="str">
        <f t="shared" ref="BE89:BF104" si="167">BE28</f>
        <v>ABR-VF 2021</v>
      </c>
      <c r="BF89" t="str">
        <f t="shared" si="167"/>
        <v>ABR-VF 2030</v>
      </c>
      <c r="BH89" t="str">
        <f t="shared" ref="BH89:BI104" si="168">BH28</f>
        <v>ABR-AHF 2021</v>
      </c>
      <c r="BI89" t="str">
        <f t="shared" si="168"/>
        <v>ABR-AHF 2030</v>
      </c>
      <c r="BL89" t="str">
        <f t="shared" ref="BL89:BS98" si="169">BL28</f>
        <v>STS 2021</v>
      </c>
      <c r="BM89" t="str">
        <f t="shared" si="169"/>
        <v>SAF 2021</v>
      </c>
      <c r="BN89" t="str">
        <f t="shared" si="169"/>
        <v>ABR-VF 2021</v>
      </c>
      <c r="BO89" t="str">
        <f t="shared" si="169"/>
        <v>ABR-AHF 2021</v>
      </c>
      <c r="BP89" t="str">
        <f t="shared" si="169"/>
        <v>STS 2030</v>
      </c>
      <c r="BQ89" t="str">
        <f t="shared" si="169"/>
        <v>SAF 2030</v>
      </c>
      <c r="BR89" t="str">
        <f t="shared" si="169"/>
        <v>ABR-VF 2030</v>
      </c>
      <c r="BS89" t="str">
        <f t="shared" si="169"/>
        <v>ABR-AHF 2030</v>
      </c>
      <c r="BV89" t="str">
        <f t="shared" ref="BV89:CA98" si="170">BV28</f>
        <v>SAF 2021</v>
      </c>
      <c r="BW89" t="str">
        <f t="shared" si="170"/>
        <v>SAF 2030</v>
      </c>
      <c r="BX89" t="str">
        <f t="shared" si="170"/>
        <v>ABR-VF 2021</v>
      </c>
      <c r="BY89" t="str">
        <f t="shared" si="170"/>
        <v>ABR-VF 2030</v>
      </c>
      <c r="BZ89" t="str">
        <f t="shared" si="170"/>
        <v>ABR-AHF 2021</v>
      </c>
      <c r="CA89" t="str">
        <f t="shared" si="170"/>
        <v>ABR-AHF 2030</v>
      </c>
    </row>
    <row r="90" spans="1:79" x14ac:dyDescent="0.2">
      <c r="B90">
        <f t="shared" si="161"/>
        <v>5</v>
      </c>
      <c r="C90">
        <f t="shared" ref="C90:E104" si="171">C29</f>
        <v>643.93574999999998</v>
      </c>
      <c r="D90">
        <f t="shared" si="171"/>
        <v>39.565180355999999</v>
      </c>
      <c r="E90">
        <f t="shared" si="171"/>
        <v>683.50093035600003</v>
      </c>
      <c r="G90">
        <f t="shared" ref="G90:I104" si="172">G29</f>
        <v>128.78715</v>
      </c>
      <c r="H90">
        <f t="shared" si="172"/>
        <v>7.9130360711999996</v>
      </c>
      <c r="I90">
        <f t="shared" si="172"/>
        <v>0.13670018607119999</v>
      </c>
      <c r="L90">
        <f t="shared" ref="L90:O104" si="173">L29</f>
        <v>5</v>
      </c>
      <c r="M90">
        <f t="shared" si="173"/>
        <v>17.4333825</v>
      </c>
      <c r="N90">
        <f t="shared" si="173"/>
        <v>25.349638827199996</v>
      </c>
      <c r="O90">
        <f t="shared" si="173"/>
        <v>31.626769218749999</v>
      </c>
      <c r="P90">
        <v>0</v>
      </c>
      <c r="Q90">
        <f t="shared" ref="Q90:R104" si="174">Q29</f>
        <v>7.5906445123077995E-2</v>
      </c>
      <c r="R90">
        <f t="shared" si="174"/>
        <v>4.2688255370935897</v>
      </c>
      <c r="T90">
        <f t="shared" ref="T90:T104" si="175">SUM(M90:R90)</f>
        <v>78.75452252816666</v>
      </c>
      <c r="V90">
        <f t="shared" ref="V90:V104" si="176">(T90/L90)/1000</f>
        <v>1.5750904505633333E-2</v>
      </c>
      <c r="Y90">
        <f t="shared" si="163"/>
        <v>5</v>
      </c>
      <c r="Z90">
        <f t="shared" si="163"/>
        <v>12.380795226514442</v>
      </c>
      <c r="AA90">
        <f t="shared" si="163"/>
        <v>8.1146902473230647</v>
      </c>
      <c r="AB90">
        <f t="shared" si="163"/>
        <v>31.626769218749999</v>
      </c>
      <c r="AC90">
        <f t="shared" si="163"/>
        <v>0</v>
      </c>
      <c r="AD90">
        <f t="shared" si="163"/>
        <v>7.5906445123077995E-2</v>
      </c>
      <c r="AE90">
        <f t="shared" si="163"/>
        <v>3.219182679950733</v>
      </c>
      <c r="AG90">
        <f t="shared" ref="AG90:AG104" si="177">SUM(Z90:AE90)</f>
        <v>55.417343817661319</v>
      </c>
      <c r="AI90">
        <f t="shared" ref="AI90:AI104" si="178">(AG90/Y90)/1000</f>
        <v>1.1083468763532263E-2</v>
      </c>
      <c r="AJ90" s="10">
        <f t="shared" ref="AJ90:AJ104" si="179">AJ29</f>
        <v>11.083468763532263</v>
      </c>
      <c r="AL90">
        <f t="shared" ref="AL90:AO104" si="180">AL29</f>
        <v>5</v>
      </c>
      <c r="AM90">
        <f t="shared" si="180"/>
        <v>8.1528849421394458</v>
      </c>
      <c r="AN90">
        <f t="shared" si="180"/>
        <v>8.1146902473230647</v>
      </c>
      <c r="AO90">
        <f t="shared" si="180"/>
        <v>31.626769218749999</v>
      </c>
      <c r="AP90">
        <v>0</v>
      </c>
      <c r="AQ90">
        <f t="shared" ref="AQ90:AR104" si="181">AQ29</f>
        <v>7.5906445123077995E-2</v>
      </c>
      <c r="AR90">
        <f t="shared" si="181"/>
        <v>15.399182679950732</v>
      </c>
      <c r="AT90">
        <f t="shared" ref="AT90:AT104" si="182">SUM(AM90:AR90)</f>
        <v>63.369433533286326</v>
      </c>
      <c r="AV90">
        <f t="shared" ref="AV90:AV104" si="183">(AT90/AL90)/1000</f>
        <v>1.2673886706657266E-2</v>
      </c>
      <c r="AY90">
        <f t="shared" si="165"/>
        <v>0.14983245869999998</v>
      </c>
      <c r="AZ90">
        <f t="shared" si="165"/>
        <v>0.13670018607119999</v>
      </c>
      <c r="BB90">
        <f t="shared" si="166"/>
        <v>0.12139444733315663</v>
      </c>
      <c r="BC90">
        <f t="shared" si="166"/>
        <v>2.9234871367666254E-2</v>
      </c>
      <c r="BE90">
        <f t="shared" si="167"/>
        <v>8.5216408917264244E-2</v>
      </c>
      <c r="BF90">
        <f t="shared" si="167"/>
        <v>1.1083468763532263E-2</v>
      </c>
      <c r="BH90">
        <f t="shared" si="168"/>
        <v>9.5258854703040935E-2</v>
      </c>
      <c r="BI90">
        <f t="shared" si="168"/>
        <v>1.7525007731528867E-2</v>
      </c>
      <c r="BL90">
        <f t="shared" si="169"/>
        <v>0.14983245869999998</v>
      </c>
      <c r="BM90">
        <f t="shared" si="169"/>
        <v>0.12139444733315663</v>
      </c>
      <c r="BN90">
        <f t="shared" si="169"/>
        <v>8.5216408917264244E-2</v>
      </c>
      <c r="BO90">
        <f t="shared" si="169"/>
        <v>9.5258854703040935E-2</v>
      </c>
      <c r="BP90">
        <f t="shared" si="169"/>
        <v>0.13670018607119999</v>
      </c>
      <c r="BQ90">
        <f t="shared" si="169"/>
        <v>2.9234871367666254E-2</v>
      </c>
      <c r="BR90">
        <f t="shared" si="169"/>
        <v>1.1083468763532263E-2</v>
      </c>
      <c r="BS90">
        <f t="shared" si="169"/>
        <v>1.7525007731528867E-2</v>
      </c>
      <c r="BV90">
        <f t="shared" si="170"/>
        <v>0.12139444733315663</v>
      </c>
      <c r="BW90">
        <f t="shared" si="170"/>
        <v>2.9234871367666254E-2</v>
      </c>
      <c r="BX90">
        <f t="shared" si="170"/>
        <v>8.5216408917264244E-2</v>
      </c>
      <c r="BY90">
        <f t="shared" si="170"/>
        <v>1.1083468763532263E-2</v>
      </c>
      <c r="BZ90">
        <f t="shared" si="170"/>
        <v>9.5258854703040935E-2</v>
      </c>
      <c r="CA90">
        <f t="shared" si="170"/>
        <v>1.7525007731528867E-2</v>
      </c>
    </row>
    <row r="91" spans="1:79" x14ac:dyDescent="0.2">
      <c r="B91">
        <f t="shared" si="161"/>
        <v>10</v>
      </c>
      <c r="C91">
        <f t="shared" si="171"/>
        <v>1287.8715</v>
      </c>
      <c r="D91">
        <f t="shared" si="171"/>
        <v>40.510818851999993</v>
      </c>
      <c r="E91">
        <f t="shared" si="171"/>
        <v>1328.382318852</v>
      </c>
      <c r="G91">
        <f t="shared" si="172"/>
        <v>128.78715</v>
      </c>
      <c r="H91">
        <f t="shared" si="172"/>
        <v>4.0510818851999995</v>
      </c>
      <c r="I91">
        <f t="shared" si="172"/>
        <v>0.1328382318852</v>
      </c>
      <c r="L91">
        <f t="shared" si="173"/>
        <v>10</v>
      </c>
      <c r="M91">
        <f t="shared" si="173"/>
        <v>34.866765000000001</v>
      </c>
      <c r="N91">
        <f t="shared" si="173"/>
        <v>39.321925200799996</v>
      </c>
      <c r="O91">
        <f t="shared" si="173"/>
        <v>63.253538437499998</v>
      </c>
      <c r="P91">
        <v>0</v>
      </c>
      <c r="Q91">
        <f t="shared" si="174"/>
        <v>7.5906445123077995E-2</v>
      </c>
      <c r="R91">
        <f t="shared" si="174"/>
        <v>11.59382553709359</v>
      </c>
      <c r="T91">
        <f t="shared" si="175"/>
        <v>149.11196062051664</v>
      </c>
      <c r="V91">
        <f t="shared" si="176"/>
        <v>1.4911196062051664E-2</v>
      </c>
      <c r="Y91">
        <f t="shared" si="163"/>
        <v>10</v>
      </c>
      <c r="Z91">
        <f t="shared" si="163"/>
        <v>24.761590453028884</v>
      </c>
      <c r="AA91">
        <f t="shared" si="163"/>
        <v>2.7979372898842114</v>
      </c>
      <c r="AB91">
        <f t="shared" si="163"/>
        <v>63.253538437499998</v>
      </c>
      <c r="AC91">
        <f t="shared" si="163"/>
        <v>0</v>
      </c>
      <c r="AD91">
        <f t="shared" si="163"/>
        <v>7.5906445123077995E-2</v>
      </c>
      <c r="AE91">
        <f t="shared" si="163"/>
        <v>6.4820398228078746</v>
      </c>
      <c r="AG91">
        <f t="shared" si="177"/>
        <v>97.371012448344047</v>
      </c>
      <c r="AI91">
        <f t="shared" si="178"/>
        <v>9.7371012448344042E-3</v>
      </c>
      <c r="AJ91" s="10">
        <f t="shared" si="179"/>
        <v>9.7371012448344043</v>
      </c>
      <c r="AL91">
        <f t="shared" si="180"/>
        <v>10</v>
      </c>
      <c r="AM91">
        <f t="shared" si="180"/>
        <v>16.305769884278892</v>
      </c>
      <c r="AN91">
        <f t="shared" si="180"/>
        <v>2.7979372898842114</v>
      </c>
      <c r="AO91">
        <f t="shared" si="180"/>
        <v>63.253538437499998</v>
      </c>
      <c r="AP91">
        <v>0</v>
      </c>
      <c r="AQ91">
        <f t="shared" si="181"/>
        <v>7.5906445123077995E-2</v>
      </c>
      <c r="AR91">
        <f t="shared" si="181"/>
        <v>26.220611251379307</v>
      </c>
      <c r="AT91">
        <f t="shared" si="182"/>
        <v>108.65376330816549</v>
      </c>
      <c r="AV91">
        <f t="shared" si="183"/>
        <v>1.0865376330816549E-2</v>
      </c>
      <c r="AY91">
        <f t="shared" si="165"/>
        <v>0.13956130394999999</v>
      </c>
      <c r="AZ91">
        <f t="shared" si="165"/>
        <v>0.1328382318852</v>
      </c>
      <c r="BB91">
        <f t="shared" si="166"/>
        <v>8.556632236050829E-2</v>
      </c>
      <c r="BC91">
        <f t="shared" si="166"/>
        <v>3.1766154639592814E-2</v>
      </c>
      <c r="BE91">
        <f t="shared" si="167"/>
        <v>4.5921216575572243E-2</v>
      </c>
      <c r="BF91">
        <f t="shared" si="167"/>
        <v>9.7371012448344042E-3</v>
      </c>
      <c r="BH91">
        <f t="shared" si="168"/>
        <v>5.4944936170872746E-2</v>
      </c>
      <c r="BI91">
        <f t="shared" si="168"/>
        <v>1.5716497355688152E-2</v>
      </c>
      <c r="BL91">
        <f t="shared" si="169"/>
        <v>0.13956130394999999</v>
      </c>
      <c r="BM91">
        <f t="shared" si="169"/>
        <v>8.556632236050829E-2</v>
      </c>
      <c r="BN91">
        <f t="shared" si="169"/>
        <v>4.5921216575572243E-2</v>
      </c>
      <c r="BO91">
        <f t="shared" si="169"/>
        <v>5.4944936170872746E-2</v>
      </c>
      <c r="BP91">
        <f t="shared" si="169"/>
        <v>0.1328382318852</v>
      </c>
      <c r="BQ91">
        <f t="shared" si="169"/>
        <v>3.1766154639592814E-2</v>
      </c>
      <c r="BR91">
        <f t="shared" si="169"/>
        <v>9.7371012448344042E-3</v>
      </c>
      <c r="BS91">
        <f t="shared" si="169"/>
        <v>1.5716497355688152E-2</v>
      </c>
      <c r="BV91">
        <f t="shared" si="170"/>
        <v>8.556632236050829E-2</v>
      </c>
      <c r="BW91">
        <f t="shared" si="170"/>
        <v>3.1766154639592814E-2</v>
      </c>
      <c r="BX91">
        <f t="shared" si="170"/>
        <v>4.5921216575572243E-2</v>
      </c>
      <c r="BY91">
        <f t="shared" si="170"/>
        <v>9.7371012448344042E-3</v>
      </c>
      <c r="BZ91">
        <f t="shared" si="170"/>
        <v>5.4944936170872746E-2</v>
      </c>
      <c r="CA91">
        <f t="shared" si="170"/>
        <v>1.5716497355688152E-2</v>
      </c>
    </row>
    <row r="92" spans="1:79" x14ac:dyDescent="0.2">
      <c r="B92">
        <f t="shared" si="161"/>
        <v>20</v>
      </c>
      <c r="C92">
        <f t="shared" si="171"/>
        <v>2575.7429999999999</v>
      </c>
      <c r="D92">
        <f t="shared" si="171"/>
        <v>42.402095843999987</v>
      </c>
      <c r="E92">
        <f t="shared" si="171"/>
        <v>2618.145095844</v>
      </c>
      <c r="G92">
        <f t="shared" si="172"/>
        <v>128.78715</v>
      </c>
      <c r="H92">
        <f t="shared" si="172"/>
        <v>2.1201047921999994</v>
      </c>
      <c r="I92">
        <f t="shared" si="172"/>
        <v>0.1309072547922</v>
      </c>
      <c r="L92">
        <f t="shared" si="173"/>
        <v>20</v>
      </c>
      <c r="M92">
        <f t="shared" si="173"/>
        <v>69.733530000000002</v>
      </c>
      <c r="N92">
        <f t="shared" si="173"/>
        <v>82.174234119999994</v>
      </c>
      <c r="O92">
        <f t="shared" si="173"/>
        <v>126.507076875</v>
      </c>
      <c r="P92">
        <v>0</v>
      </c>
      <c r="Q92">
        <f t="shared" si="174"/>
        <v>7.5906445123077995E-2</v>
      </c>
      <c r="R92">
        <f t="shared" si="174"/>
        <v>24.381325537093591</v>
      </c>
      <c r="T92">
        <f t="shared" si="175"/>
        <v>302.87207297721659</v>
      </c>
      <c r="V92">
        <f t="shared" si="176"/>
        <v>1.5143603648860828E-2</v>
      </c>
      <c r="Y92">
        <f t="shared" si="163"/>
        <v>20</v>
      </c>
      <c r="Z92">
        <f t="shared" si="163"/>
        <v>49.523180906057767</v>
      </c>
      <c r="AA92">
        <f t="shared" si="163"/>
        <v>3.0984950009217087</v>
      </c>
      <c r="AB92">
        <f t="shared" si="163"/>
        <v>126.507076875</v>
      </c>
      <c r="AC92">
        <f t="shared" si="163"/>
        <v>0</v>
      </c>
      <c r="AD92">
        <f t="shared" si="163"/>
        <v>7.5906445123077995E-2</v>
      </c>
      <c r="AE92">
        <f t="shared" si="163"/>
        <v>12.843468394236446</v>
      </c>
      <c r="AG92">
        <f t="shared" si="177"/>
        <v>192.04812762133901</v>
      </c>
      <c r="AI92">
        <f t="shared" si="178"/>
        <v>9.6024063810669514E-3</v>
      </c>
      <c r="AJ92" s="10">
        <f t="shared" si="179"/>
        <v>9.6024063810669507</v>
      </c>
      <c r="AL92">
        <f t="shared" si="180"/>
        <v>20</v>
      </c>
      <c r="AM92">
        <f t="shared" si="180"/>
        <v>32.611539768557783</v>
      </c>
      <c r="AN92">
        <f t="shared" si="180"/>
        <v>3.0984950009217087</v>
      </c>
      <c r="AO92">
        <f t="shared" si="180"/>
        <v>126.507076875</v>
      </c>
      <c r="AP92">
        <v>0</v>
      </c>
      <c r="AQ92">
        <f t="shared" si="181"/>
        <v>7.5906445123077995E-2</v>
      </c>
      <c r="AR92">
        <f t="shared" si="181"/>
        <v>44.720611251379303</v>
      </c>
      <c r="AT92">
        <f t="shared" si="182"/>
        <v>207.01362934098185</v>
      </c>
      <c r="AV92">
        <f t="shared" si="183"/>
        <v>1.0350681467049093E-2</v>
      </c>
      <c r="AY92">
        <f t="shared" si="165"/>
        <v>0.13442572657499999</v>
      </c>
      <c r="AZ92">
        <f t="shared" si="165"/>
        <v>0.1309072547922</v>
      </c>
      <c r="BB92">
        <f t="shared" si="166"/>
        <v>6.8158466568264506E-2</v>
      </c>
      <c r="BC92">
        <f t="shared" si="166"/>
        <v>3.2782513788148088E-2</v>
      </c>
      <c r="BE92">
        <f t="shared" si="167"/>
        <v>2.7719403941607067E-2</v>
      </c>
      <c r="BF92">
        <f t="shared" si="167"/>
        <v>9.6024063810669514E-3</v>
      </c>
      <c r="BH92">
        <f t="shared" si="168"/>
        <v>5.1839125986876372E-2</v>
      </c>
      <c r="BI92">
        <f t="shared" si="168"/>
        <v>2.5308304627069862E-2</v>
      </c>
      <c r="BL92">
        <f t="shared" si="169"/>
        <v>0.13442572657499999</v>
      </c>
      <c r="BM92">
        <f t="shared" si="169"/>
        <v>6.8158466568264506E-2</v>
      </c>
      <c r="BN92">
        <f t="shared" si="169"/>
        <v>2.7719403941607067E-2</v>
      </c>
      <c r="BO92">
        <f t="shared" si="169"/>
        <v>5.1839125986876372E-2</v>
      </c>
      <c r="BP92">
        <f t="shared" si="169"/>
        <v>0.1309072547922</v>
      </c>
      <c r="BQ92">
        <f t="shared" si="169"/>
        <v>3.2782513788148088E-2</v>
      </c>
      <c r="BR92">
        <f t="shared" si="169"/>
        <v>9.6024063810669514E-3</v>
      </c>
      <c r="BS92">
        <f t="shared" si="169"/>
        <v>2.5308304627069862E-2</v>
      </c>
      <c r="BV92">
        <f t="shared" si="170"/>
        <v>6.8158466568264506E-2</v>
      </c>
      <c r="BW92">
        <f t="shared" si="170"/>
        <v>3.2782513788148088E-2</v>
      </c>
      <c r="BX92">
        <f t="shared" si="170"/>
        <v>2.7719403941607067E-2</v>
      </c>
      <c r="BY92">
        <f t="shared" si="170"/>
        <v>9.6024063810669514E-3</v>
      </c>
      <c r="BZ92">
        <f t="shared" si="170"/>
        <v>5.1839125986876372E-2</v>
      </c>
      <c r="CA92">
        <f t="shared" si="170"/>
        <v>2.5308304627069862E-2</v>
      </c>
    </row>
    <row r="93" spans="1:79" x14ac:dyDescent="0.2">
      <c r="B93">
        <f t="shared" si="161"/>
        <v>30</v>
      </c>
      <c r="C93">
        <f t="shared" si="171"/>
        <v>3863.6145000000001</v>
      </c>
      <c r="D93">
        <f t="shared" si="171"/>
        <v>27.416298312000002</v>
      </c>
      <c r="E93">
        <f t="shared" si="171"/>
        <v>3891.0307983120001</v>
      </c>
      <c r="G93">
        <f t="shared" si="172"/>
        <v>128.78715</v>
      </c>
      <c r="H93">
        <f t="shared" si="172"/>
        <v>0.91387661040000012</v>
      </c>
      <c r="I93">
        <f t="shared" si="172"/>
        <v>0.12970102661040001</v>
      </c>
      <c r="L93">
        <f t="shared" si="173"/>
        <v>30</v>
      </c>
      <c r="M93">
        <f t="shared" si="173"/>
        <v>104.600295</v>
      </c>
      <c r="N93">
        <f t="shared" si="173"/>
        <v>55.472438100204684</v>
      </c>
      <c r="O93">
        <f t="shared" si="173"/>
        <v>189.76061531250002</v>
      </c>
      <c r="P93">
        <v>0</v>
      </c>
      <c r="Q93">
        <f t="shared" si="174"/>
        <v>7.5906445123077995E-2</v>
      </c>
      <c r="R93">
        <f t="shared" si="174"/>
        <v>14.88132553709359</v>
      </c>
      <c r="T93">
        <f t="shared" si="175"/>
        <v>364.79058039492134</v>
      </c>
      <c r="V93">
        <f t="shared" si="176"/>
        <v>1.2159686013164044E-2</v>
      </c>
      <c r="Y93">
        <f t="shared" si="163"/>
        <v>30</v>
      </c>
      <c r="Z93">
        <f t="shared" si="163"/>
        <v>74.284771359086662</v>
      </c>
      <c r="AA93">
        <f t="shared" si="163"/>
        <v>3.750061149649508</v>
      </c>
      <c r="AB93">
        <f t="shared" si="163"/>
        <v>189.76061531250002</v>
      </c>
      <c r="AC93">
        <f t="shared" si="163"/>
        <v>0</v>
      </c>
      <c r="AD93">
        <f t="shared" si="163"/>
        <v>7.5906445123077995E-2</v>
      </c>
      <c r="AE93">
        <f t="shared" si="163"/>
        <v>19.427754108522162</v>
      </c>
      <c r="AG93">
        <f t="shared" si="177"/>
        <v>287.29910837488137</v>
      </c>
      <c r="AI93">
        <f t="shared" si="178"/>
        <v>9.5766369458293796E-3</v>
      </c>
      <c r="AJ93" s="10">
        <f t="shared" si="179"/>
        <v>9.5766369458293799</v>
      </c>
      <c r="AL93">
        <f t="shared" si="180"/>
        <v>30</v>
      </c>
      <c r="AM93">
        <f t="shared" si="180"/>
        <v>48.917309652836657</v>
      </c>
      <c r="AN93">
        <f t="shared" si="180"/>
        <v>3.750061149649508</v>
      </c>
      <c r="AO93">
        <f t="shared" si="180"/>
        <v>189.76061531250002</v>
      </c>
      <c r="AP93">
        <v>0</v>
      </c>
      <c r="AQ93">
        <f t="shared" si="181"/>
        <v>7.5906445123077995E-2</v>
      </c>
      <c r="AR93">
        <f t="shared" si="181"/>
        <v>63.549182679950732</v>
      </c>
      <c r="AT93">
        <f t="shared" si="182"/>
        <v>306.05307524006002</v>
      </c>
      <c r="AV93">
        <f t="shared" si="183"/>
        <v>1.0201769174668668E-2</v>
      </c>
      <c r="AY93">
        <f t="shared" si="165"/>
        <v>0.1312176729</v>
      </c>
      <c r="AZ93">
        <f t="shared" si="165"/>
        <v>0.12970102661040001</v>
      </c>
      <c r="BB93">
        <f t="shared" si="166"/>
        <v>5.6048126393185856E-2</v>
      </c>
      <c r="BC93">
        <f t="shared" si="166"/>
        <v>3.0451889120573051E-2</v>
      </c>
      <c r="BE93">
        <f t="shared" si="167"/>
        <v>2.1690679404346033E-2</v>
      </c>
      <c r="BF93">
        <f t="shared" si="167"/>
        <v>9.5766369458293796E-3</v>
      </c>
      <c r="BH93">
        <f t="shared" si="168"/>
        <v>3.7896776272710091E-2</v>
      </c>
      <c r="BI93">
        <f t="shared" si="168"/>
        <v>2.0173517948015848E-2</v>
      </c>
      <c r="BL93">
        <f t="shared" si="169"/>
        <v>0.1312176729</v>
      </c>
      <c r="BM93">
        <f t="shared" si="169"/>
        <v>5.6048126393185856E-2</v>
      </c>
      <c r="BN93">
        <f t="shared" si="169"/>
        <v>2.1690679404346033E-2</v>
      </c>
      <c r="BO93">
        <f t="shared" si="169"/>
        <v>3.7896776272710091E-2</v>
      </c>
      <c r="BP93">
        <f t="shared" si="169"/>
        <v>0.12970102661040001</v>
      </c>
      <c r="BQ93">
        <f t="shared" si="169"/>
        <v>3.0451889120573051E-2</v>
      </c>
      <c r="BR93">
        <f t="shared" si="169"/>
        <v>9.5766369458293796E-3</v>
      </c>
      <c r="BS93">
        <f t="shared" si="169"/>
        <v>2.0173517948015848E-2</v>
      </c>
      <c r="BV93">
        <f t="shared" si="170"/>
        <v>5.6048126393185856E-2</v>
      </c>
      <c r="BW93">
        <f t="shared" si="170"/>
        <v>3.0451889120573051E-2</v>
      </c>
      <c r="BX93">
        <f t="shared" si="170"/>
        <v>2.1690679404346033E-2</v>
      </c>
      <c r="BY93">
        <f t="shared" si="170"/>
        <v>9.5766369458293796E-3</v>
      </c>
      <c r="BZ93">
        <f t="shared" si="170"/>
        <v>3.7896776272710091E-2</v>
      </c>
      <c r="CA93">
        <f t="shared" si="170"/>
        <v>2.0173517948015848E-2</v>
      </c>
    </row>
    <row r="94" spans="1:79" x14ac:dyDescent="0.2">
      <c r="B94">
        <f t="shared" si="161"/>
        <v>50</v>
      </c>
      <c r="C94">
        <f t="shared" si="171"/>
        <v>6439.3575000000001</v>
      </c>
      <c r="D94">
        <f t="shared" si="171"/>
        <v>28.986853319999994</v>
      </c>
      <c r="E94">
        <f t="shared" si="171"/>
        <v>6468.3443533199998</v>
      </c>
      <c r="G94">
        <f t="shared" si="172"/>
        <v>128.78715</v>
      </c>
      <c r="H94">
        <f t="shared" si="172"/>
        <v>0.57973706639999989</v>
      </c>
      <c r="I94">
        <f t="shared" si="172"/>
        <v>0.12936688706640001</v>
      </c>
      <c r="L94">
        <f t="shared" si="173"/>
        <v>50</v>
      </c>
      <c r="M94">
        <f t="shared" si="173"/>
        <v>174.33382499999999</v>
      </c>
      <c r="N94">
        <f t="shared" si="173"/>
        <v>60.182099925741653</v>
      </c>
      <c r="O94">
        <f t="shared" si="173"/>
        <v>316.26769218750002</v>
      </c>
      <c r="P94">
        <v>0</v>
      </c>
      <c r="Q94">
        <f t="shared" si="174"/>
        <v>7.5906445123077995E-2</v>
      </c>
      <c r="R94">
        <f t="shared" si="174"/>
        <v>17.756325537093591</v>
      </c>
      <c r="T94">
        <f t="shared" si="175"/>
        <v>568.61584909545843</v>
      </c>
      <c r="V94">
        <f t="shared" si="176"/>
        <v>1.1372316981909169E-2</v>
      </c>
      <c r="Y94">
        <f t="shared" si="163"/>
        <v>50</v>
      </c>
      <c r="Z94">
        <f t="shared" si="163"/>
        <v>123.80795226514442</v>
      </c>
      <c r="AA94">
        <f t="shared" si="163"/>
        <v>4.1119280575371429</v>
      </c>
      <c r="AB94">
        <f t="shared" si="163"/>
        <v>316.26769218750002</v>
      </c>
      <c r="AC94">
        <f t="shared" si="163"/>
        <v>0</v>
      </c>
      <c r="AD94">
        <f t="shared" si="163"/>
        <v>7.5906445123077995E-2</v>
      </c>
      <c r="AE94">
        <f t="shared" si="163"/>
        <v>32.513468394236448</v>
      </c>
      <c r="AG94">
        <f t="shared" si="177"/>
        <v>476.77694734954105</v>
      </c>
      <c r="AI94">
        <f t="shared" si="178"/>
        <v>9.5355389469908205E-3</v>
      </c>
      <c r="AJ94" s="10">
        <f t="shared" si="179"/>
        <v>9.5355389469908207</v>
      </c>
      <c r="AL94">
        <f t="shared" si="180"/>
        <v>50</v>
      </c>
      <c r="AM94">
        <f t="shared" si="180"/>
        <v>81.528849421394426</v>
      </c>
      <c r="AN94">
        <f t="shared" si="180"/>
        <v>4.1119280575371429</v>
      </c>
      <c r="AO94">
        <f t="shared" si="180"/>
        <v>316.26769218750002</v>
      </c>
      <c r="AP94">
        <v>0</v>
      </c>
      <c r="AQ94">
        <f t="shared" si="181"/>
        <v>7.5906445123077995E-2</v>
      </c>
      <c r="AR94">
        <f t="shared" si="181"/>
        <v>97.920611251379299</v>
      </c>
      <c r="AT94">
        <f t="shared" si="182"/>
        <v>499.90498736293392</v>
      </c>
      <c r="AV94">
        <f t="shared" si="183"/>
        <v>9.9980997472586784E-3</v>
      </c>
      <c r="AY94">
        <f t="shared" si="165"/>
        <v>0.13032900389999999</v>
      </c>
      <c r="AZ94">
        <f t="shared" si="165"/>
        <v>0.12936688706640001</v>
      </c>
      <c r="BB94">
        <f t="shared" si="166"/>
        <v>4.7483128202351378E-2</v>
      </c>
      <c r="BC94">
        <f t="shared" si="166"/>
        <v>2.8619251340323365E-2</v>
      </c>
      <c r="BE94">
        <f t="shared" si="167"/>
        <v>1.6815975323724315E-2</v>
      </c>
      <c r="BF94">
        <f t="shared" si="167"/>
        <v>9.5355389469908205E-3</v>
      </c>
      <c r="BH94">
        <f t="shared" si="168"/>
        <v>2.6627114907707042E-2</v>
      </c>
      <c r="BI94">
        <f t="shared" si="168"/>
        <v>1.5981149011266991E-2</v>
      </c>
      <c r="BL94">
        <f t="shared" si="169"/>
        <v>0.13032900389999999</v>
      </c>
      <c r="BM94">
        <f t="shared" si="169"/>
        <v>4.7483128202351378E-2</v>
      </c>
      <c r="BN94">
        <f t="shared" si="169"/>
        <v>1.6815975323724315E-2</v>
      </c>
      <c r="BO94">
        <f t="shared" si="169"/>
        <v>2.6627114907707042E-2</v>
      </c>
      <c r="BP94">
        <f t="shared" si="169"/>
        <v>0.12936688706640001</v>
      </c>
      <c r="BQ94">
        <f t="shared" si="169"/>
        <v>2.8619251340323365E-2</v>
      </c>
      <c r="BR94">
        <f t="shared" si="169"/>
        <v>9.5355389469908205E-3</v>
      </c>
      <c r="BS94">
        <f t="shared" si="169"/>
        <v>1.5981149011266991E-2</v>
      </c>
      <c r="BV94">
        <f t="shared" si="170"/>
        <v>4.7483128202351378E-2</v>
      </c>
      <c r="BW94">
        <f t="shared" si="170"/>
        <v>2.8619251340323365E-2</v>
      </c>
      <c r="BX94">
        <f t="shared" si="170"/>
        <v>1.6815975323724315E-2</v>
      </c>
      <c r="BY94">
        <f t="shared" si="170"/>
        <v>9.5355389469908205E-3</v>
      </c>
      <c r="BZ94">
        <f t="shared" si="170"/>
        <v>2.6627114907707042E-2</v>
      </c>
      <c r="CA94">
        <f t="shared" si="170"/>
        <v>1.5981149011266991E-2</v>
      </c>
    </row>
    <row r="95" spans="1:79" x14ac:dyDescent="0.2">
      <c r="B95">
        <f t="shared" si="161"/>
        <v>75</v>
      </c>
      <c r="C95">
        <f t="shared" si="171"/>
        <v>9659.036250000001</v>
      </c>
      <c r="D95">
        <f t="shared" si="171"/>
        <v>30.950047080000004</v>
      </c>
      <c r="E95">
        <f t="shared" si="171"/>
        <v>9689.9862970800004</v>
      </c>
      <c r="G95">
        <f t="shared" si="172"/>
        <v>128.78715000000003</v>
      </c>
      <c r="H95">
        <f t="shared" si="172"/>
        <v>0.41266729440000005</v>
      </c>
      <c r="I95">
        <f t="shared" si="172"/>
        <v>0.12919981729440003</v>
      </c>
      <c r="L95">
        <f t="shared" si="173"/>
        <v>75</v>
      </c>
      <c r="M95">
        <f t="shared" si="173"/>
        <v>261.50073750000001</v>
      </c>
      <c r="N95">
        <f t="shared" si="173"/>
        <v>122.88912386856387</v>
      </c>
      <c r="O95">
        <f t="shared" si="173"/>
        <v>474.40153828124994</v>
      </c>
      <c r="P95">
        <v>0</v>
      </c>
      <c r="Q95">
        <f t="shared" si="174"/>
        <v>7.5906445123077995E-2</v>
      </c>
      <c r="R95">
        <f t="shared" si="174"/>
        <v>24.256325537093591</v>
      </c>
      <c r="T95">
        <f t="shared" si="175"/>
        <v>883.12363163203054</v>
      </c>
      <c r="V95">
        <f t="shared" si="176"/>
        <v>1.1774981755093741E-2</v>
      </c>
      <c r="Y95">
        <f t="shared" si="163"/>
        <v>75</v>
      </c>
      <c r="Z95">
        <f t="shared" si="163"/>
        <v>185.71192839771666</v>
      </c>
      <c r="AA95">
        <f t="shared" si="163"/>
        <v>3.8857612401073727</v>
      </c>
      <c r="AB95">
        <f t="shared" si="163"/>
        <v>474.40153828124994</v>
      </c>
      <c r="AC95">
        <f t="shared" si="163"/>
        <v>0</v>
      </c>
      <c r="AD95">
        <f t="shared" si="163"/>
        <v>7.5906445123077995E-2</v>
      </c>
      <c r="AE95">
        <f t="shared" si="163"/>
        <v>48.434896965665018</v>
      </c>
      <c r="AG95">
        <f t="shared" si="177"/>
        <v>712.51003132986216</v>
      </c>
      <c r="AI95">
        <f t="shared" si="178"/>
        <v>9.5001337510648275E-3</v>
      </c>
      <c r="AJ95" s="10">
        <f t="shared" si="179"/>
        <v>9.500133751064828</v>
      </c>
      <c r="AL95">
        <f t="shared" si="180"/>
        <v>75</v>
      </c>
      <c r="AM95">
        <f t="shared" si="180"/>
        <v>122.29327413209165</v>
      </c>
      <c r="AN95">
        <f t="shared" si="180"/>
        <v>3.8857612401073727</v>
      </c>
      <c r="AO95">
        <f t="shared" si="180"/>
        <v>474.40153828124994</v>
      </c>
      <c r="AP95">
        <v>0</v>
      </c>
      <c r="AQ95">
        <f t="shared" si="181"/>
        <v>7.5906445123077995E-2</v>
      </c>
      <c r="AR95">
        <f t="shared" si="181"/>
        <v>170.14918267995074</v>
      </c>
      <c r="AT95">
        <f t="shared" si="182"/>
        <v>770.80566277852279</v>
      </c>
      <c r="AV95">
        <f t="shared" si="183"/>
        <v>1.027740883704697E-2</v>
      </c>
      <c r="AY95">
        <f t="shared" si="165"/>
        <v>0.12988466940000004</v>
      </c>
      <c r="AZ95">
        <f t="shared" si="165"/>
        <v>0.12919981729440003</v>
      </c>
      <c r="BB95">
        <f t="shared" si="166"/>
        <v>4.6857841882839604E-2</v>
      </c>
      <c r="BC95">
        <f t="shared" si="166"/>
        <v>2.9544550488005337E-2</v>
      </c>
      <c r="BE95">
        <f t="shared" si="167"/>
        <v>1.4348753459877361E-2</v>
      </c>
      <c r="BF95">
        <f t="shared" si="167"/>
        <v>9.5001337510648275E-3</v>
      </c>
      <c r="BH95">
        <f t="shared" si="168"/>
        <v>2.1358414401669416E-2</v>
      </c>
      <c r="BI95">
        <f t="shared" si="168"/>
        <v>1.4266108346385845E-2</v>
      </c>
      <c r="BL95">
        <f t="shared" si="169"/>
        <v>0.12988466940000004</v>
      </c>
      <c r="BM95">
        <f t="shared" si="169"/>
        <v>4.6857841882839604E-2</v>
      </c>
      <c r="BN95">
        <f t="shared" si="169"/>
        <v>1.4348753459877361E-2</v>
      </c>
      <c r="BO95">
        <f t="shared" si="169"/>
        <v>2.1358414401669416E-2</v>
      </c>
      <c r="BP95">
        <f t="shared" si="169"/>
        <v>0.12919981729440003</v>
      </c>
      <c r="BQ95">
        <f t="shared" si="169"/>
        <v>2.9544550488005337E-2</v>
      </c>
      <c r="BR95">
        <f t="shared" si="169"/>
        <v>9.5001337510648275E-3</v>
      </c>
      <c r="BS95">
        <f t="shared" si="169"/>
        <v>1.4266108346385845E-2</v>
      </c>
      <c r="BV95">
        <f t="shared" si="170"/>
        <v>4.6857841882839604E-2</v>
      </c>
      <c r="BW95">
        <f t="shared" si="170"/>
        <v>2.9544550488005337E-2</v>
      </c>
      <c r="BX95">
        <f t="shared" si="170"/>
        <v>1.4348753459877361E-2</v>
      </c>
      <c r="BY95">
        <f t="shared" si="170"/>
        <v>9.5001337510648275E-3</v>
      </c>
      <c r="BZ95">
        <f t="shared" si="170"/>
        <v>2.1358414401669416E-2</v>
      </c>
      <c r="CA95">
        <f t="shared" si="170"/>
        <v>1.4266108346385845E-2</v>
      </c>
    </row>
    <row r="96" spans="1:79" x14ac:dyDescent="0.2">
      <c r="B96">
        <f t="shared" si="161"/>
        <v>100</v>
      </c>
      <c r="C96">
        <f t="shared" si="171"/>
        <v>12878.715</v>
      </c>
      <c r="D96">
        <f t="shared" si="171"/>
        <v>32.91324084</v>
      </c>
      <c r="E96">
        <f t="shared" si="171"/>
        <v>12911.62824084</v>
      </c>
      <c r="G96">
        <f t="shared" si="172"/>
        <v>128.78715</v>
      </c>
      <c r="H96">
        <f t="shared" si="172"/>
        <v>0.32913240840000002</v>
      </c>
      <c r="I96">
        <f t="shared" si="172"/>
        <v>0.12911628240840001</v>
      </c>
      <c r="L96">
        <f t="shared" si="173"/>
        <v>100</v>
      </c>
      <c r="M96">
        <f t="shared" si="173"/>
        <v>348.66764999999998</v>
      </c>
      <c r="N96">
        <f t="shared" si="173"/>
        <v>192.45156378141093</v>
      </c>
      <c r="O96">
        <f t="shared" si="173"/>
        <v>632.53538437500004</v>
      </c>
      <c r="P96">
        <v>0</v>
      </c>
      <c r="Q96">
        <f t="shared" si="174"/>
        <v>7.5906445123077995E-2</v>
      </c>
      <c r="R96">
        <f t="shared" si="174"/>
        <v>32.131325537093588</v>
      </c>
      <c r="T96">
        <f t="shared" si="175"/>
        <v>1205.8618301386275</v>
      </c>
      <c r="V96">
        <f t="shared" si="176"/>
        <v>1.2058618301386275E-2</v>
      </c>
      <c r="Y96">
        <f t="shared" si="163"/>
        <v>100</v>
      </c>
      <c r="Z96">
        <f t="shared" si="163"/>
        <v>247.61590453028884</v>
      </c>
      <c r="AA96">
        <f t="shared" si="163"/>
        <v>4.1119280575371429</v>
      </c>
      <c r="AB96">
        <f t="shared" si="163"/>
        <v>632.53538437500004</v>
      </c>
      <c r="AC96">
        <f t="shared" si="163"/>
        <v>0</v>
      </c>
      <c r="AD96">
        <f t="shared" si="163"/>
        <v>7.5906445123077995E-2</v>
      </c>
      <c r="AE96">
        <f t="shared" si="163"/>
        <v>64.434896965665018</v>
      </c>
      <c r="AG96">
        <f t="shared" si="177"/>
        <v>948.77402037361412</v>
      </c>
      <c r="AI96">
        <f t="shared" si="178"/>
        <v>9.4877402037361405E-3</v>
      </c>
      <c r="AJ96" s="10">
        <f t="shared" si="179"/>
        <v>9.4877402037361414</v>
      </c>
      <c r="AL96">
        <f t="shared" si="180"/>
        <v>100</v>
      </c>
      <c r="AM96">
        <f t="shared" si="180"/>
        <v>163.05769884278885</v>
      </c>
      <c r="AN96">
        <f t="shared" si="180"/>
        <v>4.1119280575371429</v>
      </c>
      <c r="AO96">
        <f t="shared" si="180"/>
        <v>632.53538437500004</v>
      </c>
      <c r="AP96">
        <v>0</v>
      </c>
      <c r="AQ96">
        <f t="shared" si="181"/>
        <v>7.5906445123077995E-2</v>
      </c>
      <c r="AR96">
        <f t="shared" si="181"/>
        <v>217.43489696566502</v>
      </c>
      <c r="AT96">
        <f t="shared" si="182"/>
        <v>1017.2158146861141</v>
      </c>
      <c r="AV96">
        <f t="shared" si="183"/>
        <v>1.0172158146861142E-2</v>
      </c>
      <c r="AY96">
        <f t="shared" si="165"/>
        <v>0.12966250215</v>
      </c>
      <c r="AZ96">
        <f t="shared" si="165"/>
        <v>0.12911628240840001</v>
      </c>
      <c r="BB96">
        <f t="shared" si="166"/>
        <v>6.2255823527958498E-2</v>
      </c>
      <c r="BC96">
        <f t="shared" si="166"/>
        <v>4.0202479368071267E-2</v>
      </c>
      <c r="BE96">
        <f t="shared" si="167"/>
        <v>1.3127958392102887E-2</v>
      </c>
      <c r="BF96">
        <f t="shared" si="167"/>
        <v>9.4877402037361405E-3</v>
      </c>
      <c r="BH96">
        <f t="shared" si="168"/>
        <v>1.8486665727085322E-2</v>
      </c>
      <c r="BI96">
        <f t="shared" si="168"/>
        <v>1.3163682778865295E-2</v>
      </c>
      <c r="BL96">
        <f t="shared" si="169"/>
        <v>0.12966250215</v>
      </c>
      <c r="BM96">
        <f t="shared" si="169"/>
        <v>6.2255823527958498E-2</v>
      </c>
      <c r="BN96">
        <f t="shared" si="169"/>
        <v>1.3127958392102887E-2</v>
      </c>
      <c r="BO96">
        <f t="shared" si="169"/>
        <v>1.8486665727085322E-2</v>
      </c>
      <c r="BP96">
        <f t="shared" si="169"/>
        <v>0.12911628240840001</v>
      </c>
      <c r="BQ96">
        <f t="shared" si="169"/>
        <v>4.0202479368071267E-2</v>
      </c>
      <c r="BR96">
        <f t="shared" si="169"/>
        <v>9.4877402037361405E-3</v>
      </c>
      <c r="BS96">
        <f t="shared" si="169"/>
        <v>1.3163682778865295E-2</v>
      </c>
      <c r="BV96">
        <f t="shared" si="170"/>
        <v>6.2255823527958498E-2</v>
      </c>
      <c r="BW96">
        <f t="shared" si="170"/>
        <v>4.0202479368071267E-2</v>
      </c>
      <c r="BX96">
        <f t="shared" si="170"/>
        <v>1.3127958392102887E-2</v>
      </c>
      <c r="BY96">
        <f t="shared" si="170"/>
        <v>9.4877402037361405E-3</v>
      </c>
      <c r="BZ96">
        <f t="shared" si="170"/>
        <v>1.8486665727085322E-2</v>
      </c>
      <c r="CA96">
        <f t="shared" si="170"/>
        <v>1.3163682778865295E-2</v>
      </c>
    </row>
    <row r="97" spans="2:79" x14ac:dyDescent="0.2">
      <c r="B97">
        <f t="shared" si="161"/>
        <v>150</v>
      </c>
      <c r="C97">
        <f t="shared" si="171"/>
        <v>19318.072500000002</v>
      </c>
      <c r="D97">
        <f t="shared" si="171"/>
        <v>36.839628360000006</v>
      </c>
      <c r="E97">
        <f t="shared" si="171"/>
        <v>19354.912128360003</v>
      </c>
      <c r="G97">
        <f t="shared" si="172"/>
        <v>128.78715000000003</v>
      </c>
      <c r="H97">
        <f t="shared" si="172"/>
        <v>0.24559752240000005</v>
      </c>
      <c r="I97">
        <f t="shared" si="172"/>
        <v>0.12903274752240004</v>
      </c>
      <c r="L97">
        <f t="shared" si="173"/>
        <v>150</v>
      </c>
      <c r="M97">
        <f t="shared" si="173"/>
        <v>523.00147500000003</v>
      </c>
      <c r="N97">
        <f t="shared" si="173"/>
        <v>317.61672783999995</v>
      </c>
      <c r="O97">
        <f t="shared" si="173"/>
        <v>948.80307656249988</v>
      </c>
      <c r="P97">
        <v>0</v>
      </c>
      <c r="Q97">
        <f t="shared" si="174"/>
        <v>7.5906445123077995E-2</v>
      </c>
      <c r="R97">
        <f t="shared" si="174"/>
        <v>32.131325537093588</v>
      </c>
      <c r="T97">
        <f t="shared" si="175"/>
        <v>1821.6285113847164</v>
      </c>
      <c r="V97">
        <f t="shared" si="176"/>
        <v>1.214419007589811E-2</v>
      </c>
      <c r="Y97">
        <f t="shared" si="163"/>
        <v>150</v>
      </c>
      <c r="Z97">
        <f t="shared" si="163"/>
        <v>371.42385679543332</v>
      </c>
      <c r="AA97">
        <f t="shared" si="163"/>
        <v>8.908818315822856</v>
      </c>
      <c r="AB97">
        <f t="shared" si="163"/>
        <v>948.80307656249988</v>
      </c>
      <c r="AC97">
        <f t="shared" si="163"/>
        <v>0</v>
      </c>
      <c r="AD97">
        <f t="shared" si="163"/>
        <v>7.5906445123077995E-2</v>
      </c>
      <c r="AE97">
        <f t="shared" si="163"/>
        <v>127.97775410852215</v>
      </c>
      <c r="AG97">
        <f t="shared" si="177"/>
        <v>1457.1894122274014</v>
      </c>
      <c r="AI97">
        <f t="shared" si="178"/>
        <v>9.7145960815160082E-3</v>
      </c>
      <c r="AJ97" s="10">
        <f t="shared" si="179"/>
        <v>9.7145960815160084</v>
      </c>
      <c r="AL97">
        <f t="shared" si="180"/>
        <v>150</v>
      </c>
      <c r="AM97">
        <f t="shared" si="180"/>
        <v>244.58654826418331</v>
      </c>
      <c r="AN97">
        <f t="shared" si="180"/>
        <v>8.908818315822856</v>
      </c>
      <c r="AO97">
        <f t="shared" si="180"/>
        <v>948.80307656249988</v>
      </c>
      <c r="AP97">
        <v>0</v>
      </c>
      <c r="AQ97">
        <f t="shared" si="181"/>
        <v>7.5906445123077995E-2</v>
      </c>
      <c r="AR97">
        <f t="shared" si="181"/>
        <v>290.00632553709357</v>
      </c>
      <c r="AT97">
        <f t="shared" si="182"/>
        <v>1492.3806751247228</v>
      </c>
      <c r="AV97">
        <f t="shared" si="183"/>
        <v>9.9492045008314853E-3</v>
      </c>
      <c r="AY97">
        <f t="shared" si="165"/>
        <v>0.12944033490000004</v>
      </c>
      <c r="AZ97">
        <f t="shared" si="165"/>
        <v>0.12903274752240004</v>
      </c>
      <c r="BB97">
        <f t="shared" si="166"/>
        <v>2.7029340053962132E-2</v>
      </c>
      <c r="BC97">
        <f t="shared" si="166"/>
        <v>1.7893168195369513E-2</v>
      </c>
      <c r="BE97">
        <f t="shared" si="167"/>
        <v>1.2194480184419555E-2</v>
      </c>
      <c r="BF97">
        <f t="shared" si="167"/>
        <v>9.7145960815160082E-3</v>
      </c>
      <c r="BH97">
        <f t="shared" si="168"/>
        <v>1.5900160237506154E-2</v>
      </c>
      <c r="BI97">
        <f t="shared" si="168"/>
        <v>1.2105258289663308E-2</v>
      </c>
      <c r="BL97">
        <f t="shared" si="169"/>
        <v>0.12944033490000004</v>
      </c>
      <c r="BM97">
        <f t="shared" si="169"/>
        <v>2.7029340053962132E-2</v>
      </c>
      <c r="BN97">
        <f t="shared" si="169"/>
        <v>1.2194480184419555E-2</v>
      </c>
      <c r="BO97">
        <f t="shared" si="169"/>
        <v>1.5900160237506154E-2</v>
      </c>
      <c r="BP97">
        <f t="shared" si="169"/>
        <v>0.12903274752240004</v>
      </c>
      <c r="BQ97">
        <f t="shared" si="169"/>
        <v>1.7893168195369513E-2</v>
      </c>
      <c r="BR97">
        <f t="shared" si="169"/>
        <v>9.7145960815160082E-3</v>
      </c>
      <c r="BS97">
        <f t="shared" si="169"/>
        <v>1.2105258289663308E-2</v>
      </c>
      <c r="BV97">
        <f t="shared" si="170"/>
        <v>2.7029340053962132E-2</v>
      </c>
      <c r="BW97">
        <f t="shared" si="170"/>
        <v>1.7893168195369513E-2</v>
      </c>
      <c r="BX97">
        <f t="shared" si="170"/>
        <v>1.2194480184419555E-2</v>
      </c>
      <c r="BY97">
        <f t="shared" si="170"/>
        <v>9.7145960815160082E-3</v>
      </c>
      <c r="BZ97">
        <f t="shared" si="170"/>
        <v>1.5900160237506154E-2</v>
      </c>
      <c r="CA97">
        <f t="shared" si="170"/>
        <v>1.2105258289663308E-2</v>
      </c>
    </row>
    <row r="98" spans="2:79" x14ac:dyDescent="0.2">
      <c r="B98">
        <f t="shared" si="161"/>
        <v>200</v>
      </c>
      <c r="C98">
        <f t="shared" si="171"/>
        <v>25757.43</v>
      </c>
      <c r="D98">
        <f t="shared" si="171"/>
        <v>51.282297088000007</v>
      </c>
      <c r="E98">
        <f t="shared" si="171"/>
        <v>25808.712297088001</v>
      </c>
      <c r="G98">
        <f t="shared" si="172"/>
        <v>128.78715</v>
      </c>
      <c r="H98">
        <f t="shared" si="172"/>
        <v>0.25641148544000003</v>
      </c>
      <c r="I98">
        <f t="shared" si="172"/>
        <v>0.12904356148543999</v>
      </c>
      <c r="L98">
        <f t="shared" si="173"/>
        <v>200</v>
      </c>
      <c r="M98">
        <f t="shared" si="173"/>
        <v>697.33530000000007</v>
      </c>
      <c r="N98">
        <f t="shared" si="173"/>
        <v>325.25825104</v>
      </c>
      <c r="O98">
        <f t="shared" si="173"/>
        <v>1265.0707687500001</v>
      </c>
      <c r="P98">
        <v>0</v>
      </c>
      <c r="Q98">
        <f t="shared" si="174"/>
        <v>7.5906445123077995E-2</v>
      </c>
      <c r="R98">
        <f t="shared" si="174"/>
        <v>32.131325537093588</v>
      </c>
      <c r="T98">
        <f t="shared" si="175"/>
        <v>2319.8715517722171</v>
      </c>
      <c r="V98">
        <f t="shared" si="176"/>
        <v>1.1599357758861086E-2</v>
      </c>
      <c r="Y98">
        <f t="shared" si="163"/>
        <v>200</v>
      </c>
      <c r="Z98">
        <f t="shared" si="163"/>
        <v>495.23180906057769</v>
      </c>
      <c r="AA98">
        <f t="shared" si="163"/>
        <v>10.507781735251431</v>
      </c>
      <c r="AB98">
        <f t="shared" si="163"/>
        <v>1265.0707687500001</v>
      </c>
      <c r="AC98">
        <f t="shared" si="163"/>
        <v>0</v>
      </c>
      <c r="AD98">
        <f t="shared" si="163"/>
        <v>7.5906445123077995E-2</v>
      </c>
      <c r="AE98">
        <f t="shared" si="163"/>
        <v>170.86346839423646</v>
      </c>
      <c r="AG98">
        <f t="shared" si="177"/>
        <v>1941.7497343851887</v>
      </c>
      <c r="AI98">
        <f t="shared" si="178"/>
        <v>9.7087486719259434E-3</v>
      </c>
      <c r="AJ98" s="10">
        <f t="shared" si="179"/>
        <v>9.7087486719259442</v>
      </c>
      <c r="AL98">
        <f t="shared" si="180"/>
        <v>200</v>
      </c>
      <c r="AM98">
        <f t="shared" si="180"/>
        <v>326.1153976855777</v>
      </c>
      <c r="AN98">
        <f t="shared" si="180"/>
        <v>10.507781735251431</v>
      </c>
      <c r="AO98">
        <f t="shared" si="180"/>
        <v>1265.0707687500001</v>
      </c>
      <c r="AP98">
        <v>0</v>
      </c>
      <c r="AQ98">
        <f t="shared" si="181"/>
        <v>7.5906445123077995E-2</v>
      </c>
      <c r="AR98">
        <f t="shared" si="181"/>
        <v>398.14918267995074</v>
      </c>
      <c r="AT98">
        <f t="shared" si="182"/>
        <v>1999.9190372959029</v>
      </c>
      <c r="AV98">
        <f t="shared" si="183"/>
        <v>9.9995951864795141E-3</v>
      </c>
      <c r="AY98">
        <f t="shared" si="165"/>
        <v>0.12946909543999999</v>
      </c>
      <c r="AZ98">
        <f t="shared" si="165"/>
        <v>0.12904356148543999</v>
      </c>
      <c r="BB98">
        <f t="shared" si="166"/>
        <v>2.34279677702872E-2</v>
      </c>
      <c r="BC98">
        <f t="shared" si="166"/>
        <v>1.6303067129337684E-2</v>
      </c>
      <c r="BE98">
        <f t="shared" si="167"/>
        <v>1.158192974343503E-2</v>
      </c>
      <c r="BF98">
        <f t="shared" si="167"/>
        <v>9.7087486719259434E-3</v>
      </c>
      <c r="BH98">
        <f t="shared" si="168"/>
        <v>1.4476079983316946E-2</v>
      </c>
      <c r="BI98">
        <f t="shared" si="168"/>
        <v>1.1616635528103382E-2</v>
      </c>
      <c r="BL98">
        <f t="shared" si="169"/>
        <v>0.12946909543999999</v>
      </c>
      <c r="BM98">
        <f t="shared" si="169"/>
        <v>2.34279677702872E-2</v>
      </c>
      <c r="BN98">
        <f t="shared" si="169"/>
        <v>1.158192974343503E-2</v>
      </c>
      <c r="BO98">
        <f t="shared" si="169"/>
        <v>1.4476079983316946E-2</v>
      </c>
      <c r="BP98">
        <f t="shared" si="169"/>
        <v>0.12904356148543999</v>
      </c>
      <c r="BQ98">
        <f t="shared" si="169"/>
        <v>1.6303067129337684E-2</v>
      </c>
      <c r="BR98">
        <f t="shared" si="169"/>
        <v>9.7087486719259434E-3</v>
      </c>
      <c r="BS98">
        <f t="shared" si="169"/>
        <v>1.1616635528103382E-2</v>
      </c>
      <c r="BV98">
        <f t="shared" si="170"/>
        <v>2.34279677702872E-2</v>
      </c>
      <c r="BW98">
        <f t="shared" si="170"/>
        <v>1.6303067129337684E-2</v>
      </c>
      <c r="BX98">
        <f t="shared" si="170"/>
        <v>1.158192974343503E-2</v>
      </c>
      <c r="BY98">
        <f t="shared" si="170"/>
        <v>9.7087486719259434E-3</v>
      </c>
      <c r="BZ98">
        <f t="shared" si="170"/>
        <v>1.4476079983316946E-2</v>
      </c>
      <c r="CA98">
        <f t="shared" si="170"/>
        <v>1.1616635528103382E-2</v>
      </c>
    </row>
    <row r="99" spans="2:79" x14ac:dyDescent="0.2">
      <c r="B99">
        <f t="shared" si="161"/>
        <v>300</v>
      </c>
      <c r="C99">
        <f t="shared" si="171"/>
        <v>38636.145000000004</v>
      </c>
      <c r="D99">
        <f t="shared" si="171"/>
        <v>57.375121408000012</v>
      </c>
      <c r="E99">
        <f t="shared" si="171"/>
        <v>38693.520121408001</v>
      </c>
      <c r="G99">
        <f t="shared" si="172"/>
        <v>128.78715000000003</v>
      </c>
      <c r="H99">
        <f t="shared" si="172"/>
        <v>0.19125040469333338</v>
      </c>
      <c r="I99">
        <f t="shared" si="172"/>
        <v>0.12897840040469336</v>
      </c>
      <c r="L99">
        <f t="shared" si="173"/>
        <v>300</v>
      </c>
      <c r="M99">
        <f t="shared" si="173"/>
        <v>1046.0029500000001</v>
      </c>
      <c r="N99">
        <f t="shared" si="173"/>
        <v>340.54129743999999</v>
      </c>
      <c r="O99">
        <f t="shared" si="173"/>
        <v>1897.6061531249998</v>
      </c>
      <c r="P99">
        <v>0</v>
      </c>
      <c r="Q99">
        <f t="shared" si="174"/>
        <v>7.5906445123077995E-2</v>
      </c>
      <c r="R99">
        <f t="shared" si="174"/>
        <v>32.131325537093588</v>
      </c>
      <c r="T99">
        <f t="shared" si="175"/>
        <v>3316.3576325472168</v>
      </c>
      <c r="V99">
        <f t="shared" si="176"/>
        <v>1.1054525441824056E-2</v>
      </c>
      <c r="Y99">
        <f t="shared" ref="Y99:AE104" si="184">Y38</f>
        <v>300</v>
      </c>
      <c r="Z99">
        <f t="shared" si="184"/>
        <v>742.84771359086665</v>
      </c>
      <c r="AA99">
        <f t="shared" si="184"/>
        <v>12.106745154680002</v>
      </c>
      <c r="AB99">
        <f t="shared" si="184"/>
        <v>1897.6061531249998</v>
      </c>
      <c r="AC99">
        <f t="shared" si="184"/>
        <v>0</v>
      </c>
      <c r="AD99">
        <f t="shared" si="184"/>
        <v>7.5906445123077995E-2</v>
      </c>
      <c r="AE99">
        <f t="shared" si="184"/>
        <v>255.87775410852217</v>
      </c>
      <c r="AG99">
        <f t="shared" si="177"/>
        <v>2908.5142724241919</v>
      </c>
      <c r="AI99">
        <f t="shared" si="178"/>
        <v>9.6950475747473071E-3</v>
      </c>
      <c r="AJ99" s="10">
        <f t="shared" si="179"/>
        <v>9.6950475747473064</v>
      </c>
      <c r="AL99">
        <f t="shared" si="180"/>
        <v>300</v>
      </c>
      <c r="AM99">
        <f t="shared" si="180"/>
        <v>489.17309652836661</v>
      </c>
      <c r="AN99">
        <f t="shared" si="180"/>
        <v>12.106745154680002</v>
      </c>
      <c r="AO99">
        <f t="shared" si="180"/>
        <v>1897.6061531249998</v>
      </c>
      <c r="AP99">
        <v>0</v>
      </c>
      <c r="AQ99">
        <f t="shared" si="181"/>
        <v>7.5906445123077995E-2</v>
      </c>
      <c r="AR99">
        <f t="shared" si="181"/>
        <v>581.29203982280796</v>
      </c>
      <c r="AT99">
        <f t="shared" si="182"/>
        <v>2980.2539410759773</v>
      </c>
      <c r="AV99">
        <f t="shared" si="183"/>
        <v>9.9341798035865909E-3</v>
      </c>
      <c r="AY99">
        <f t="shared" si="165"/>
        <v>0.12929579469333335</v>
      </c>
      <c r="AZ99">
        <f t="shared" si="165"/>
        <v>0.12897840040469336</v>
      </c>
      <c r="BB99">
        <f t="shared" si="166"/>
        <v>1.9425702724026866E-2</v>
      </c>
      <c r="BC99">
        <f t="shared" si="166"/>
        <v>1.4451648876057155E-2</v>
      </c>
      <c r="BE99">
        <f t="shared" si="167"/>
        <v>1.095268028530765E-2</v>
      </c>
      <c r="BF99">
        <f t="shared" si="167"/>
        <v>9.6950475747473071E-3</v>
      </c>
      <c r="BH99">
        <f t="shared" si="168"/>
        <v>1.3713610683919724E-2</v>
      </c>
      <c r="BI99">
        <f t="shared" si="168"/>
        <v>1.1551220145210457E-2</v>
      </c>
      <c r="BL99">
        <f t="shared" ref="BL99:BS104" si="185">BL38</f>
        <v>0.12929579469333335</v>
      </c>
      <c r="BM99">
        <f t="shared" si="185"/>
        <v>1.9425702724026866E-2</v>
      </c>
      <c r="BN99">
        <f t="shared" si="185"/>
        <v>1.095268028530765E-2</v>
      </c>
      <c r="BO99">
        <f t="shared" si="185"/>
        <v>1.3713610683919724E-2</v>
      </c>
      <c r="BP99">
        <f t="shared" si="185"/>
        <v>0.12897840040469336</v>
      </c>
      <c r="BQ99">
        <f t="shared" si="185"/>
        <v>1.4451648876057155E-2</v>
      </c>
      <c r="BR99">
        <f t="shared" si="185"/>
        <v>9.6950475747473071E-3</v>
      </c>
      <c r="BS99">
        <f t="shared" si="185"/>
        <v>1.1551220145210457E-2</v>
      </c>
      <c r="BV99">
        <f t="shared" ref="BV99:CA104" si="186">BV38</f>
        <v>1.9425702724026866E-2</v>
      </c>
      <c r="BW99">
        <f t="shared" si="186"/>
        <v>1.4451648876057155E-2</v>
      </c>
      <c r="BX99">
        <f t="shared" si="186"/>
        <v>1.095268028530765E-2</v>
      </c>
      <c r="BY99">
        <f t="shared" si="186"/>
        <v>9.6950475747473071E-3</v>
      </c>
      <c r="BZ99">
        <f t="shared" si="186"/>
        <v>1.3713610683919724E-2</v>
      </c>
      <c r="CA99">
        <f t="shared" si="186"/>
        <v>1.1551220145210457E-2</v>
      </c>
    </row>
    <row r="100" spans="2:79" x14ac:dyDescent="0.2">
      <c r="B100">
        <f t="shared" si="161"/>
        <v>400</v>
      </c>
      <c r="C100">
        <f t="shared" si="171"/>
        <v>51514.86</v>
      </c>
      <c r="D100">
        <f t="shared" si="171"/>
        <v>126.93589145600004</v>
      </c>
      <c r="E100">
        <f t="shared" si="171"/>
        <v>51641.795891456</v>
      </c>
      <c r="G100">
        <f t="shared" si="172"/>
        <v>128.78715</v>
      </c>
      <c r="H100">
        <f t="shared" si="172"/>
        <v>0.3173397286400001</v>
      </c>
      <c r="I100">
        <f t="shared" si="172"/>
        <v>0.12910448972864</v>
      </c>
      <c r="L100">
        <f t="shared" si="173"/>
        <v>400</v>
      </c>
      <c r="M100">
        <f t="shared" si="173"/>
        <v>1394.6706000000001</v>
      </c>
      <c r="N100">
        <f t="shared" si="173"/>
        <v>221.00141471999999</v>
      </c>
      <c r="O100">
        <f t="shared" si="173"/>
        <v>2530.1415375000001</v>
      </c>
      <c r="P100">
        <v>0</v>
      </c>
      <c r="Q100">
        <f t="shared" si="174"/>
        <v>7.5906445123077995E-2</v>
      </c>
      <c r="R100">
        <f t="shared" si="174"/>
        <v>32.131325537093588</v>
      </c>
      <c r="T100">
        <f t="shared" si="175"/>
        <v>4178.0207842022164</v>
      </c>
      <c r="V100">
        <f t="shared" si="176"/>
        <v>1.0445051960505542E-2</v>
      </c>
      <c r="Y100">
        <f t="shared" si="184"/>
        <v>400</v>
      </c>
      <c r="Z100">
        <f t="shared" si="184"/>
        <v>990.46361812115538</v>
      </c>
      <c r="AA100">
        <f t="shared" si="184"/>
        <v>15.304671993537143</v>
      </c>
      <c r="AB100">
        <f t="shared" si="184"/>
        <v>2530.1415375000001</v>
      </c>
      <c r="AC100">
        <f t="shared" si="184"/>
        <v>0</v>
      </c>
      <c r="AD100">
        <f t="shared" si="184"/>
        <v>7.5906445123077995E-2</v>
      </c>
      <c r="AE100">
        <f t="shared" si="184"/>
        <v>340.93489696566502</v>
      </c>
      <c r="AG100">
        <f t="shared" si="177"/>
        <v>3876.9206310254804</v>
      </c>
      <c r="AI100">
        <f t="shared" si="178"/>
        <v>9.6923015775637004E-3</v>
      </c>
      <c r="AJ100" s="10">
        <f t="shared" si="179"/>
        <v>9.6923015775637005</v>
      </c>
      <c r="AL100">
        <f t="shared" si="180"/>
        <v>400</v>
      </c>
      <c r="AM100">
        <f t="shared" si="180"/>
        <v>652.23079537115541</v>
      </c>
      <c r="AN100">
        <f t="shared" si="180"/>
        <v>15.304671993537143</v>
      </c>
      <c r="AO100">
        <f t="shared" si="180"/>
        <v>2530.1415375000001</v>
      </c>
      <c r="AP100">
        <v>0</v>
      </c>
      <c r="AQ100">
        <f t="shared" si="181"/>
        <v>7.5906445123077995E-2</v>
      </c>
      <c r="AR100">
        <f t="shared" si="181"/>
        <v>795.7206112513793</v>
      </c>
      <c r="AT100">
        <f t="shared" si="182"/>
        <v>3993.4735225611948</v>
      </c>
      <c r="AV100">
        <f t="shared" si="183"/>
        <v>9.9836838064029862E-3</v>
      </c>
      <c r="AY100">
        <f t="shared" si="165"/>
        <v>0.12963113863999998</v>
      </c>
      <c r="AZ100">
        <f t="shared" si="165"/>
        <v>0.12910448972864</v>
      </c>
      <c r="BB100">
        <f t="shared" si="166"/>
        <v>1.7129480294774801E-2</v>
      </c>
      <c r="BC100">
        <f t="shared" si="166"/>
        <v>1.3580858207489941E-2</v>
      </c>
      <c r="BE100">
        <f t="shared" si="167"/>
        <v>1.0648794104815387E-2</v>
      </c>
      <c r="BF100">
        <f t="shared" si="167"/>
        <v>9.6923015775637004E-3</v>
      </c>
      <c r="BH100">
        <f t="shared" si="168"/>
        <v>1.2831524960984267E-2</v>
      </c>
      <c r="BI100">
        <f t="shared" si="168"/>
        <v>1.1196464062620889E-2</v>
      </c>
      <c r="BL100">
        <f t="shared" si="185"/>
        <v>0.12963113863999998</v>
      </c>
      <c r="BM100">
        <f t="shared" si="185"/>
        <v>1.7129480294774801E-2</v>
      </c>
      <c r="BN100">
        <f t="shared" si="185"/>
        <v>1.0648794104815387E-2</v>
      </c>
      <c r="BO100">
        <f t="shared" si="185"/>
        <v>1.2831524960984267E-2</v>
      </c>
      <c r="BP100">
        <f t="shared" si="185"/>
        <v>0.12910448972864</v>
      </c>
      <c r="BQ100">
        <f t="shared" si="185"/>
        <v>1.3580858207489941E-2</v>
      </c>
      <c r="BR100">
        <f t="shared" si="185"/>
        <v>9.6923015775637004E-3</v>
      </c>
      <c r="BS100">
        <f t="shared" si="185"/>
        <v>1.1196464062620889E-2</v>
      </c>
      <c r="BV100">
        <f t="shared" si="186"/>
        <v>1.7129480294774801E-2</v>
      </c>
      <c r="BW100">
        <f t="shared" si="186"/>
        <v>1.3580858207489941E-2</v>
      </c>
      <c r="BX100">
        <f t="shared" si="186"/>
        <v>1.0648794104815387E-2</v>
      </c>
      <c r="BY100">
        <f t="shared" si="186"/>
        <v>9.6923015775637004E-3</v>
      </c>
      <c r="BZ100">
        <f t="shared" si="186"/>
        <v>1.2831524960984267E-2</v>
      </c>
      <c r="CA100">
        <f t="shared" si="186"/>
        <v>1.1196464062620889E-2</v>
      </c>
    </row>
    <row r="101" spans="2:79" x14ac:dyDescent="0.2">
      <c r="B101">
        <f t="shared" si="161"/>
        <v>500</v>
      </c>
      <c r="C101">
        <f t="shared" si="171"/>
        <v>64393.575000000004</v>
      </c>
      <c r="D101">
        <f t="shared" si="171"/>
        <v>139.12154009599999</v>
      </c>
      <c r="E101">
        <f t="shared" si="171"/>
        <v>64532.696540096003</v>
      </c>
      <c r="G101">
        <f t="shared" si="172"/>
        <v>128.78715</v>
      </c>
      <c r="H101">
        <f t="shared" si="172"/>
        <v>0.278243080192</v>
      </c>
      <c r="I101">
        <f t="shared" si="172"/>
        <v>0.12906539308019199</v>
      </c>
      <c r="L101">
        <f t="shared" si="173"/>
        <v>500</v>
      </c>
      <c r="M101">
        <f t="shared" si="173"/>
        <v>1743.33825</v>
      </c>
      <c r="N101">
        <f t="shared" si="173"/>
        <v>227.34709151999999</v>
      </c>
      <c r="O101">
        <f t="shared" si="173"/>
        <v>3162.6769218750001</v>
      </c>
      <c r="P101">
        <v>0</v>
      </c>
      <c r="Q101">
        <f t="shared" si="174"/>
        <v>7.5906445123077995E-2</v>
      </c>
      <c r="R101">
        <f t="shared" si="174"/>
        <v>32.131325537093588</v>
      </c>
      <c r="T101">
        <f t="shared" si="175"/>
        <v>5165.5694953772163</v>
      </c>
      <c r="V101">
        <f t="shared" si="176"/>
        <v>1.0331138990754432E-2</v>
      </c>
      <c r="Y101">
        <f t="shared" si="184"/>
        <v>500</v>
      </c>
      <c r="Z101">
        <f t="shared" si="184"/>
        <v>1238.0795226514442</v>
      </c>
      <c r="AA101">
        <f t="shared" si="184"/>
        <v>18.502598832394291</v>
      </c>
      <c r="AB101">
        <f t="shared" si="184"/>
        <v>3162.6769218750001</v>
      </c>
      <c r="AC101">
        <f t="shared" si="184"/>
        <v>0</v>
      </c>
      <c r="AD101">
        <f t="shared" si="184"/>
        <v>7.5906445123077995E-2</v>
      </c>
      <c r="AE101">
        <f t="shared" si="184"/>
        <v>424.86346839423641</v>
      </c>
      <c r="AG101">
        <f t="shared" si="177"/>
        <v>4844.1984181981979</v>
      </c>
      <c r="AI101">
        <f t="shared" si="178"/>
        <v>9.6883968363963967E-3</v>
      </c>
      <c r="AJ101" s="10">
        <f t="shared" si="179"/>
        <v>9.6883968363963966</v>
      </c>
      <c r="AL101">
        <f t="shared" si="180"/>
        <v>500</v>
      </c>
      <c r="AM101">
        <f t="shared" si="180"/>
        <v>815.28849421394432</v>
      </c>
      <c r="AN101">
        <f t="shared" si="180"/>
        <v>18.502598832394291</v>
      </c>
      <c r="AO101">
        <f t="shared" si="180"/>
        <v>3162.6769218750001</v>
      </c>
      <c r="AP101">
        <v>0</v>
      </c>
      <c r="AQ101">
        <f t="shared" si="181"/>
        <v>7.5906445123077995E-2</v>
      </c>
      <c r="AR101">
        <f t="shared" si="181"/>
        <v>979.00632553709363</v>
      </c>
      <c r="AT101">
        <f t="shared" si="182"/>
        <v>4975.5502469035555</v>
      </c>
      <c r="AV101">
        <f t="shared" si="183"/>
        <v>9.9511004938071107E-3</v>
      </c>
      <c r="AY101">
        <f t="shared" si="165"/>
        <v>0.129527158192</v>
      </c>
      <c r="AZ101">
        <f t="shared" si="165"/>
        <v>0.12906539308019199</v>
      </c>
      <c r="BB101">
        <f t="shared" si="166"/>
        <v>1.7142957849877283E-2</v>
      </c>
      <c r="BC101">
        <f t="shared" si="166"/>
        <v>1.3780525862437273E-2</v>
      </c>
      <c r="BE101">
        <f t="shared" si="167"/>
        <v>1.046420525366289E-2</v>
      </c>
      <c r="BF101">
        <f t="shared" si="167"/>
        <v>9.6883968363963967E-3</v>
      </c>
      <c r="BH101">
        <f t="shared" si="168"/>
        <v>1.2239987812937276E-2</v>
      </c>
      <c r="BI101">
        <f t="shared" si="168"/>
        <v>1.0921324698781432E-2</v>
      </c>
      <c r="BL101">
        <f t="shared" si="185"/>
        <v>0.129527158192</v>
      </c>
      <c r="BM101">
        <f t="shared" si="185"/>
        <v>1.7142957849877283E-2</v>
      </c>
      <c r="BN101">
        <f t="shared" si="185"/>
        <v>1.046420525366289E-2</v>
      </c>
      <c r="BO101">
        <f t="shared" si="185"/>
        <v>1.2239987812937276E-2</v>
      </c>
      <c r="BP101">
        <f t="shared" si="185"/>
        <v>0.12906539308019199</v>
      </c>
      <c r="BQ101">
        <f t="shared" si="185"/>
        <v>1.3780525862437273E-2</v>
      </c>
      <c r="BR101">
        <f t="shared" si="185"/>
        <v>9.6883968363963967E-3</v>
      </c>
      <c r="BS101">
        <f t="shared" si="185"/>
        <v>1.0921324698781432E-2</v>
      </c>
      <c r="BV101">
        <f t="shared" si="186"/>
        <v>1.7142957849877283E-2</v>
      </c>
      <c r="BW101">
        <f t="shared" si="186"/>
        <v>1.3780525862437273E-2</v>
      </c>
      <c r="BX101">
        <f t="shared" si="186"/>
        <v>1.046420525366289E-2</v>
      </c>
      <c r="BY101">
        <f t="shared" si="186"/>
        <v>9.6883968363963967E-3</v>
      </c>
      <c r="BZ101">
        <f t="shared" si="186"/>
        <v>1.2239987812937276E-2</v>
      </c>
      <c r="CA101">
        <f t="shared" si="186"/>
        <v>1.0921324698781432E-2</v>
      </c>
    </row>
    <row r="102" spans="2:79" x14ac:dyDescent="0.2">
      <c r="B102">
        <f t="shared" si="161"/>
        <v>600</v>
      </c>
      <c r="C102">
        <f t="shared" si="171"/>
        <v>77272.290000000008</v>
      </c>
      <c r="D102">
        <f t="shared" si="171"/>
        <v>151.30718873600006</v>
      </c>
      <c r="E102">
        <f t="shared" si="171"/>
        <v>77423.597188736007</v>
      </c>
      <c r="G102">
        <f t="shared" si="172"/>
        <v>128.78715000000003</v>
      </c>
      <c r="H102">
        <f t="shared" si="172"/>
        <v>0.25217864789333344</v>
      </c>
      <c r="I102">
        <f t="shared" si="172"/>
        <v>0.12903932864789336</v>
      </c>
      <c r="L102">
        <f t="shared" si="173"/>
        <v>600</v>
      </c>
      <c r="M102">
        <f t="shared" si="173"/>
        <v>2092.0059000000001</v>
      </c>
      <c r="N102">
        <f t="shared" si="173"/>
        <v>234.75038111999999</v>
      </c>
      <c r="O102">
        <f t="shared" si="173"/>
        <v>3795.2123062499995</v>
      </c>
      <c r="P102">
        <v>0</v>
      </c>
      <c r="Q102">
        <f t="shared" si="174"/>
        <v>7.5906445123077995E-2</v>
      </c>
      <c r="R102">
        <f t="shared" si="174"/>
        <v>32.131325537093588</v>
      </c>
      <c r="T102">
        <f t="shared" si="175"/>
        <v>6154.1758193522164</v>
      </c>
      <c r="V102">
        <f t="shared" si="176"/>
        <v>1.025695969892036E-2</v>
      </c>
      <c r="Y102">
        <f t="shared" si="184"/>
        <v>600</v>
      </c>
      <c r="Z102">
        <f t="shared" si="184"/>
        <v>1485.6954271817333</v>
      </c>
      <c r="AA102">
        <f t="shared" si="184"/>
        <v>21.700525671251434</v>
      </c>
      <c r="AB102">
        <f t="shared" si="184"/>
        <v>3795.2123062499995</v>
      </c>
      <c r="AC102">
        <f t="shared" si="184"/>
        <v>0</v>
      </c>
      <c r="AD102">
        <f t="shared" si="184"/>
        <v>7.5906445123077995E-2</v>
      </c>
      <c r="AE102">
        <f t="shared" si="184"/>
        <v>510.7206112513793</v>
      </c>
      <c r="AG102">
        <f t="shared" si="177"/>
        <v>5813.4047767994871</v>
      </c>
      <c r="AI102">
        <f t="shared" si="178"/>
        <v>9.6890079613324784E-3</v>
      </c>
      <c r="AJ102" s="10">
        <f t="shared" si="179"/>
        <v>9.6890079613324787</v>
      </c>
      <c r="AL102">
        <f t="shared" si="180"/>
        <v>600</v>
      </c>
      <c r="AM102">
        <f t="shared" si="180"/>
        <v>978.34619305673323</v>
      </c>
      <c r="AN102">
        <f t="shared" si="180"/>
        <v>21.700525671251434</v>
      </c>
      <c r="AO102">
        <f t="shared" si="180"/>
        <v>3795.2123062499995</v>
      </c>
      <c r="AP102">
        <v>0</v>
      </c>
      <c r="AQ102">
        <f t="shared" si="181"/>
        <v>7.5906445123077995E-2</v>
      </c>
      <c r="AR102">
        <f t="shared" si="181"/>
        <v>1162.4348969656648</v>
      </c>
      <c r="AT102">
        <f t="shared" si="182"/>
        <v>5957.7698283887721</v>
      </c>
      <c r="AV102">
        <f t="shared" si="183"/>
        <v>9.9296163806479529E-3</v>
      </c>
      <c r="AY102">
        <f t="shared" si="165"/>
        <v>0.12945783789333337</v>
      </c>
      <c r="AZ102">
        <f t="shared" si="165"/>
        <v>0.12903932864789336</v>
      </c>
      <c r="BB102">
        <f t="shared" si="166"/>
        <v>1.6755738124026871E-2</v>
      </c>
      <c r="BC102">
        <f t="shared" si="166"/>
        <v>1.3654083133153463E-2</v>
      </c>
      <c r="BE102">
        <f t="shared" si="167"/>
        <v>1.0344360305275508E-2</v>
      </c>
      <c r="BF102">
        <f t="shared" si="167"/>
        <v>9.6890079613324784E-3</v>
      </c>
      <c r="BH102">
        <f t="shared" si="168"/>
        <v>1.278032075058641E-2</v>
      </c>
      <c r="BI102">
        <f t="shared" si="168"/>
        <v>1.1411903360469832E-2</v>
      </c>
      <c r="BL102">
        <f t="shared" si="185"/>
        <v>0.12945783789333337</v>
      </c>
      <c r="BM102">
        <f t="shared" si="185"/>
        <v>1.6755738124026871E-2</v>
      </c>
      <c r="BN102">
        <f t="shared" si="185"/>
        <v>1.0344360305275508E-2</v>
      </c>
      <c r="BO102">
        <f t="shared" si="185"/>
        <v>1.278032075058641E-2</v>
      </c>
      <c r="BP102">
        <f t="shared" si="185"/>
        <v>0.12903932864789336</v>
      </c>
      <c r="BQ102">
        <f t="shared" si="185"/>
        <v>1.3654083133153463E-2</v>
      </c>
      <c r="BR102">
        <f t="shared" si="185"/>
        <v>9.6890079613324784E-3</v>
      </c>
      <c r="BS102">
        <f t="shared" si="185"/>
        <v>1.1411903360469832E-2</v>
      </c>
      <c r="BV102">
        <f t="shared" si="186"/>
        <v>1.6755738124026871E-2</v>
      </c>
      <c r="BW102">
        <f t="shared" si="186"/>
        <v>1.3654083133153463E-2</v>
      </c>
      <c r="BX102">
        <f t="shared" si="186"/>
        <v>1.0344360305275508E-2</v>
      </c>
      <c r="BY102">
        <f t="shared" si="186"/>
        <v>9.6890079613324784E-3</v>
      </c>
      <c r="BZ102">
        <f t="shared" si="186"/>
        <v>1.278032075058641E-2</v>
      </c>
      <c r="CA102">
        <f t="shared" si="186"/>
        <v>1.1411903360469832E-2</v>
      </c>
    </row>
    <row r="103" spans="2:79" x14ac:dyDescent="0.2">
      <c r="B103">
        <f t="shared" si="161"/>
        <v>800</v>
      </c>
      <c r="C103">
        <f t="shared" si="171"/>
        <v>103029.72</v>
      </c>
      <c r="D103">
        <f t="shared" si="171"/>
        <v>263.517729024</v>
      </c>
      <c r="E103">
        <f t="shared" si="171"/>
        <v>103293.237729024</v>
      </c>
      <c r="G103">
        <f t="shared" si="172"/>
        <v>128.78715</v>
      </c>
      <c r="H103">
        <f t="shared" si="172"/>
        <v>0.32939716128000002</v>
      </c>
      <c r="I103">
        <f t="shared" si="172"/>
        <v>0.12911654716128002</v>
      </c>
      <c r="L103">
        <f t="shared" si="173"/>
        <v>800</v>
      </c>
      <c r="M103">
        <f t="shared" si="173"/>
        <v>2789.3412000000003</v>
      </c>
      <c r="N103">
        <f t="shared" si="173"/>
        <v>247.44173472000003</v>
      </c>
      <c r="O103">
        <f t="shared" si="173"/>
        <v>5060.2830750000003</v>
      </c>
      <c r="P103">
        <v>0</v>
      </c>
      <c r="Q103">
        <f t="shared" si="174"/>
        <v>7.5906445123077995E-2</v>
      </c>
      <c r="R103">
        <f t="shared" si="174"/>
        <v>32.131325537093588</v>
      </c>
      <c r="T103">
        <f t="shared" si="175"/>
        <v>8129.2732417022171</v>
      </c>
      <c r="V103">
        <f t="shared" si="176"/>
        <v>1.016159155212777E-2</v>
      </c>
      <c r="Y103">
        <f t="shared" si="184"/>
        <v>800</v>
      </c>
      <c r="Z103">
        <f t="shared" si="184"/>
        <v>1980.9272362423108</v>
      </c>
      <c r="AA103">
        <f t="shared" si="184"/>
        <v>28.096379348965716</v>
      </c>
      <c r="AB103">
        <f t="shared" si="184"/>
        <v>5060.2830750000003</v>
      </c>
      <c r="AC103">
        <f t="shared" si="184"/>
        <v>0</v>
      </c>
      <c r="AD103">
        <f t="shared" si="184"/>
        <v>7.5906445123077995E-2</v>
      </c>
      <c r="AE103">
        <f t="shared" si="184"/>
        <v>597.29203982280796</v>
      </c>
      <c r="AG103">
        <f t="shared" si="177"/>
        <v>7666.6746368592076</v>
      </c>
      <c r="AI103">
        <f t="shared" si="178"/>
        <v>9.5833432960740084E-3</v>
      </c>
      <c r="AJ103" s="10">
        <f t="shared" si="179"/>
        <v>9.583343296074009</v>
      </c>
      <c r="AL103">
        <f t="shared" si="180"/>
        <v>800</v>
      </c>
      <c r="AM103">
        <f t="shared" si="180"/>
        <v>1304.4615907423108</v>
      </c>
      <c r="AN103">
        <f t="shared" si="180"/>
        <v>28.096379348965716</v>
      </c>
      <c r="AO103">
        <f t="shared" si="180"/>
        <v>5060.2830750000003</v>
      </c>
      <c r="AP103">
        <v>0</v>
      </c>
      <c r="AQ103">
        <f t="shared" si="181"/>
        <v>7.5906445123077995E-2</v>
      </c>
      <c r="AR103">
        <f t="shared" si="181"/>
        <v>1380.8634683942364</v>
      </c>
      <c r="AT103">
        <f t="shared" si="182"/>
        <v>7773.7804199306365</v>
      </c>
      <c r="AV103">
        <f t="shared" si="183"/>
        <v>9.7172255249132963E-3</v>
      </c>
      <c r="AY103">
        <f t="shared" si="165"/>
        <v>0.12966320628</v>
      </c>
      <c r="AZ103">
        <f t="shared" si="165"/>
        <v>0.12911654716128002</v>
      </c>
      <c r="BB103">
        <f t="shared" si="166"/>
        <v>1.59640118947748E-2</v>
      </c>
      <c r="BC103">
        <f t="shared" si="166"/>
        <v>1.329739779911217E-2</v>
      </c>
      <c r="BE103">
        <f t="shared" si="167"/>
        <v>1.0088125548362709E-2</v>
      </c>
      <c r="BF103">
        <f t="shared" si="167"/>
        <v>9.5833432960740084E-3</v>
      </c>
      <c r="BH103">
        <f t="shared" si="168"/>
        <v>1.3495344149528467E-2</v>
      </c>
      <c r="BI103">
        <f t="shared" si="168"/>
        <v>1.1940655994646113E-2</v>
      </c>
      <c r="BL103">
        <f t="shared" si="185"/>
        <v>0.12966320628</v>
      </c>
      <c r="BM103">
        <f t="shared" si="185"/>
        <v>1.59640118947748E-2</v>
      </c>
      <c r="BN103">
        <f t="shared" si="185"/>
        <v>1.0088125548362709E-2</v>
      </c>
      <c r="BO103">
        <f t="shared" si="185"/>
        <v>1.3495344149528467E-2</v>
      </c>
      <c r="BP103">
        <f t="shared" si="185"/>
        <v>0.12911654716128002</v>
      </c>
      <c r="BQ103">
        <f t="shared" si="185"/>
        <v>1.329739779911217E-2</v>
      </c>
      <c r="BR103">
        <f t="shared" si="185"/>
        <v>9.5833432960740084E-3</v>
      </c>
      <c r="BS103">
        <f t="shared" si="185"/>
        <v>1.1940655994646113E-2</v>
      </c>
      <c r="BV103">
        <f t="shared" si="186"/>
        <v>1.59640118947748E-2</v>
      </c>
      <c r="BW103">
        <f t="shared" si="186"/>
        <v>1.329739779911217E-2</v>
      </c>
      <c r="BX103">
        <f t="shared" si="186"/>
        <v>1.0088125548362709E-2</v>
      </c>
      <c r="BY103">
        <f t="shared" si="186"/>
        <v>9.5833432960740084E-3</v>
      </c>
      <c r="BZ103">
        <f t="shared" si="186"/>
        <v>1.3495344149528467E-2</v>
      </c>
      <c r="CA103">
        <f t="shared" si="186"/>
        <v>1.1940655994646113E-2</v>
      </c>
    </row>
    <row r="104" spans="2:79" x14ac:dyDescent="0.2">
      <c r="B104">
        <f t="shared" si="161"/>
        <v>1000</v>
      </c>
      <c r="C104">
        <f t="shared" si="171"/>
        <v>128787.15000000001</v>
      </c>
      <c r="D104">
        <f t="shared" si="171"/>
        <v>400.09956659200003</v>
      </c>
      <c r="E104">
        <f t="shared" si="171"/>
        <v>129187.24956659201</v>
      </c>
      <c r="G104">
        <f t="shared" si="172"/>
        <v>128.78715</v>
      </c>
      <c r="H104">
        <f t="shared" si="172"/>
        <v>0.40009956659200002</v>
      </c>
      <c r="I104">
        <f t="shared" si="172"/>
        <v>0.129187249566592</v>
      </c>
      <c r="L104">
        <f t="shared" si="173"/>
        <v>1000</v>
      </c>
      <c r="M104">
        <f t="shared" si="173"/>
        <v>3486.6765</v>
      </c>
      <c r="N104">
        <f t="shared" si="173"/>
        <v>262.24831391999999</v>
      </c>
      <c r="O104">
        <f t="shared" si="173"/>
        <v>6325.3538437500001</v>
      </c>
      <c r="P104">
        <v>0</v>
      </c>
      <c r="Q104">
        <f t="shared" si="174"/>
        <v>7.5906445123077995E-2</v>
      </c>
      <c r="R104">
        <f t="shared" si="174"/>
        <v>32.131325537093588</v>
      </c>
      <c r="T104">
        <f t="shared" si="175"/>
        <v>10106.485889652216</v>
      </c>
      <c r="V104">
        <f t="shared" si="176"/>
        <v>1.0106485889652217E-2</v>
      </c>
      <c r="Y104">
        <f t="shared" si="184"/>
        <v>1000</v>
      </c>
      <c r="Z104">
        <f t="shared" si="184"/>
        <v>2476.1590453028884</v>
      </c>
      <c r="AA104">
        <f t="shared" si="184"/>
        <v>34.492233026679997</v>
      </c>
      <c r="AB104">
        <f t="shared" si="184"/>
        <v>6325.3538437500001</v>
      </c>
      <c r="AC104">
        <f t="shared" si="184"/>
        <v>0</v>
      </c>
      <c r="AD104">
        <f t="shared" si="184"/>
        <v>7.5906445123077995E-2</v>
      </c>
      <c r="AE104">
        <f t="shared" si="184"/>
        <v>687.14918267995074</v>
      </c>
      <c r="AG104">
        <f t="shared" si="177"/>
        <v>9523.2302112046418</v>
      </c>
      <c r="AI104">
        <f t="shared" si="178"/>
        <v>9.5232302112046412E-3</v>
      </c>
      <c r="AJ104" s="10">
        <f t="shared" si="179"/>
        <v>9.5232302112046412</v>
      </c>
      <c r="AL104">
        <f t="shared" si="180"/>
        <v>1000</v>
      </c>
      <c r="AM104">
        <f t="shared" si="180"/>
        <v>1630.5769884278886</v>
      </c>
      <c r="AN104">
        <f t="shared" si="180"/>
        <v>34.492233026679997</v>
      </c>
      <c r="AO104">
        <f t="shared" si="180"/>
        <v>6325.3538437500001</v>
      </c>
      <c r="AP104">
        <v>0</v>
      </c>
      <c r="AQ104">
        <f t="shared" si="181"/>
        <v>7.5906445123077995E-2</v>
      </c>
      <c r="AR104">
        <f t="shared" si="181"/>
        <v>1560.0063255370935</v>
      </c>
      <c r="AT104">
        <f t="shared" si="182"/>
        <v>9550.5052971867863</v>
      </c>
      <c r="AV104">
        <f t="shared" si="183"/>
        <v>9.5505052971867864E-3</v>
      </c>
      <c r="AY104">
        <f t="shared" si="165"/>
        <v>0.12985124459200001</v>
      </c>
      <c r="AZ104">
        <f t="shared" si="165"/>
        <v>0.129187249566592</v>
      </c>
      <c r="BB104">
        <f t="shared" si="166"/>
        <v>1.6216208729877279E-2</v>
      </c>
      <c r="BC104">
        <f t="shared" si="166"/>
        <v>1.3555872761335056E-2</v>
      </c>
      <c r="BE104">
        <f t="shared" si="167"/>
        <v>9.9376704085007463E-3</v>
      </c>
      <c r="BF104">
        <f t="shared" si="167"/>
        <v>9.5232302112046412E-3</v>
      </c>
      <c r="BH104">
        <f t="shared" si="168"/>
        <v>1.2583614592344064E-2</v>
      </c>
      <c r="BI104">
        <f t="shared" si="168"/>
        <v>1.132924967297304E-2</v>
      </c>
      <c r="BL104">
        <f t="shared" si="185"/>
        <v>0.12985124459200001</v>
      </c>
      <c r="BM104">
        <f t="shared" si="185"/>
        <v>1.6216208729877279E-2</v>
      </c>
      <c r="BN104">
        <f t="shared" si="185"/>
        <v>9.9376704085007463E-3</v>
      </c>
      <c r="BO104">
        <f t="shared" si="185"/>
        <v>1.2583614592344064E-2</v>
      </c>
      <c r="BP104">
        <f t="shared" si="185"/>
        <v>0.129187249566592</v>
      </c>
      <c r="BQ104">
        <f t="shared" si="185"/>
        <v>1.3555872761335056E-2</v>
      </c>
      <c r="BR104">
        <f t="shared" si="185"/>
        <v>9.5232302112046412E-3</v>
      </c>
      <c r="BS104">
        <f t="shared" si="185"/>
        <v>1.132924967297304E-2</v>
      </c>
      <c r="BV104">
        <f t="shared" si="186"/>
        <v>1.6216208729877279E-2</v>
      </c>
      <c r="BW104">
        <f t="shared" si="186"/>
        <v>1.3555872761335056E-2</v>
      </c>
      <c r="BX104">
        <f t="shared" si="186"/>
        <v>9.9376704085007463E-3</v>
      </c>
      <c r="BY104">
        <f t="shared" si="186"/>
        <v>9.5232302112046412E-3</v>
      </c>
      <c r="BZ104">
        <f t="shared" si="186"/>
        <v>1.2583614592344064E-2</v>
      </c>
      <c r="CA104">
        <f t="shared" si="186"/>
        <v>1.132924967297304E-2</v>
      </c>
    </row>
    <row r="108" spans="2:79" x14ac:dyDescent="0.2">
      <c r="Y108" t="s">
        <v>89</v>
      </c>
      <c r="Z108" t="s">
        <v>224</v>
      </c>
      <c r="AA108" t="s">
        <v>405</v>
      </c>
      <c r="AB108" t="s">
        <v>406</v>
      </c>
    </row>
    <row r="109" spans="2:79" x14ac:dyDescent="0.2">
      <c r="Y109">
        <v>5</v>
      </c>
      <c r="Z109">
        <v>1.5750904505633333E-2</v>
      </c>
      <c r="AA109">
        <v>1.1083468763532263E-2</v>
      </c>
      <c r="AB109">
        <v>1.2673886706657266E-2</v>
      </c>
    </row>
    <row r="110" spans="2:79" x14ac:dyDescent="0.2">
      <c r="Y110">
        <v>10</v>
      </c>
      <c r="Z110">
        <v>1.4911196062051664E-2</v>
      </c>
      <c r="AA110">
        <v>9.7371012448344042E-3</v>
      </c>
      <c r="AB110">
        <v>1.0865376330816549E-2</v>
      </c>
    </row>
    <row r="111" spans="2:79" x14ac:dyDescent="0.2">
      <c r="Y111">
        <v>20</v>
      </c>
      <c r="Z111">
        <v>1.5143603648860828E-2</v>
      </c>
      <c r="AA111">
        <v>9.6024063810669514E-3</v>
      </c>
      <c r="AB111">
        <v>1.0350681467049093E-2</v>
      </c>
    </row>
    <row r="112" spans="2:79" x14ac:dyDescent="0.2">
      <c r="Y112">
        <v>30</v>
      </c>
      <c r="Z112">
        <v>1.2159686013164044E-2</v>
      </c>
      <c r="AA112">
        <v>9.5766369458293796E-3</v>
      </c>
      <c r="AB112">
        <v>1.0201769174668668E-2</v>
      </c>
    </row>
    <row r="113" spans="25:28" x14ac:dyDescent="0.2">
      <c r="Y113">
        <v>50</v>
      </c>
      <c r="Z113">
        <v>1.1372316981909169E-2</v>
      </c>
      <c r="AA113">
        <v>9.5355389469908205E-3</v>
      </c>
      <c r="AB113">
        <v>9.9980997472586784E-3</v>
      </c>
    </row>
    <row r="114" spans="25:28" x14ac:dyDescent="0.2">
      <c r="Y114">
        <v>75</v>
      </c>
      <c r="Z114">
        <v>1.1774981755093741E-2</v>
      </c>
      <c r="AA114">
        <v>9.5001337510648275E-3</v>
      </c>
      <c r="AB114">
        <v>1.027740883704697E-2</v>
      </c>
    </row>
    <row r="115" spans="25:28" x14ac:dyDescent="0.2">
      <c r="Y115">
        <v>100</v>
      </c>
      <c r="Z115">
        <v>1.2058618301386275E-2</v>
      </c>
      <c r="AA115">
        <v>9.4877402037361405E-3</v>
      </c>
      <c r="AB115">
        <v>1.0172158146861142E-2</v>
      </c>
    </row>
    <row r="116" spans="25:28" x14ac:dyDescent="0.2">
      <c r="Y116">
        <v>150</v>
      </c>
      <c r="Z116">
        <v>1.214419007589811E-2</v>
      </c>
      <c r="AA116">
        <v>9.7145960815160082E-3</v>
      </c>
      <c r="AB116">
        <v>9.9492045008314853E-3</v>
      </c>
    </row>
    <row r="117" spans="25:28" x14ac:dyDescent="0.2">
      <c r="Y117">
        <v>200</v>
      </c>
      <c r="Z117">
        <v>1.1599357758861086E-2</v>
      </c>
      <c r="AA117">
        <v>9.7087486719259434E-3</v>
      </c>
      <c r="AB117">
        <v>9.9995951864795141E-3</v>
      </c>
    </row>
    <row r="118" spans="25:28" x14ac:dyDescent="0.2">
      <c r="Y118">
        <v>300</v>
      </c>
      <c r="Z118">
        <v>1.1054525441824056E-2</v>
      </c>
      <c r="AA118">
        <v>9.6950475747473071E-3</v>
      </c>
      <c r="AB118">
        <v>9.9341798035865909E-3</v>
      </c>
    </row>
    <row r="119" spans="25:28" x14ac:dyDescent="0.2">
      <c r="Y119">
        <v>400</v>
      </c>
      <c r="Z119">
        <v>1.0445051960505542E-2</v>
      </c>
      <c r="AA119">
        <v>9.6923015775637004E-3</v>
      </c>
      <c r="AB119">
        <v>9.9836838064029862E-3</v>
      </c>
    </row>
    <row r="120" spans="25:28" x14ac:dyDescent="0.2">
      <c r="Y120">
        <v>500</v>
      </c>
      <c r="Z120">
        <v>1.0331138990754432E-2</v>
      </c>
      <c r="AA120">
        <v>9.6883968363963967E-3</v>
      </c>
      <c r="AB120">
        <v>9.9511004938071107E-3</v>
      </c>
    </row>
    <row r="121" spans="25:28" x14ac:dyDescent="0.2">
      <c r="Y121">
        <v>600</v>
      </c>
      <c r="Z121">
        <v>1.025695969892036E-2</v>
      </c>
      <c r="AA121">
        <v>9.6890079613324784E-3</v>
      </c>
      <c r="AB121">
        <v>9.9296163806479529E-3</v>
      </c>
    </row>
    <row r="122" spans="25:28" x14ac:dyDescent="0.2">
      <c r="Y122">
        <v>800</v>
      </c>
      <c r="Z122">
        <v>1.016159155212777E-2</v>
      </c>
      <c r="AA122">
        <v>9.5833432960740084E-3</v>
      </c>
      <c r="AB122">
        <v>9.7172255249132963E-3</v>
      </c>
    </row>
    <row r="123" spans="25:28" x14ac:dyDescent="0.2">
      <c r="Y123">
        <v>1000</v>
      </c>
      <c r="Z123">
        <v>1.0106485889652217E-2</v>
      </c>
      <c r="AA123">
        <v>9.5232302112046412E-3</v>
      </c>
      <c r="AB123">
        <v>9.5505052971867864E-3</v>
      </c>
    </row>
    <row r="125" spans="25:28" x14ac:dyDescent="0.2">
      <c r="Z125" s="82">
        <f>AVERAGE(Z109:Z123)</f>
        <v>1.1951373909109506E-2</v>
      </c>
      <c r="AA125" s="82">
        <f>AVERAGE(AA109:AA123)</f>
        <v>9.7211798965210188E-3</v>
      </c>
      <c r="AB125" s="82">
        <f>AVERAGE(AB109:AB123)</f>
        <v>1.0236966093614273E-2</v>
      </c>
    </row>
    <row r="126" spans="25:28" x14ac:dyDescent="0.2">
      <c r="Z126" s="82"/>
      <c r="AA126" s="82"/>
      <c r="AB126" s="82"/>
    </row>
    <row r="127" spans="25:28" x14ac:dyDescent="0.2">
      <c r="Z127" s="82">
        <f>_xlfn.STDEV.P(Z109:Z123)</f>
        <v>1.8100864966073729E-3</v>
      </c>
      <c r="AA127" s="82">
        <f>_xlfn.STDEV.P(AA109:AA123)</f>
        <v>3.7335504247391297E-4</v>
      </c>
      <c r="AB127" s="82">
        <f>_xlfn.STDEV.P(AB109:AB123)</f>
        <v>7.1288470942178618E-4</v>
      </c>
    </row>
    <row r="129" spans="26:28" x14ac:dyDescent="0.2">
      <c r="Z129" s="3">
        <f>Z125*1000</f>
        <v>11.951373909109506</v>
      </c>
      <c r="AA129" s="3">
        <f>AA125*1000</f>
        <v>9.7211798965210185</v>
      </c>
      <c r="AB129" s="3">
        <f>AB125*1000</f>
        <v>10.236966093614273</v>
      </c>
    </row>
    <row r="130" spans="26:28" x14ac:dyDescent="0.2">
      <c r="Z130" s="3"/>
      <c r="AA130" s="3"/>
      <c r="AB130" s="3"/>
    </row>
    <row r="131" spans="26:28" x14ac:dyDescent="0.2">
      <c r="Z131" s="3">
        <f>Z127*1000</f>
        <v>1.8100864966073729</v>
      </c>
      <c r="AA131" s="3">
        <f>AA127*1000</f>
        <v>0.37335504247391299</v>
      </c>
      <c r="AB131" s="3">
        <f>AB127*1000</f>
        <v>0.71288470942178617</v>
      </c>
    </row>
  </sheetData>
  <mergeCells count="4">
    <mergeCell ref="A1:J1"/>
    <mergeCell ref="K1:W1"/>
    <mergeCell ref="X1:AJ1"/>
    <mergeCell ref="AK1:AW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7AC7E-0FB4-4D35-B091-F25DA28B8FDB}">
  <sheetPr>
    <tabColor rgb="FFFF0000"/>
  </sheetPr>
  <dimension ref="A3:Y85"/>
  <sheetViews>
    <sheetView topLeftCell="D67" zoomScaleNormal="100" workbookViewId="0">
      <selection activeCell="N100" sqref="N100"/>
    </sheetView>
  </sheetViews>
  <sheetFormatPr defaultRowHeight="14.25" x14ac:dyDescent="0.2"/>
  <cols>
    <col min="10" max="10" width="10.75" customWidth="1"/>
    <col min="12" max="12" width="16.5" bestFit="1" customWidth="1"/>
  </cols>
  <sheetData>
    <row r="3" spans="2:25" ht="15" thickBot="1" x14ac:dyDescent="0.25">
      <c r="B3" s="24" t="s">
        <v>151</v>
      </c>
      <c r="Y3" t="s">
        <v>474</v>
      </c>
    </row>
    <row r="4" spans="2:25" ht="29.25" thickTop="1" x14ac:dyDescent="0.2">
      <c r="C4" s="25" t="s">
        <v>152</v>
      </c>
      <c r="D4" s="28" t="s">
        <v>153</v>
      </c>
      <c r="E4" s="28" t="s">
        <v>154</v>
      </c>
      <c r="H4" t="s">
        <v>465</v>
      </c>
    </row>
    <row r="5" spans="2:25" x14ac:dyDescent="0.2">
      <c r="B5">
        <v>2018</v>
      </c>
      <c r="D5" s="26">
        <v>173.01154598385835</v>
      </c>
      <c r="E5" s="26">
        <v>204.97473325931037</v>
      </c>
      <c r="H5" t="s">
        <v>466</v>
      </c>
      <c r="Y5" t="s">
        <v>503</v>
      </c>
    </row>
    <row r="6" spans="2:25" x14ac:dyDescent="0.2">
      <c r="B6" s="23">
        <v>2019</v>
      </c>
      <c r="C6" s="22">
        <v>156.00368460000001</v>
      </c>
      <c r="D6" s="26">
        <v>143.97398778869405</v>
      </c>
      <c r="E6" s="26">
        <v>194.65878956597896</v>
      </c>
      <c r="H6" t="s">
        <v>467</v>
      </c>
    </row>
    <row r="7" spans="2:25" x14ac:dyDescent="0.2">
      <c r="B7" s="23">
        <v>2020</v>
      </c>
      <c r="C7" s="22">
        <v>146.94332610000001</v>
      </c>
      <c r="D7" s="26">
        <v>136.48778902190833</v>
      </c>
      <c r="E7" s="26">
        <v>180.89185725327081</v>
      </c>
      <c r="H7" t="s">
        <v>468</v>
      </c>
      <c r="Y7" s="46" t="s">
        <v>475</v>
      </c>
    </row>
    <row r="8" spans="2:25" x14ac:dyDescent="0.2">
      <c r="B8" s="23">
        <v>2021</v>
      </c>
      <c r="C8" s="22">
        <v>137.19807069999999</v>
      </c>
      <c r="D8" s="26">
        <v>114.81012931568604</v>
      </c>
      <c r="E8" s="26">
        <v>170.87686907454056</v>
      </c>
      <c r="Y8" s="46" t="s">
        <v>476</v>
      </c>
    </row>
    <row r="9" spans="2:25" x14ac:dyDescent="0.2">
      <c r="B9" s="23">
        <v>2022</v>
      </c>
      <c r="C9" s="22">
        <v>127.27722199999999</v>
      </c>
      <c r="D9" s="26">
        <v>107.98551504516428</v>
      </c>
      <c r="E9" s="26">
        <v>147.81276782970548</v>
      </c>
      <c r="H9" t="s">
        <v>469</v>
      </c>
      <c r="Y9" s="45"/>
    </row>
    <row r="10" spans="2:25" x14ac:dyDescent="0.2">
      <c r="B10" s="23">
        <v>2023</v>
      </c>
      <c r="C10" s="22">
        <v>119.1275091</v>
      </c>
      <c r="D10" s="26">
        <v>110.97305427422255</v>
      </c>
      <c r="E10" s="26">
        <v>144.2608194707457</v>
      </c>
      <c r="Y10" s="46" t="s">
        <v>477</v>
      </c>
    </row>
    <row r="11" spans="2:25" x14ac:dyDescent="0.2">
      <c r="B11" s="23">
        <v>2024</v>
      </c>
      <c r="C11" s="22">
        <v>128.4439879</v>
      </c>
      <c r="D11" s="26">
        <v>111.33434651195273</v>
      </c>
      <c r="E11" s="26">
        <v>150.1028743708379</v>
      </c>
      <c r="Y11" s="45"/>
    </row>
    <row r="12" spans="2:25" x14ac:dyDescent="0.2">
      <c r="B12" s="23">
        <v>2025</v>
      </c>
      <c r="C12" s="22">
        <v>108.2024037</v>
      </c>
      <c r="D12" s="26">
        <v>107.78429100753513</v>
      </c>
      <c r="E12" s="26">
        <v>140.79132832519022</v>
      </c>
      <c r="Y12" s="47" t="s">
        <v>478</v>
      </c>
    </row>
    <row r="13" spans="2:25" x14ac:dyDescent="0.2">
      <c r="B13" s="23">
        <v>2026</v>
      </c>
      <c r="C13" s="22">
        <v>90.164698819999998</v>
      </c>
      <c r="D13" s="26">
        <v>97.670797436706849</v>
      </c>
      <c r="E13" s="26">
        <v>114.21700261320677</v>
      </c>
      <c r="Y13" s="45"/>
    </row>
    <row r="14" spans="2:25" x14ac:dyDescent="0.2">
      <c r="B14" s="23">
        <v>2027</v>
      </c>
      <c r="C14" s="22">
        <v>85.440193519999994</v>
      </c>
      <c r="D14" s="26">
        <v>105.49059593649828</v>
      </c>
      <c r="E14" s="26">
        <v>119.36858758550882</v>
      </c>
      <c r="Y14" s="46" t="s">
        <v>479</v>
      </c>
    </row>
    <row r="15" spans="2:25" x14ac:dyDescent="0.2">
      <c r="B15" s="23">
        <v>2028</v>
      </c>
      <c r="C15" s="22">
        <v>91.252890870000002</v>
      </c>
      <c r="D15" s="26">
        <v>99.682998889030102</v>
      </c>
      <c r="E15" s="26">
        <v>108.38602270904067</v>
      </c>
      <c r="Y15" s="46" t="s">
        <v>480</v>
      </c>
    </row>
    <row r="16" spans="2:25" x14ac:dyDescent="0.2">
      <c r="B16" s="23">
        <v>2029</v>
      </c>
      <c r="C16" s="22">
        <v>98.374024410000004</v>
      </c>
      <c r="D16" s="26">
        <v>90.531223647648275</v>
      </c>
      <c r="E16" s="26">
        <v>96.063217782830577</v>
      </c>
      <c r="Y16" s="46" t="s">
        <v>481</v>
      </c>
    </row>
    <row r="17" spans="2:25" x14ac:dyDescent="0.2">
      <c r="B17" s="23">
        <v>2030</v>
      </c>
      <c r="C17" s="22">
        <v>89.430933350000004</v>
      </c>
      <c r="D17" s="26">
        <v>85.465594487656205</v>
      </c>
      <c r="E17" s="26">
        <v>104.23666125627388</v>
      </c>
      <c r="Y17" s="46" t="s">
        <v>482</v>
      </c>
    </row>
    <row r="18" spans="2:25" x14ac:dyDescent="0.2">
      <c r="B18" s="23">
        <v>2031</v>
      </c>
      <c r="C18" s="22">
        <v>82.671395329999996</v>
      </c>
      <c r="D18" s="26">
        <v>76.053886918274884</v>
      </c>
      <c r="E18" s="26">
        <v>95.495282750110476</v>
      </c>
      <c r="Y18" s="47" t="s">
        <v>483</v>
      </c>
    </row>
    <row r="19" spans="2:25" x14ac:dyDescent="0.2">
      <c r="B19" s="23">
        <v>2032</v>
      </c>
      <c r="C19" s="22">
        <v>83.624771969999998</v>
      </c>
      <c r="D19" s="26">
        <v>63.736642109476051</v>
      </c>
      <c r="E19" s="26">
        <v>77.662208070083935</v>
      </c>
      <c r="Y19" s="45"/>
    </row>
    <row r="20" spans="2:25" x14ac:dyDescent="0.2">
      <c r="B20" s="23">
        <v>2033</v>
      </c>
      <c r="C20" s="22">
        <v>84.756043939999998</v>
      </c>
      <c r="D20" s="26">
        <v>59.70699595242926</v>
      </c>
      <c r="E20" s="26">
        <v>74.467781482379237</v>
      </c>
      <c r="Y20" s="46" t="s">
        <v>484</v>
      </c>
    </row>
    <row r="21" spans="2:25" x14ac:dyDescent="0.2">
      <c r="B21" s="23">
        <v>2034</v>
      </c>
      <c r="C21" s="22">
        <v>86.765956680000002</v>
      </c>
      <c r="D21" s="26">
        <v>50.85473450119688</v>
      </c>
      <c r="E21" s="26">
        <v>66.524040360875063</v>
      </c>
      <c r="Y21" s="46" t="s">
        <v>485</v>
      </c>
    </row>
    <row r="22" spans="2:25" ht="15" thickBot="1" x14ac:dyDescent="0.25">
      <c r="B22" s="23">
        <v>2035</v>
      </c>
      <c r="C22" s="22">
        <v>78.285649039999996</v>
      </c>
      <c r="D22" s="27">
        <v>41.229154402216516</v>
      </c>
      <c r="E22" s="27">
        <v>54.950069537582294</v>
      </c>
      <c r="Y22" s="46" t="s">
        <v>486</v>
      </c>
    </row>
    <row r="23" spans="2:25" ht="15" thickTop="1" x14ac:dyDescent="0.2">
      <c r="B23" s="23">
        <v>2036</v>
      </c>
      <c r="C23" s="22">
        <v>71.208615530000003</v>
      </c>
      <c r="Y23" s="46" t="s">
        <v>487</v>
      </c>
    </row>
    <row r="24" spans="2:25" x14ac:dyDescent="0.2">
      <c r="B24" s="23">
        <v>2037</v>
      </c>
      <c r="C24" s="22">
        <v>67.352100280000002</v>
      </c>
      <c r="Y24" s="45"/>
    </row>
    <row r="25" spans="2:25" x14ac:dyDescent="0.2">
      <c r="B25" s="23">
        <v>2038</v>
      </c>
      <c r="C25" s="22">
        <v>69.828067779999998</v>
      </c>
      <c r="Y25" s="47" t="s">
        <v>488</v>
      </c>
    </row>
    <row r="26" spans="2:25" x14ac:dyDescent="0.2">
      <c r="B26" s="23">
        <v>2039</v>
      </c>
      <c r="C26" s="22">
        <v>68.82799593</v>
      </c>
      <c r="Y26" s="46" t="s">
        <v>489</v>
      </c>
    </row>
    <row r="27" spans="2:25" x14ac:dyDescent="0.2">
      <c r="B27" s="23">
        <v>2040</v>
      </c>
      <c r="C27" s="22">
        <v>66.82622198</v>
      </c>
      <c r="Y27" s="46" t="s">
        <v>490</v>
      </c>
    </row>
    <row r="30" spans="2:25" x14ac:dyDescent="0.2">
      <c r="Y30" t="s">
        <v>502</v>
      </c>
    </row>
    <row r="32" spans="2:25" x14ac:dyDescent="0.2">
      <c r="B32" t="s">
        <v>470</v>
      </c>
      <c r="Y32" s="47" t="s">
        <v>491</v>
      </c>
    </row>
    <row r="33" spans="1:25" x14ac:dyDescent="0.2">
      <c r="Y33" s="45"/>
    </row>
    <row r="34" spans="1:25" x14ac:dyDescent="0.2">
      <c r="B34" t="s">
        <v>471</v>
      </c>
      <c r="I34" t="s">
        <v>504</v>
      </c>
      <c r="J34" s="48" t="s">
        <v>505</v>
      </c>
      <c r="K34" s="48" t="s">
        <v>505</v>
      </c>
      <c r="L34" s="48" t="s">
        <v>505</v>
      </c>
      <c r="M34" s="48" t="s">
        <v>505</v>
      </c>
      <c r="N34" s="48" t="s">
        <v>505</v>
      </c>
      <c r="O34" s="48" t="s">
        <v>505</v>
      </c>
      <c r="P34" s="48" t="s">
        <v>505</v>
      </c>
      <c r="Q34" s="48" t="s">
        <v>505</v>
      </c>
      <c r="R34" s="48" t="s">
        <v>505</v>
      </c>
      <c r="S34" s="48" t="s">
        <v>505</v>
      </c>
      <c r="T34" s="48" t="s">
        <v>505</v>
      </c>
      <c r="U34" s="48" t="s">
        <v>505</v>
      </c>
      <c r="Y34" s="46" t="s">
        <v>492</v>
      </c>
    </row>
    <row r="35" spans="1:25" x14ac:dyDescent="0.2">
      <c r="Y35" s="46" t="s">
        <v>493</v>
      </c>
    </row>
    <row r="36" spans="1:25" x14ac:dyDescent="0.2">
      <c r="B36" t="s">
        <v>509</v>
      </c>
      <c r="Y36" s="45"/>
    </row>
    <row r="37" spans="1:25" x14ac:dyDescent="0.2">
      <c r="Y37" s="46" t="s">
        <v>494</v>
      </c>
    </row>
    <row r="38" spans="1:25" x14ac:dyDescent="0.2">
      <c r="B38" t="s">
        <v>472</v>
      </c>
      <c r="Y38" s="46" t="s">
        <v>495</v>
      </c>
    </row>
    <row r="39" spans="1:25" x14ac:dyDescent="0.2">
      <c r="Y39" s="45"/>
    </row>
    <row r="40" spans="1:25" x14ac:dyDescent="0.2">
      <c r="B40" s="46" t="s">
        <v>473</v>
      </c>
      <c r="Y40" s="46" t="s">
        <v>496</v>
      </c>
    </row>
    <row r="41" spans="1:25" x14ac:dyDescent="0.2">
      <c r="Y41" s="46" t="s">
        <v>497</v>
      </c>
    </row>
    <row r="42" spans="1:25" x14ac:dyDescent="0.2">
      <c r="C42" t="s">
        <v>506</v>
      </c>
      <c r="D42" t="s">
        <v>155</v>
      </c>
      <c r="E42" t="s">
        <v>156</v>
      </c>
      <c r="Y42" s="45"/>
    </row>
    <row r="43" spans="1:25" x14ac:dyDescent="0.2">
      <c r="B43" t="s">
        <v>507</v>
      </c>
      <c r="C43">
        <v>4.1950000000000001E-2</v>
      </c>
      <c r="D43">
        <v>3.5713000000000002E-2</v>
      </c>
      <c r="E43">
        <v>4.8187000000000001E-2</v>
      </c>
      <c r="Y43" s="47" t="s">
        <v>498</v>
      </c>
    </row>
    <row r="44" spans="1:25" x14ac:dyDescent="0.2">
      <c r="B44" t="s">
        <v>508</v>
      </c>
      <c r="C44">
        <v>152.69</v>
      </c>
      <c r="D44">
        <v>162.36000000000001</v>
      </c>
      <c r="E44">
        <v>143.02000000000001</v>
      </c>
      <c r="Y44" s="46" t="s">
        <v>499</v>
      </c>
    </row>
    <row r="45" spans="1:25" x14ac:dyDescent="0.2">
      <c r="Y45" s="46" t="s">
        <v>500</v>
      </c>
    </row>
    <row r="46" spans="1:25" x14ac:dyDescent="0.2">
      <c r="C46" s="29" t="s">
        <v>506</v>
      </c>
      <c r="D46" t="s">
        <v>419</v>
      </c>
      <c r="E46" t="s">
        <v>423</v>
      </c>
      <c r="G46" s="25" t="s">
        <v>152</v>
      </c>
      <c r="J46" t="s">
        <v>161</v>
      </c>
      <c r="Y46" s="45"/>
    </row>
    <row r="47" spans="1:25" x14ac:dyDescent="0.2">
      <c r="A47">
        <v>2019</v>
      </c>
      <c r="B47">
        <v>1</v>
      </c>
      <c r="C47" s="4">
        <f>C$44*EXP(-$B47*C$43)</f>
        <v>146.41714746996777</v>
      </c>
      <c r="D47" s="4">
        <f t="shared" ref="D47:E47" si="0">D$44*EXP(-$B47*D$43)</f>
        <v>156.66395415325246</v>
      </c>
      <c r="E47" s="4">
        <f t="shared" si="0"/>
        <v>136.29170529579355</v>
      </c>
      <c r="G47" s="22">
        <v>156.00368460000001</v>
      </c>
      <c r="J47" s="49">
        <f>((G47-C47)^2)^(1/2)</f>
        <v>9.5865371300322408</v>
      </c>
      <c r="L47" s="49">
        <f>G47-C47</f>
        <v>9.5865371300322408</v>
      </c>
      <c r="Y47" s="46" t="s">
        <v>501</v>
      </c>
    </row>
    <row r="48" spans="1:25" x14ac:dyDescent="0.2">
      <c r="A48">
        <v>2020</v>
      </c>
      <c r="B48">
        <v>2</v>
      </c>
      <c r="C48" s="4">
        <f t="shared" ref="C48:E85" si="1">C$44*EXP(-$B48*C$43)</f>
        <v>140.40199799097709</v>
      </c>
      <c r="D48" s="4">
        <f t="shared" si="1"/>
        <v>151.16774162929528</v>
      </c>
      <c r="E48" s="4">
        <f t="shared" si="1"/>
        <v>129.87993939613648</v>
      </c>
      <c r="G48" s="22">
        <v>146.94332610000001</v>
      </c>
      <c r="J48" s="49">
        <f t="shared" ref="J48:J67" si="2">((G48-C48)^2)^(1/2)</f>
        <v>6.5413281090229134</v>
      </c>
      <c r="L48" s="49">
        <f t="shared" ref="L48:L68" si="3">G48-C48</f>
        <v>6.5413281090229134</v>
      </c>
    </row>
    <row r="49" spans="1:12" x14ac:dyDescent="0.2">
      <c r="A49">
        <v>2021</v>
      </c>
      <c r="B49">
        <v>3</v>
      </c>
      <c r="C49" s="4">
        <f t="shared" si="1"/>
        <v>134.63396453548376</v>
      </c>
      <c r="D49" s="4">
        <f t="shared" si="1"/>
        <v>145.86435171263011</v>
      </c>
      <c r="E49" s="4">
        <f t="shared" si="1"/>
        <v>123.76981138311956</v>
      </c>
      <c r="G49" s="22">
        <v>137.19807069999999</v>
      </c>
      <c r="J49" s="49">
        <f t="shared" si="2"/>
        <v>2.5641061645162324</v>
      </c>
      <c r="L49" s="49">
        <f t="shared" si="3"/>
        <v>2.5641061645162324</v>
      </c>
    </row>
    <row r="50" spans="1:12" x14ac:dyDescent="0.2">
      <c r="A50">
        <v>2022</v>
      </c>
      <c r="B50">
        <v>4</v>
      </c>
      <c r="C50" s="4">
        <f t="shared" si="1"/>
        <v>129.10289501511778</v>
      </c>
      <c r="D50" s="4">
        <f t="shared" si="1"/>
        <v>140.74701964339349</v>
      </c>
      <c r="E50" s="4">
        <f t="shared" si="1"/>
        <v>117.94713087361266</v>
      </c>
      <c r="G50" s="22">
        <v>127.27722199999999</v>
      </c>
      <c r="J50" s="49">
        <f t="shared" si="2"/>
        <v>1.8256730151177862</v>
      </c>
      <c r="L50" s="49">
        <f t="shared" si="3"/>
        <v>-1.8256730151177862</v>
      </c>
    </row>
    <row r="51" spans="1:12" x14ac:dyDescent="0.2">
      <c r="A51">
        <v>2023</v>
      </c>
      <c r="B51">
        <v>5</v>
      </c>
      <c r="C51" s="4">
        <f t="shared" si="1"/>
        <v>123.79905441239288</v>
      </c>
      <c r="D51" s="4">
        <f t="shared" si="1"/>
        <v>135.80921798854101</v>
      </c>
      <c r="E51" s="4">
        <f t="shared" si="1"/>
        <v>112.39837506300385</v>
      </c>
      <c r="G51" s="22">
        <v>119.1275091</v>
      </c>
      <c r="J51" s="49">
        <f t="shared" si="2"/>
        <v>4.6715453123928796</v>
      </c>
      <c r="L51" s="49">
        <f t="shared" si="3"/>
        <v>-4.6715453123928796</v>
      </c>
    </row>
    <row r="52" spans="1:12" x14ac:dyDescent="0.2">
      <c r="A52">
        <v>2024</v>
      </c>
      <c r="B52">
        <v>6</v>
      </c>
      <c r="C52" s="4">
        <f t="shared" si="1"/>
        <v>118.71310764648565</v>
      </c>
      <c r="D52" s="4">
        <f t="shared" si="1"/>
        <v>131.04464831575422</v>
      </c>
      <c r="E52" s="4">
        <f t="shared" si="1"/>
        <v>107.1106573193469</v>
      </c>
      <c r="G52" s="22">
        <v>128.4439879</v>
      </c>
      <c r="J52" s="49">
        <f t="shared" si="2"/>
        <v>9.7308802535143428</v>
      </c>
      <c r="L52" s="49">
        <f t="shared" si="3"/>
        <v>9.7308802535143428</v>
      </c>
    </row>
    <row r="53" spans="1:12" x14ac:dyDescent="0.2">
      <c r="A53">
        <v>2025</v>
      </c>
      <c r="B53">
        <v>7</v>
      </c>
      <c r="C53" s="4">
        <f t="shared" si="1"/>
        <v>113.83610314292783</v>
      </c>
      <c r="D53" s="4">
        <f t="shared" si="1"/>
        <v>126.44723315945063</v>
      </c>
      <c r="E53" s="4">
        <f t="shared" si="1"/>
        <v>102.07169725497943</v>
      </c>
      <c r="G53" s="22">
        <v>108.2024037</v>
      </c>
      <c r="J53" s="49">
        <f t="shared" si="2"/>
        <v>5.6336994429278207</v>
      </c>
      <c r="L53" s="49">
        <f t="shared" si="3"/>
        <v>-5.6336994429278207</v>
      </c>
    </row>
    <row r="54" spans="1:12" x14ac:dyDescent="0.2">
      <c r="A54">
        <v>2026</v>
      </c>
      <c r="B54">
        <v>8</v>
      </c>
      <c r="C54" s="4">
        <f t="shared" si="1"/>
        <v>109.15945707829279</v>
      </c>
      <c r="D54" s="4">
        <f t="shared" si="1"/>
        <v>122.01110826864866</v>
      </c>
      <c r="E54" s="4">
        <f t="shared" si="1"/>
        <v>97.269792206104839</v>
      </c>
      <c r="G54" s="22">
        <v>90.164698819999998</v>
      </c>
      <c r="J54" s="49">
        <f>((G54-C54)^2)^(1/2)</f>
        <v>18.994758258292791</v>
      </c>
      <c r="L54" s="49">
        <f t="shared" si="3"/>
        <v>-18.994758258292791</v>
      </c>
    </row>
    <row r="55" spans="1:12" x14ac:dyDescent="0.2">
      <c r="A55">
        <v>2027</v>
      </c>
      <c r="B55">
        <v>9</v>
      </c>
      <c r="C55" s="4">
        <f t="shared" si="1"/>
        <v>104.67493827214626</v>
      </c>
      <c r="D55" s="4">
        <f t="shared" si="1"/>
        <v>117.73061512679904</v>
      </c>
      <c r="E55" s="4">
        <f t="shared" si="1"/>
        <v>92.693790054100958</v>
      </c>
      <c r="G55" s="22">
        <v>85.440193519999994</v>
      </c>
      <c r="J55" s="49">
        <f t="shared" si="2"/>
        <v>19.23474475214627</v>
      </c>
      <c r="L55" s="49">
        <f t="shared" si="3"/>
        <v>-19.23474475214627</v>
      </c>
    </row>
    <row r="56" spans="1:12" x14ac:dyDescent="0.2">
      <c r="A56">
        <v>2028</v>
      </c>
      <c r="B56">
        <v>10</v>
      </c>
      <c r="C56" s="4">
        <f t="shared" si="1"/>
        <v>100.37465369967002</v>
      </c>
      <c r="D56" s="4">
        <f t="shared" si="1"/>
        <v>113.60029373404194</v>
      </c>
      <c r="E56" s="4">
        <f t="shared" si="1"/>
        <v>88.333063325434807</v>
      </c>
      <c r="G56" s="22">
        <v>91.252890870000002</v>
      </c>
      <c r="J56" s="49">
        <f t="shared" si="2"/>
        <v>9.1217628296700184</v>
      </c>
      <c r="L56" s="49">
        <f t="shared" si="3"/>
        <v>-9.1217628296700184</v>
      </c>
    </row>
    <row r="57" spans="1:12" x14ac:dyDescent="0.2">
      <c r="A57">
        <v>2029</v>
      </c>
      <c r="B57">
        <v>11</v>
      </c>
      <c r="C57" s="4">
        <f t="shared" si="1"/>
        <v>96.251034599459899</v>
      </c>
      <c r="D57" s="4">
        <f t="shared" si="1"/>
        <v>109.61487564268266</v>
      </c>
      <c r="E57" s="4">
        <f t="shared" si="1"/>
        <v>84.177484510032386</v>
      </c>
      <c r="G57" s="22">
        <v>98.374024410000004</v>
      </c>
      <c r="J57" s="49">
        <f t="shared" si="2"/>
        <v>2.1229898105401048</v>
      </c>
      <c r="L57" s="49">
        <f t="shared" si="3"/>
        <v>2.1229898105401048</v>
      </c>
    </row>
    <row r="58" spans="1:12" x14ac:dyDescent="0.2">
      <c r="A58">
        <v>2030</v>
      </c>
      <c r="B58">
        <v>12</v>
      </c>
      <c r="C58" s="4">
        <f t="shared" si="1"/>
        <v>92.296823152047224</v>
      </c>
      <c r="D58" s="4">
        <f t="shared" si="1"/>
        <v>105.76927723700234</v>
      </c>
      <c r="E58" s="4">
        <f t="shared" si="1"/>
        <v>80.217402540781421</v>
      </c>
      <c r="G58" s="22">
        <v>89.430933350000004</v>
      </c>
      <c r="H58" s="22">
        <v>89.430933350000004</v>
      </c>
      <c r="J58" s="49">
        <f t="shared" si="2"/>
        <v>2.8658898020472208</v>
      </c>
      <c r="L58" s="49">
        <f t="shared" si="3"/>
        <v>-2.8658898020472208</v>
      </c>
    </row>
    <row r="59" spans="1:12" x14ac:dyDescent="0.2">
      <c r="A59">
        <v>2031</v>
      </c>
      <c r="B59">
        <v>13</v>
      </c>
      <c r="C59" s="4">
        <f t="shared" si="1"/>
        <v>88.505059705696738</v>
      </c>
      <c r="D59" s="4">
        <f t="shared" si="1"/>
        <v>102.05859324883212</v>
      </c>
      <c r="E59" s="4">
        <f t="shared" si="1"/>
        <v>76.443620379542878</v>
      </c>
      <c r="G59" s="22">
        <v>82.671395329999996</v>
      </c>
      <c r="J59" s="49">
        <f t="shared" si="2"/>
        <v>5.8336643756967419</v>
      </c>
      <c r="L59" s="49">
        <f t="shared" si="3"/>
        <v>-5.8336643756967419</v>
      </c>
    </row>
    <row r="60" spans="1:12" x14ac:dyDescent="0.2">
      <c r="A60">
        <v>2032</v>
      </c>
      <c r="B60">
        <v>14</v>
      </c>
      <c r="C60" s="4">
        <f t="shared" si="1"/>
        <v>84.869070526997859</v>
      </c>
      <c r="D60" s="4">
        <f t="shared" si="1"/>
        <v>98.478090500618833</v>
      </c>
      <c r="E60" s="4">
        <f t="shared" si="1"/>
        <v>72.847373657615535</v>
      </c>
      <c r="G60" s="22">
        <v>83.624771969999998</v>
      </c>
      <c r="J60" s="49">
        <f t="shared" si="2"/>
        <v>1.2442985569978617</v>
      </c>
      <c r="L60" s="49">
        <f t="shared" si="3"/>
        <v>-1.2442985569978617</v>
      </c>
    </row>
    <row r="61" spans="1:12" x14ac:dyDescent="0.2">
      <c r="A61">
        <v>2033</v>
      </c>
      <c r="B61">
        <v>15</v>
      </c>
      <c r="C61" s="4">
        <f t="shared" si="1"/>
        <v>81.382456054689527</v>
      </c>
      <c r="D61" s="4">
        <f t="shared" si="1"/>
        <v>95.023201868001919</v>
      </c>
      <c r="E61" s="4">
        <f t="shared" si="1"/>
        <v>69.420310321048049</v>
      </c>
      <c r="G61" s="22">
        <v>84.756043939999998</v>
      </c>
      <c r="J61" s="49">
        <f t="shared" si="2"/>
        <v>3.3735878853104708</v>
      </c>
      <c r="L61" s="49">
        <f t="shared" si="3"/>
        <v>3.3735878853104708</v>
      </c>
    </row>
    <row r="62" spans="1:12" x14ac:dyDescent="0.2">
      <c r="A62">
        <v>2034</v>
      </c>
      <c r="B62">
        <v>16</v>
      </c>
      <c r="C62" s="4">
        <f t="shared" si="1"/>
        <v>78.039079636044576</v>
      </c>
      <c r="D62" s="4">
        <f t="shared" si="1"/>
        <v>91.689520454199936</v>
      </c>
      <c r="E62" s="4">
        <f t="shared" si="1"/>
        <v>66.154471233525484</v>
      </c>
      <c r="G62" s="22">
        <v>86.765956680000002</v>
      </c>
      <c r="J62" s="49">
        <f t="shared" si="2"/>
        <v>8.726877043955426</v>
      </c>
      <c r="L62" s="49">
        <f t="shared" si="3"/>
        <v>8.726877043955426</v>
      </c>
    </row>
    <row r="63" spans="1:12" x14ac:dyDescent="0.2">
      <c r="A63">
        <v>2035</v>
      </c>
      <c r="B63">
        <v>17</v>
      </c>
      <c r="C63" s="4">
        <f t="shared" si="1"/>
        <v>74.833056725989252</v>
      </c>
      <c r="D63" s="4">
        <f t="shared" si="1"/>
        <v>88.472793968776045</v>
      </c>
      <c r="E63" s="4">
        <f t="shared" si="1"/>
        <v>63.042271691782325</v>
      </c>
      <c r="G63" s="22">
        <v>78.285649039999996</v>
      </c>
      <c r="J63" s="49">
        <f t="shared" si="2"/>
        <v>3.4525923140107437</v>
      </c>
      <c r="L63" s="49">
        <f t="shared" si="3"/>
        <v>3.4525923140107437</v>
      </c>
    </row>
    <row r="64" spans="1:12" x14ac:dyDescent="0.2">
      <c r="A64">
        <v>2036</v>
      </c>
      <c r="B64">
        <v>18</v>
      </c>
      <c r="C64" s="4">
        <f t="shared" si="1"/>
        <v>71.758744529947165</v>
      </c>
      <c r="D64" s="4">
        <f t="shared" si="1"/>
        <v>85.36891930361223</v>
      </c>
      <c r="E64" s="4">
        <f t="shared" si="1"/>
        <v>60.07648381061211</v>
      </c>
      <c r="G64" s="22">
        <v>71.208615530000003</v>
      </c>
      <c r="J64" s="49">
        <f t="shared" si="2"/>
        <v>0.55012899994716236</v>
      </c>
      <c r="L64" s="49">
        <f t="shared" si="3"/>
        <v>-0.55012899994716236</v>
      </c>
    </row>
    <row r="65" spans="1:13" x14ac:dyDescent="0.2">
      <c r="A65">
        <v>2037</v>
      </c>
      <c r="B65">
        <v>19</v>
      </c>
      <c r="C65" s="4">
        <f t="shared" si="1"/>
        <v>68.810732072179036</v>
      </c>
      <c r="D65" s="4">
        <f t="shared" si="1"/>
        <v>82.373937299173519</v>
      </c>
      <c r="E65" s="4">
        <f t="shared" si="1"/>
        <v>57.250219736564517</v>
      </c>
      <c r="G65" s="22">
        <v>67.352100280000002</v>
      </c>
      <c r="J65" s="49">
        <f t="shared" si="2"/>
        <v>1.4586317921790339</v>
      </c>
      <c r="L65" s="49">
        <f t="shared" si="3"/>
        <v>-1.4586317921790339</v>
      </c>
    </row>
    <row r="66" spans="1:13" x14ac:dyDescent="0.2">
      <c r="A66">
        <v>2038</v>
      </c>
      <c r="B66">
        <v>20</v>
      </c>
      <c r="C66" s="4">
        <f t="shared" si="1"/>
        <v>65.983830672137543</v>
      </c>
      <c r="D66" s="4">
        <f t="shared" si="1"/>
        <v>79.484027694386597</v>
      </c>
      <c r="E66" s="4">
        <f t="shared" si="1"/>
        <v>54.556915651344397</v>
      </c>
      <c r="G66" s="22">
        <v>69.828067779999998</v>
      </c>
      <c r="J66" s="49">
        <f t="shared" si="2"/>
        <v>3.8442371078624546</v>
      </c>
      <c r="L66" s="49">
        <f t="shared" si="3"/>
        <v>3.8442371078624546</v>
      </c>
    </row>
    <row r="67" spans="1:13" x14ac:dyDescent="0.2">
      <c r="A67">
        <v>2039</v>
      </c>
      <c r="B67">
        <v>21</v>
      </c>
      <c r="C67" s="4">
        <f t="shared" si="1"/>
        <v>63.273064812075084</v>
      </c>
      <c r="D67" s="4">
        <f t="shared" si="1"/>
        <v>76.695504253690743</v>
      </c>
      <c r="E67" s="4">
        <f t="shared" si="1"/>
        <v>51.990316527761827</v>
      </c>
      <c r="G67" s="22">
        <v>68.82799593</v>
      </c>
      <c r="J67" s="49">
        <f t="shared" si="2"/>
        <v>5.5549311179249159</v>
      </c>
      <c r="L67" s="49">
        <f t="shared" si="3"/>
        <v>5.5549311179249159</v>
      </c>
    </row>
    <row r="68" spans="1:13" x14ac:dyDescent="0.2">
      <c r="A68">
        <v>2040</v>
      </c>
      <c r="B68">
        <v>22</v>
      </c>
      <c r="C68" s="4">
        <f t="shared" si="1"/>
        <v>60.673663379831204</v>
      </c>
      <c r="D68" s="4">
        <f t="shared" si="1"/>
        <v>74.004810065045476</v>
      </c>
      <c r="E68" s="4">
        <f t="shared" si="1"/>
        <v>49.544461602829948</v>
      </c>
      <c r="G68" s="22">
        <v>66.82622198</v>
      </c>
      <c r="H68" s="81">
        <f>AVERAGE(G58:G68)</f>
        <v>77.234341073636372</v>
      </c>
      <c r="J68" s="49">
        <f>((G68-C68)^2)^(1/2)</f>
        <v>6.1525586001687955</v>
      </c>
      <c r="L68" s="49">
        <f t="shared" si="3"/>
        <v>6.1525586001687955</v>
      </c>
    </row>
    <row r="69" spans="1:13" x14ac:dyDescent="0.2">
      <c r="A69">
        <v>2041</v>
      </c>
      <c r="B69">
        <v>23</v>
      </c>
      <c r="C69" s="4">
        <f t="shared" si="1"/>
        <v>58.181051271386011</v>
      </c>
      <c r="D69" s="4">
        <f t="shared" si="1"/>
        <v>71.408513002897507</v>
      </c>
      <c r="E69" s="4">
        <f t="shared" si="1"/>
        <v>47.213670534272538</v>
      </c>
      <c r="G69" s="4">
        <f t="shared" ref="G69:G85" si="4">C69</f>
        <v>58.181051271386011</v>
      </c>
    </row>
    <row r="70" spans="1:13" x14ac:dyDescent="0.2">
      <c r="A70">
        <v>2042</v>
      </c>
      <c r="B70">
        <v>24</v>
      </c>
      <c r="C70" s="4">
        <f t="shared" si="1"/>
        <v>55.7908413383999</v>
      </c>
      <c r="D70" s="4">
        <f t="shared" si="1"/>
        <v>68.903301350319424</v>
      </c>
      <c r="E70" s="4">
        <f t="shared" si="1"/>
        <v>44.992530208290908</v>
      </c>
      <c r="G70" s="4">
        <f>C70</f>
        <v>55.7908413383999</v>
      </c>
      <c r="J70" s="49">
        <f>SUM(J47:J68)</f>
        <v>133.08542267427421</v>
      </c>
      <c r="L70" s="49">
        <f>SUM(L47:L68)</f>
        <v>-9.7841716005569452</v>
      </c>
    </row>
    <row r="71" spans="1:13" x14ac:dyDescent="0.2">
      <c r="A71">
        <v>2043</v>
      </c>
      <c r="B71">
        <v>25</v>
      </c>
      <c r="C71" s="4">
        <f t="shared" si="1"/>
        <v>53.498826666566728</v>
      </c>
      <c r="D71" s="4">
        <f t="shared" si="1"/>
        <v>66.485979574736263</v>
      </c>
      <c r="E71" s="4">
        <f t="shared" si="1"/>
        <v>42.875882167951843</v>
      </c>
      <c r="G71" s="4">
        <f t="shared" si="4"/>
        <v>53.498826666566728</v>
      </c>
    </row>
    <row r="72" spans="1:13" x14ac:dyDescent="0.2">
      <c r="A72">
        <v>2044</v>
      </c>
      <c r="B72">
        <v>26</v>
      </c>
      <c r="C72" s="4">
        <f t="shared" si="1"/>
        <v>51.300973171189639</v>
      </c>
      <c r="D72" s="4">
        <f t="shared" si="1"/>
        <v>64.15346425185119</v>
      </c>
      <c r="E72" s="4">
        <f t="shared" si="1"/>
        <v>40.858810633000012</v>
      </c>
      <c r="G72" s="4">
        <f t="shared" si="4"/>
        <v>51.300973171189639</v>
      </c>
      <c r="K72" t="s">
        <v>510</v>
      </c>
      <c r="L72">
        <v>9.7799999999999994</v>
      </c>
      <c r="M72" t="s">
        <v>511</v>
      </c>
    </row>
    <row r="73" spans="1:13" x14ac:dyDescent="0.2">
      <c r="A73">
        <v>2045</v>
      </c>
      <c r="B73">
        <v>27</v>
      </c>
      <c r="C73" s="4">
        <f t="shared" si="1"/>
        <v>49.19341249694763</v>
      </c>
      <c r="D73" s="4">
        <f t="shared" si="1"/>
        <v>61.90278013257165</v>
      </c>
      <c r="E73" s="4">
        <f t="shared" si="1"/>
        <v>38.936631083271379</v>
      </c>
      <c r="G73" s="4">
        <f t="shared" si="4"/>
        <v>49.19341249694763</v>
      </c>
    </row>
    <row r="74" spans="1:13" x14ac:dyDescent="0.2">
      <c r="A74">
        <v>2046</v>
      </c>
      <c r="B74">
        <v>28</v>
      </c>
      <c r="C74" s="4">
        <f t="shared" si="1"/>
        <v>47.172435209355797</v>
      </c>
      <c r="D74" s="4">
        <f t="shared" si="1"/>
        <v>59.731056347918638</v>
      </c>
      <c r="E74" s="4">
        <f t="shared" si="1"/>
        <v>37.10487937919352</v>
      </c>
      <c r="G74" s="4">
        <f t="shared" si="4"/>
        <v>47.172435209355797</v>
      </c>
      <c r="L74" t="s">
        <v>512</v>
      </c>
    </row>
    <row r="75" spans="1:13" x14ac:dyDescent="0.2">
      <c r="A75">
        <v>2047</v>
      </c>
      <c r="B75">
        <v>29</v>
      </c>
      <c r="C75" s="4">
        <f t="shared" si="1"/>
        <v>45.234484265935876</v>
      </c>
      <c r="D75" s="4">
        <f t="shared" si="1"/>
        <v>57.635522747078497</v>
      </c>
      <c r="E75" s="4">
        <f t="shared" si="1"/>
        <v>35.359301394105792</v>
      </c>
      <c r="G75" s="4">
        <f t="shared" si="4"/>
        <v>45.234484265935876</v>
      </c>
    </row>
    <row r="76" spans="1:13" x14ac:dyDescent="0.2">
      <c r="A76">
        <v>2048</v>
      </c>
      <c r="B76">
        <v>30</v>
      </c>
      <c r="C76" s="4">
        <f t="shared" si="1"/>
        <v>43.376148755605939</v>
      </c>
      <c r="D76" s="4">
        <f t="shared" si="1"/>
        <v>55.613506363926099</v>
      </c>
      <c r="E76" s="4">
        <f t="shared" si="1"/>
        <v>33.695843134321137</v>
      </c>
      <c r="G76" s="4">
        <f t="shared" si="4"/>
        <v>43.376148755605939</v>
      </c>
    </row>
    <row r="77" spans="1:13" x14ac:dyDescent="0.2">
      <c r="A77">
        <v>2049</v>
      </c>
      <c r="B77">
        <v>31</v>
      </c>
      <c r="C77" s="4">
        <f t="shared" si="1"/>
        <v>41.594157895270243</v>
      </c>
      <c r="D77" s="4">
        <f t="shared" si="1"/>
        <v>53.662428007512517</v>
      </c>
      <c r="E77" s="4">
        <f t="shared" si="1"/>
        <v>32.110641323983948</v>
      </c>
      <c r="G77" s="4">
        <f t="shared" si="4"/>
        <v>41.594157895270243</v>
      </c>
    </row>
    <row r="78" spans="1:13" x14ac:dyDescent="0.2">
      <c r="A78">
        <v>2050</v>
      </c>
      <c r="B78">
        <v>32</v>
      </c>
      <c r="C78" s="4">
        <f t="shared" si="1"/>
        <v>39.885375273042818</v>
      </c>
      <c r="D78" s="4">
        <f t="shared" si="1"/>
        <v>51.779798972167704</v>
      </c>
      <c r="E78" s="4">
        <f t="shared" si="1"/>
        <v>30.600014432858</v>
      </c>
      <c r="G78" s="4">
        <f t="shared" si="4"/>
        <v>39.885375273042818</v>
      </c>
    </row>
    <row r="79" spans="1:13" x14ac:dyDescent="0.2">
      <c r="A79">
        <v>2051</v>
      </c>
      <c r="B79">
        <v>33</v>
      </c>
      <c r="C79" s="4">
        <f t="shared" si="1"/>
        <v>38.246793327972476</v>
      </c>
      <c r="D79" s="4">
        <f t="shared" si="1"/>
        <v>49.963217863022344</v>
      </c>
      <c r="E79" s="4">
        <f t="shared" si="1"/>
        <v>29.160454126206904</v>
      </c>
      <c r="G79" s="4">
        <f t="shared" si="4"/>
        <v>38.246793327972476</v>
      </c>
    </row>
    <row r="80" spans="1:13" x14ac:dyDescent="0.2">
      <c r="A80">
        <v>2052</v>
      </c>
      <c r="B80">
        <v>34</v>
      </c>
      <c r="C80" s="4">
        <f t="shared" si="1"/>
        <v>36.675528056553304</v>
      </c>
      <c r="D80" s="4">
        <f t="shared" si="1"/>
        <v>48.210367532899092</v>
      </c>
      <c r="E80" s="4">
        <f t="shared" si="1"/>
        <v>27.78861711691021</v>
      </c>
      <c r="G80" s="4">
        <f t="shared" si="4"/>
        <v>36.675528056553304</v>
      </c>
    </row>
    <row r="81" spans="1:7" x14ac:dyDescent="0.2">
      <c r="A81">
        <v>2053</v>
      </c>
      <c r="B81">
        <v>35</v>
      </c>
      <c r="C81" s="4">
        <f t="shared" si="1"/>
        <v>35.16881393670382</v>
      </c>
      <c r="D81" s="4">
        <f t="shared" si="1"/>
        <v>46.519012126666368</v>
      </c>
      <c r="E81" s="4">
        <f t="shared" si="1"/>
        <v>26.481317400891978</v>
      </c>
      <c r="G81" s="4">
        <f t="shared" si="4"/>
        <v>35.16881393670382</v>
      </c>
    </row>
    <row r="82" spans="1:7" x14ac:dyDescent="0.2">
      <c r="A82">
        <v>2054</v>
      </c>
      <c r="B82">
        <v>36</v>
      </c>
      <c r="C82" s="4">
        <f t="shared" si="1"/>
        <v>33.723999060280448</v>
      </c>
      <c r="D82" s="4">
        <f t="shared" si="1"/>
        <v>44.886994229284639</v>
      </c>
      <c r="E82" s="4">
        <f t="shared" si="1"/>
        <v>25.235518857829248</v>
      </c>
      <c r="G82" s="4">
        <f t="shared" si="4"/>
        <v>33.723999060280448</v>
      </c>
    </row>
    <row r="83" spans="1:7" x14ac:dyDescent="0.2">
      <c r="A83">
        <v>2055</v>
      </c>
      <c r="B83">
        <v>37</v>
      </c>
      <c r="C83" s="4">
        <f t="shared" si="1"/>
        <v>32.338540465558559</v>
      </c>
      <c r="D83" s="4">
        <f t="shared" si="1"/>
        <v>43.312232113907086</v>
      </c>
      <c r="E83" s="4">
        <f t="shared" si="1"/>
        <v>24.048328199955982</v>
      </c>
      <c r="G83" s="4">
        <f t="shared" si="4"/>
        <v>32.338540465558559</v>
      </c>
    </row>
    <row r="84" spans="1:7" x14ac:dyDescent="0.2">
      <c r="A84">
        <v>2056</v>
      </c>
      <c r="B84">
        <v>38</v>
      </c>
      <c r="C84" s="4">
        <f t="shared" si="1"/>
        <v>31.009999661465773</v>
      </c>
      <c r="D84" s="4">
        <f t="shared" si="1"/>
        <v>41.79271708652481</v>
      </c>
      <c r="E84" s="4">
        <f t="shared" si="1"/>
        <v>22.916988252586499</v>
      </c>
      <c r="G84" s="4">
        <f t="shared" si="4"/>
        <v>31.009999661465773</v>
      </c>
    </row>
    <row r="85" spans="1:7" x14ac:dyDescent="0.2">
      <c r="A85">
        <v>2057</v>
      </c>
      <c r="B85">
        <v>39</v>
      </c>
      <c r="C85" s="4">
        <f t="shared" si="1"/>
        <v>29.736038335689866</v>
      </c>
      <c r="D85" s="4">
        <f t="shared" si="1"/>
        <v>40.326510923769227</v>
      </c>
      <c r="E85" s="4">
        <f t="shared" si="1"/>
        <v>21.83887155075292</v>
      </c>
      <c r="G85" s="4">
        <f t="shared" si="4"/>
        <v>29.736038335689866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1ECD2-5CF6-48B8-B072-ECF566536FB8}">
  <dimension ref="B2:K27"/>
  <sheetViews>
    <sheetView workbookViewId="0">
      <selection activeCell="F32" sqref="F32"/>
    </sheetView>
  </sheetViews>
  <sheetFormatPr defaultRowHeight="14.25" x14ac:dyDescent="0.2"/>
  <sheetData>
    <row r="2" spans="2:11" x14ac:dyDescent="0.2">
      <c r="B2" t="s">
        <v>716</v>
      </c>
    </row>
    <row r="4" spans="2:11" x14ac:dyDescent="0.2">
      <c r="B4" t="s">
        <v>717</v>
      </c>
    </row>
    <row r="6" spans="2:11" x14ac:dyDescent="0.2">
      <c r="B6" t="s">
        <v>718</v>
      </c>
    </row>
    <row r="8" spans="2:11" x14ac:dyDescent="0.2">
      <c r="B8" t="s">
        <v>12</v>
      </c>
      <c r="F8" t="s">
        <v>31</v>
      </c>
      <c r="G8" t="s">
        <v>53</v>
      </c>
    </row>
    <row r="9" spans="2:11" x14ac:dyDescent="0.2">
      <c r="B9">
        <v>12</v>
      </c>
      <c r="F9">
        <v>1860</v>
      </c>
      <c r="G9">
        <v>677</v>
      </c>
      <c r="I9">
        <f>AVERAGE(G9:G10)</f>
        <v>677</v>
      </c>
      <c r="K9">
        <f>F9+G10</f>
        <v>2537</v>
      </c>
    </row>
    <row r="10" spans="2:11" x14ac:dyDescent="0.2">
      <c r="B10">
        <v>100</v>
      </c>
      <c r="F10">
        <v>1860</v>
      </c>
      <c r="G10">
        <v>677</v>
      </c>
    </row>
    <row r="12" spans="2:11" x14ac:dyDescent="0.2">
      <c r="C12">
        <f>K9</f>
        <v>2537</v>
      </c>
      <c r="D12" t="s">
        <v>551</v>
      </c>
    </row>
    <row r="14" spans="2:11" x14ac:dyDescent="0.2">
      <c r="B14" t="s">
        <v>719</v>
      </c>
      <c r="C14">
        <f>C26</f>
        <v>13.153317937500001</v>
      </c>
    </row>
    <row r="15" spans="2:11" x14ac:dyDescent="0.2">
      <c r="B15" t="s">
        <v>720</v>
      </c>
      <c r="C15">
        <f>C14*30</f>
        <v>394.59953812500004</v>
      </c>
      <c r="D15" t="s">
        <v>551</v>
      </c>
    </row>
    <row r="18" spans="2:4" x14ac:dyDescent="0.2">
      <c r="C18">
        <f>C15+C12</f>
        <v>2931.599538125</v>
      </c>
      <c r="D18" t="str">
        <f>D15</f>
        <v>kg CO2</v>
      </c>
    </row>
    <row r="20" spans="2:4" x14ac:dyDescent="0.2">
      <c r="C20">
        <f>C18/5</f>
        <v>586.31990762500004</v>
      </c>
      <c r="D20" t="s">
        <v>723</v>
      </c>
    </row>
    <row r="22" spans="2:4" x14ac:dyDescent="0.2">
      <c r="B22" t="s">
        <v>722</v>
      </c>
    </row>
    <row r="23" spans="2:4" x14ac:dyDescent="0.2">
      <c r="B23" t="s">
        <v>721</v>
      </c>
    </row>
    <row r="25" spans="2:4" x14ac:dyDescent="0.2">
      <c r="B25">
        <v>12878.715</v>
      </c>
      <c r="C25">
        <v>105.22654350000001</v>
      </c>
    </row>
    <row r="26" spans="2:4" x14ac:dyDescent="0.2">
      <c r="C26">
        <f>C25/8</f>
        <v>13.153317937500001</v>
      </c>
    </row>
    <row r="27" spans="2:4" x14ac:dyDescent="0.2">
      <c r="D27">
        <f>C26+B25</f>
        <v>12891.8683179375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302FA-CCE4-40FB-9086-8F4686BF59D5}">
  <dimension ref="A2:AH85"/>
  <sheetViews>
    <sheetView tabSelected="1" topLeftCell="J1" zoomScale="90" zoomScaleNormal="90" workbookViewId="0">
      <selection activeCell="T17" sqref="T17"/>
    </sheetView>
  </sheetViews>
  <sheetFormatPr defaultRowHeight="14.25" x14ac:dyDescent="0.2"/>
  <cols>
    <col min="12" max="12" width="9" style="10"/>
    <col min="23" max="23" width="9" style="10"/>
    <col min="34" max="34" width="9" style="10"/>
  </cols>
  <sheetData>
    <row r="2" spans="1:34" ht="15" thickBot="1" x14ac:dyDescent="0.25"/>
    <row r="3" spans="1:34" s="34" customFormat="1" ht="15" thickBot="1" x14ac:dyDescent="0.25">
      <c r="A3" s="33"/>
      <c r="B3" s="108" t="s">
        <v>764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  <c r="M3" s="108" t="s">
        <v>766</v>
      </c>
      <c r="N3" s="108"/>
      <c r="O3" s="108"/>
      <c r="P3" s="108"/>
      <c r="Q3" s="108"/>
      <c r="R3" s="108"/>
      <c r="S3" s="108"/>
      <c r="T3" s="108"/>
      <c r="U3" s="108"/>
      <c r="V3" s="108"/>
      <c r="W3" s="109"/>
      <c r="X3" s="108" t="s">
        <v>767</v>
      </c>
      <c r="Y3" s="108"/>
      <c r="Z3" s="108"/>
      <c r="AA3" s="108"/>
      <c r="AB3" s="108"/>
      <c r="AC3" s="108"/>
      <c r="AD3" s="108"/>
      <c r="AE3" s="108"/>
      <c r="AF3" s="108"/>
      <c r="AG3" s="108"/>
      <c r="AH3" s="109"/>
    </row>
    <row r="4" spans="1:34" s="34" customFormat="1" ht="15" thickBot="1" x14ac:dyDescent="0.25">
      <c r="A4" s="33"/>
      <c r="B4" s="108" t="s">
        <v>761</v>
      </c>
      <c r="C4" s="108"/>
      <c r="D4" s="108"/>
      <c r="E4" s="108"/>
      <c r="F4" s="108"/>
      <c r="G4" s="108"/>
      <c r="H4" s="108"/>
      <c r="I4" s="108"/>
      <c r="J4" s="108"/>
      <c r="K4" s="108"/>
      <c r="L4" s="109"/>
      <c r="M4" s="108" t="s">
        <v>761</v>
      </c>
      <c r="N4" s="108"/>
      <c r="O4" s="108"/>
      <c r="P4" s="108"/>
      <c r="Q4" s="108"/>
      <c r="R4" s="108"/>
      <c r="S4" s="108"/>
      <c r="T4" s="108"/>
      <c r="U4" s="108"/>
      <c r="V4" s="108"/>
      <c r="W4" s="109"/>
      <c r="X4" s="108" t="s">
        <v>761</v>
      </c>
      <c r="Y4" s="108"/>
      <c r="Z4" s="108"/>
      <c r="AA4" s="108"/>
      <c r="AB4" s="108"/>
      <c r="AC4" s="108"/>
      <c r="AD4" s="108"/>
      <c r="AE4" s="108"/>
      <c r="AF4" s="108"/>
      <c r="AG4" s="108"/>
      <c r="AH4" s="109"/>
    </row>
    <row r="6" spans="1:34" x14ac:dyDescent="0.2">
      <c r="B6" t="s">
        <v>649</v>
      </c>
      <c r="F6" t="s">
        <v>224</v>
      </c>
      <c r="I6" t="s">
        <v>407</v>
      </c>
      <c r="N6" t="s">
        <v>649</v>
      </c>
      <c r="Q6" t="s">
        <v>224</v>
      </c>
      <c r="T6" t="s">
        <v>407</v>
      </c>
      <c r="Y6" t="s">
        <v>649</v>
      </c>
      <c r="AB6" t="s">
        <v>224</v>
      </c>
      <c r="AE6" t="s">
        <v>407</v>
      </c>
    </row>
    <row r="7" spans="1:34" x14ac:dyDescent="0.2">
      <c r="B7" t="s">
        <v>12</v>
      </c>
      <c r="C7" t="s">
        <v>51</v>
      </c>
      <c r="D7" t="s">
        <v>39</v>
      </c>
      <c r="N7" t="s">
        <v>12</v>
      </c>
      <c r="O7" t="s">
        <v>52</v>
      </c>
      <c r="Y7" t="s">
        <v>12</v>
      </c>
      <c r="Z7" t="s">
        <v>52</v>
      </c>
    </row>
    <row r="8" spans="1:34" x14ac:dyDescent="0.2">
      <c r="B8">
        <v>15</v>
      </c>
      <c r="C8">
        <v>493.6</v>
      </c>
      <c r="D8">
        <v>3346</v>
      </c>
      <c r="F8" t="s">
        <v>51</v>
      </c>
      <c r="G8">
        <v>5790</v>
      </c>
      <c r="I8" t="s">
        <v>51</v>
      </c>
      <c r="J8">
        <v>1080.407526374689</v>
      </c>
      <c r="N8">
        <v>15</v>
      </c>
      <c r="O8">
        <f>3.86*10^4</f>
        <v>38600</v>
      </c>
      <c r="Q8" t="s">
        <v>290</v>
      </c>
      <c r="R8">
        <v>68900</v>
      </c>
      <c r="T8" t="s">
        <v>51</v>
      </c>
      <c r="U8">
        <v>3779.464772641847</v>
      </c>
      <c r="Y8">
        <v>15</v>
      </c>
      <c r="Z8">
        <v>295370</v>
      </c>
      <c r="AB8" t="s">
        <v>51</v>
      </c>
      <c r="AC8">
        <v>112800</v>
      </c>
      <c r="AE8" t="s">
        <v>51</v>
      </c>
      <c r="AF8">
        <v>19023.828568862544</v>
      </c>
    </row>
    <row r="9" spans="1:34" x14ac:dyDescent="0.2">
      <c r="B9">
        <v>20</v>
      </c>
      <c r="C9">
        <v>533.27</v>
      </c>
      <c r="D9">
        <f>6.4808*B9+3255.9</f>
        <v>3385.5160000000001</v>
      </c>
      <c r="F9" t="s">
        <v>39</v>
      </c>
      <c r="G9">
        <v>12600</v>
      </c>
      <c r="I9" t="s">
        <v>39</v>
      </c>
      <c r="J9">
        <v>9402</v>
      </c>
      <c r="N9">
        <v>20</v>
      </c>
      <c r="O9">
        <f>3.89*10^4</f>
        <v>38900</v>
      </c>
      <c r="T9" t="s">
        <v>39</v>
      </c>
      <c r="U9">
        <v>65766</v>
      </c>
      <c r="Y9">
        <v>20</v>
      </c>
      <c r="Z9">
        <v>298610</v>
      </c>
      <c r="AB9" t="s">
        <v>39</v>
      </c>
      <c r="AC9">
        <v>185500</v>
      </c>
      <c r="AE9" t="s">
        <v>39</v>
      </c>
      <c r="AF9">
        <v>624000</v>
      </c>
    </row>
    <row r="10" spans="1:34" x14ac:dyDescent="0.2">
      <c r="B10">
        <v>30</v>
      </c>
      <c r="C10">
        <f>6.4847*B10+403.5</f>
        <v>598.04099999999994</v>
      </c>
      <c r="D10">
        <f>6.4808*B10+3255.9</f>
        <v>3450.3240000000001</v>
      </c>
      <c r="N10">
        <v>30</v>
      </c>
      <c r="O10">
        <f>63.611*N10+37633</f>
        <v>39541.33</v>
      </c>
      <c r="Y10">
        <v>30</v>
      </c>
      <c r="Z10">
        <v>305000</v>
      </c>
    </row>
    <row r="11" spans="1:34" x14ac:dyDescent="0.2">
      <c r="B11">
        <v>40</v>
      </c>
      <c r="C11">
        <f>6.4847*B11+403.5</f>
        <v>662.88800000000003</v>
      </c>
      <c r="D11">
        <f>6.4808*B11+3255.9</f>
        <v>3515.1320000000001</v>
      </c>
      <c r="N11">
        <v>40</v>
      </c>
      <c r="O11">
        <f>63.611*N11+37633</f>
        <v>40177.440000000002</v>
      </c>
      <c r="Y11">
        <v>40</v>
      </c>
      <c r="Z11">
        <v>312000</v>
      </c>
    </row>
    <row r="12" spans="1:34" x14ac:dyDescent="0.2">
      <c r="B12">
        <v>50</v>
      </c>
      <c r="C12">
        <v>739.8</v>
      </c>
      <c r="D12">
        <v>3592</v>
      </c>
      <c r="I12" t="s">
        <v>367</v>
      </c>
      <c r="J12">
        <v>2548.4</v>
      </c>
      <c r="N12">
        <v>50</v>
      </c>
      <c r="O12">
        <f>4.08*10^4</f>
        <v>40800</v>
      </c>
      <c r="T12" t="s">
        <v>367</v>
      </c>
      <c r="U12">
        <v>21250</v>
      </c>
      <c r="Y12">
        <v>50</v>
      </c>
      <c r="Z12">
        <v>318000</v>
      </c>
      <c r="AE12" t="s">
        <v>367</v>
      </c>
      <c r="AF12">
        <v>282540</v>
      </c>
    </row>
    <row r="13" spans="1:34" x14ac:dyDescent="0.2">
      <c r="B13">
        <v>60</v>
      </c>
      <c r="C13">
        <f>6.4847*B13+403.5</f>
        <v>792.58199999999999</v>
      </c>
      <c r="D13">
        <f>6.4808*B13+3255.9</f>
        <v>3644.748</v>
      </c>
      <c r="N13">
        <v>60</v>
      </c>
      <c r="O13">
        <f>63.611*N13+37633</f>
        <v>41449.660000000003</v>
      </c>
      <c r="Y13">
        <v>60</v>
      </c>
      <c r="Z13">
        <v>325000</v>
      </c>
      <c r="AB13" t="s">
        <v>768</v>
      </c>
    </row>
    <row r="14" spans="1:34" x14ac:dyDescent="0.2">
      <c r="B14">
        <v>70</v>
      </c>
      <c r="C14">
        <f>6.4847*B14+403.5</f>
        <v>857.42900000000009</v>
      </c>
      <c r="D14">
        <f>6.4808*B14+3255.9</f>
        <v>3709.556</v>
      </c>
      <c r="N14">
        <v>70</v>
      </c>
      <c r="O14">
        <f>63.611*N14+37633</f>
        <v>42085.77</v>
      </c>
      <c r="Y14">
        <v>70</v>
      </c>
      <c r="Z14">
        <v>331000</v>
      </c>
      <c r="AB14" t="s">
        <v>51</v>
      </c>
      <c r="AC14">
        <v>15800</v>
      </c>
    </row>
    <row r="15" spans="1:34" x14ac:dyDescent="0.2">
      <c r="B15">
        <v>80</v>
      </c>
      <c r="C15">
        <f>6.4847*B15+403.5</f>
        <v>922.27600000000007</v>
      </c>
      <c r="D15">
        <f>6.4808*B15+3255.9</f>
        <v>3774.364</v>
      </c>
      <c r="I15" t="s">
        <v>236</v>
      </c>
      <c r="J15">
        <v>1113.2</v>
      </c>
      <c r="N15">
        <v>80</v>
      </c>
      <c r="O15">
        <f>63.611*N15+37633</f>
        <v>42721.88</v>
      </c>
      <c r="T15" t="s">
        <v>236</v>
      </c>
      <c r="U15">
        <v>6560.6</v>
      </c>
      <c r="Y15">
        <v>80</v>
      </c>
      <c r="Z15">
        <v>337000</v>
      </c>
      <c r="AB15" t="s">
        <v>39</v>
      </c>
      <c r="AC15">
        <v>284000</v>
      </c>
      <c r="AE15" t="s">
        <v>236</v>
      </c>
      <c r="AF15">
        <v>39429</v>
      </c>
    </row>
    <row r="16" spans="1:34" x14ac:dyDescent="0.2">
      <c r="B16">
        <v>90</v>
      </c>
      <c r="C16">
        <f>6.4847*B16+403.5</f>
        <v>987.12300000000005</v>
      </c>
      <c r="D16">
        <f>6.4808*B16+3255.9</f>
        <v>3839.172</v>
      </c>
      <c r="N16">
        <v>90</v>
      </c>
      <c r="O16">
        <f>63.611*N16+37633</f>
        <v>43357.99</v>
      </c>
      <c r="Y16">
        <v>90</v>
      </c>
      <c r="Z16">
        <v>344000</v>
      </c>
    </row>
    <row r="17" spans="1:34" x14ac:dyDescent="0.2">
      <c r="B17">
        <v>100</v>
      </c>
      <c r="C17">
        <v>1047</v>
      </c>
      <c r="D17">
        <v>3899</v>
      </c>
      <c r="N17">
        <v>100</v>
      </c>
      <c r="O17">
        <f>4.4*10^4</f>
        <v>44000</v>
      </c>
      <c r="Y17">
        <v>100</v>
      </c>
      <c r="Z17">
        <v>350000</v>
      </c>
    </row>
    <row r="23" spans="1:34" ht="15" thickBot="1" x14ac:dyDescent="0.25"/>
    <row r="24" spans="1:34" s="34" customFormat="1" ht="15" thickBot="1" x14ac:dyDescent="0.25">
      <c r="A24" s="33"/>
      <c r="B24" s="108" t="s">
        <v>103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9"/>
      <c r="M24" s="108" t="s">
        <v>103</v>
      </c>
      <c r="N24" s="108"/>
      <c r="O24" s="108"/>
      <c r="P24" s="108"/>
      <c r="Q24" s="108"/>
      <c r="R24" s="108"/>
      <c r="S24" s="108"/>
      <c r="T24" s="108"/>
      <c r="U24" s="108"/>
      <c r="V24" s="108"/>
      <c r="W24" s="109"/>
      <c r="X24" s="108" t="s">
        <v>103</v>
      </c>
      <c r="Y24" s="108"/>
      <c r="Z24" s="108"/>
      <c r="AA24" s="108"/>
      <c r="AB24" s="108"/>
      <c r="AC24" s="108"/>
      <c r="AD24" s="108"/>
      <c r="AE24" s="108"/>
      <c r="AF24" s="108"/>
      <c r="AG24" s="108"/>
      <c r="AH24" s="109"/>
    </row>
    <row r="26" spans="1:34" x14ac:dyDescent="0.2">
      <c r="B26" t="s">
        <v>89</v>
      </c>
      <c r="C26" t="s">
        <v>649</v>
      </c>
      <c r="D26" t="s">
        <v>224</v>
      </c>
      <c r="E26" t="s">
        <v>405</v>
      </c>
      <c r="F26" t="s">
        <v>406</v>
      </c>
      <c r="H26" t="s">
        <v>768</v>
      </c>
      <c r="N26" t="s">
        <v>89</v>
      </c>
      <c r="O26" t="s">
        <v>649</v>
      </c>
      <c r="P26" t="s">
        <v>224</v>
      </c>
      <c r="Q26" t="s">
        <v>405</v>
      </c>
      <c r="R26" t="s">
        <v>406</v>
      </c>
      <c r="T26" t="s">
        <v>768</v>
      </c>
      <c r="Y26" t="s">
        <v>89</v>
      </c>
      <c r="Z26" t="s">
        <v>649</v>
      </c>
      <c r="AA26" t="s">
        <v>224</v>
      </c>
      <c r="AB26" t="s">
        <v>405</v>
      </c>
      <c r="AC26" t="s">
        <v>406</v>
      </c>
      <c r="AE26" t="s">
        <v>768</v>
      </c>
    </row>
    <row r="27" spans="1:34" x14ac:dyDescent="0.2">
      <c r="B27">
        <v>10</v>
      </c>
      <c r="C27">
        <v>1395.6130395</v>
      </c>
      <c r="D27">
        <v>855.66322360508298</v>
      </c>
      <c r="E27">
        <v>459.21216575572242</v>
      </c>
      <c r="F27">
        <v>549.44936170872745</v>
      </c>
      <c r="N27">
        <v>100</v>
      </c>
      <c r="O27">
        <v>12966.250215</v>
      </c>
      <c r="P27">
        <v>6225.5823527958501</v>
      </c>
      <c r="Q27">
        <v>1312.7958392102887</v>
      </c>
      <c r="R27">
        <v>1848.6665727085322</v>
      </c>
      <c r="Y27">
        <v>1000</v>
      </c>
      <c r="Z27">
        <v>129851.244592</v>
      </c>
      <c r="AA27">
        <f>'Operational Emission Summary'!$T$22</f>
        <v>37397.238112842693</v>
      </c>
      <c r="AB27">
        <v>9937.6704085007459</v>
      </c>
      <c r="AC27">
        <v>12583.614592344064</v>
      </c>
    </row>
    <row r="29" spans="1:34" x14ac:dyDescent="0.2">
      <c r="C29">
        <f>C27*30</f>
        <v>41868.391185</v>
      </c>
      <c r="D29">
        <f t="shared" ref="D29:F29" si="0">D27*30</f>
        <v>25669.89670815249</v>
      </c>
      <c r="E29">
        <f t="shared" si="0"/>
        <v>13776.364972671672</v>
      </c>
      <c r="F29">
        <f t="shared" si="0"/>
        <v>16483.480851261822</v>
      </c>
      <c r="O29">
        <f>O27*30</f>
        <v>388987.50644999999</v>
      </c>
      <c r="P29">
        <f t="shared" ref="P29:R29" si="1">P27*30</f>
        <v>186767.47058387549</v>
      </c>
      <c r="Q29">
        <f t="shared" si="1"/>
        <v>39383.875176308662</v>
      </c>
      <c r="R29">
        <f t="shared" si="1"/>
        <v>55459.997181255967</v>
      </c>
      <c r="Z29">
        <f>Z27*30</f>
        <v>3895537.33776</v>
      </c>
      <c r="AA29">
        <f>AA27*30</f>
        <v>1121917.1433852809</v>
      </c>
      <c r="AB29">
        <f t="shared" ref="AB29:AC29" si="2">AB27*30</f>
        <v>298130.1122550224</v>
      </c>
      <c r="AC29">
        <f t="shared" si="2"/>
        <v>377508.43777032191</v>
      </c>
      <c r="AE29">
        <f>Pumping!$H$40</f>
        <v>13525.854682242578</v>
      </c>
      <c r="AG29">
        <f>AA29+AE29</f>
        <v>1135442.9980675234</v>
      </c>
    </row>
    <row r="30" spans="1:34" ht="15" thickBot="1" x14ac:dyDescent="0.25"/>
    <row r="31" spans="1:34" s="34" customFormat="1" ht="15" thickBot="1" x14ac:dyDescent="0.25">
      <c r="A31" s="33"/>
      <c r="B31" s="108" t="s">
        <v>290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9"/>
      <c r="M31" s="108" t="s">
        <v>290</v>
      </c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108" t="s">
        <v>290</v>
      </c>
      <c r="Y31" s="108"/>
      <c r="Z31" s="108"/>
      <c r="AA31" s="108"/>
      <c r="AB31" s="108"/>
      <c r="AC31" s="108"/>
      <c r="AD31" s="108"/>
      <c r="AE31" s="108"/>
      <c r="AF31" s="108"/>
      <c r="AG31" s="108"/>
      <c r="AH31" s="109"/>
    </row>
    <row r="34" spans="2:33" x14ac:dyDescent="0.2">
      <c r="C34" s="86" t="s">
        <v>51</v>
      </c>
      <c r="D34" s="86"/>
      <c r="E34" s="86"/>
      <c r="F34" s="86"/>
      <c r="G34" s="86" t="s">
        <v>39</v>
      </c>
      <c r="H34" s="86"/>
      <c r="I34" s="86"/>
      <c r="J34" s="86"/>
      <c r="O34" s="86" t="s">
        <v>51</v>
      </c>
      <c r="P34" s="86"/>
      <c r="Q34" s="86"/>
      <c r="R34" s="86"/>
      <c r="S34" s="86" t="s">
        <v>39</v>
      </c>
      <c r="T34" s="86"/>
      <c r="U34" s="86"/>
      <c r="V34" s="86"/>
      <c r="Z34" s="86" t="s">
        <v>51</v>
      </c>
      <c r="AA34" s="86"/>
      <c r="AB34" s="86"/>
      <c r="AC34" s="86"/>
      <c r="AD34" s="86" t="s">
        <v>39</v>
      </c>
      <c r="AE34" s="86"/>
      <c r="AF34" s="86"/>
      <c r="AG34" s="86"/>
    </row>
    <row r="35" spans="2:33" x14ac:dyDescent="0.2">
      <c r="B35" t="s">
        <v>12</v>
      </c>
      <c r="C35">
        <v>15</v>
      </c>
      <c r="D35">
        <v>50</v>
      </c>
      <c r="E35">
        <v>100</v>
      </c>
      <c r="F35" t="s">
        <v>368</v>
      </c>
      <c r="G35">
        <v>15</v>
      </c>
      <c r="H35">
        <v>50</v>
      </c>
      <c r="I35">
        <v>100</v>
      </c>
      <c r="J35" t="s">
        <v>368</v>
      </c>
      <c r="N35" t="s">
        <v>12</v>
      </c>
      <c r="O35">
        <v>15</v>
      </c>
      <c r="P35">
        <v>50</v>
      </c>
      <c r="Q35">
        <v>100</v>
      </c>
      <c r="R35" t="s">
        <v>368</v>
      </c>
      <c r="S35">
        <v>15</v>
      </c>
      <c r="T35">
        <v>50</v>
      </c>
      <c r="U35">
        <v>100</v>
      </c>
      <c r="V35" t="s">
        <v>368</v>
      </c>
      <c r="Y35" t="s">
        <v>12</v>
      </c>
      <c r="Z35">
        <v>15</v>
      </c>
      <c r="AA35">
        <v>50</v>
      </c>
      <c r="AB35">
        <v>100</v>
      </c>
      <c r="AC35" t="s">
        <v>368</v>
      </c>
      <c r="AD35">
        <v>15</v>
      </c>
      <c r="AE35">
        <v>50</v>
      </c>
      <c r="AF35">
        <v>100</v>
      </c>
      <c r="AG35" t="s">
        <v>368</v>
      </c>
    </row>
    <row r="36" spans="2:33" x14ac:dyDescent="0.2">
      <c r="B36" t="s">
        <v>649</v>
      </c>
      <c r="C36">
        <f>C29+C8</f>
        <v>42361.991184999999</v>
      </c>
      <c r="D36">
        <f>C29+C12</f>
        <v>42608.191185000003</v>
      </c>
      <c r="E36">
        <f>C17+C29</f>
        <v>42915.391185</v>
      </c>
      <c r="G36">
        <f>D8+C29</f>
        <v>45214.391185</v>
      </c>
      <c r="H36">
        <f>D12+C29</f>
        <v>45460.391185</v>
      </c>
      <c r="I36">
        <f>D17+C29</f>
        <v>45767.391185</v>
      </c>
      <c r="N36" t="s">
        <v>649</v>
      </c>
      <c r="S36">
        <f>O29+O8</f>
        <v>427587.50644999999</v>
      </c>
      <c r="T36">
        <f>O12+O29</f>
        <v>429787.50644999999</v>
      </c>
      <c r="U36">
        <f>O17+O29</f>
        <v>432987.50644999999</v>
      </c>
      <c r="Y36" t="s">
        <v>649</v>
      </c>
      <c r="Z36">
        <f>Z8+Z29</f>
        <v>4190907.33776</v>
      </c>
      <c r="AA36">
        <f>Z12+Z29</f>
        <v>4213537.3377599996</v>
      </c>
      <c r="AB36">
        <f>Z17+Z29</f>
        <v>4245537.3377599996</v>
      </c>
    </row>
    <row r="37" spans="2:33" x14ac:dyDescent="0.2">
      <c r="B37" t="s">
        <v>224</v>
      </c>
      <c r="F37">
        <f>D29+G8</f>
        <v>31459.89670815249</v>
      </c>
      <c r="J37">
        <f>G9+D29</f>
        <v>38269.89670815249</v>
      </c>
      <c r="N37" t="s">
        <v>224</v>
      </c>
      <c r="V37">
        <f>R8+P29</f>
        <v>255667.47058387549</v>
      </c>
      <c r="Y37" t="s">
        <v>224</v>
      </c>
      <c r="AC37">
        <f>AA29+AC8+AC14+AE29</f>
        <v>1264042.9980675234</v>
      </c>
      <c r="AG37">
        <f>AC9+AA29+AC15+AE29</f>
        <v>1604942.9980675234</v>
      </c>
    </row>
    <row r="38" spans="2:33" x14ac:dyDescent="0.2">
      <c r="B38" t="s">
        <v>405</v>
      </c>
      <c r="F38">
        <f>J8+J12+E29</f>
        <v>17405.172499046363</v>
      </c>
      <c r="J38">
        <f>E29+J9+J12</f>
        <v>25726.764972671674</v>
      </c>
      <c r="N38" t="s">
        <v>405</v>
      </c>
      <c r="R38">
        <f>U8+U12+Q29</f>
        <v>64413.33994895051</v>
      </c>
      <c r="V38">
        <f>U9+U12+Q29</f>
        <v>126399.87517630866</v>
      </c>
      <c r="Y38" t="s">
        <v>405</v>
      </c>
      <c r="AC38">
        <f>AB29+AF8+AF12</f>
        <v>599693.94082388491</v>
      </c>
      <c r="AG38">
        <f>AF9+AF12+AB29</f>
        <v>1204670.1122550224</v>
      </c>
    </row>
    <row r="39" spans="2:33" x14ac:dyDescent="0.2">
      <c r="B39" t="s">
        <v>406</v>
      </c>
      <c r="F39">
        <f>J8+J15+F29</f>
        <v>18677.088377636512</v>
      </c>
      <c r="J39">
        <f>J9+J15+F29</f>
        <v>26998.680851261823</v>
      </c>
      <c r="N39" t="s">
        <v>406</v>
      </c>
      <c r="R39">
        <f>U8+U15+R29</f>
        <v>65800.061953897821</v>
      </c>
      <c r="V39">
        <f>U9+U15+R29</f>
        <v>127786.59718125597</v>
      </c>
      <c r="Y39" t="s">
        <v>406</v>
      </c>
      <c r="AC39">
        <f>AF15+AF8+AC29</f>
        <v>435961.26633918448</v>
      </c>
      <c r="AG39">
        <f>AF9+AF15+AC29</f>
        <v>1040937.437770322</v>
      </c>
    </row>
    <row r="44" spans="2:33" x14ac:dyDescent="0.2">
      <c r="B44" t="s">
        <v>649</v>
      </c>
      <c r="C44">
        <v>42608.191185000003</v>
      </c>
      <c r="D44">
        <v>45460.391185</v>
      </c>
      <c r="N44" t="s">
        <v>649</v>
      </c>
      <c r="O44">
        <f>T36</f>
        <v>429787.50644999999</v>
      </c>
      <c r="P44">
        <f>U36</f>
        <v>432987.50644999999</v>
      </c>
      <c r="Y44" t="s">
        <v>649</v>
      </c>
      <c r="Z44">
        <f>$AA$36</f>
        <v>4213537.3377599996</v>
      </c>
      <c r="AA44">
        <f>$AA$36</f>
        <v>4213537.3377599996</v>
      </c>
    </row>
    <row r="45" spans="2:33" x14ac:dyDescent="0.2">
      <c r="B45" t="s">
        <v>224</v>
      </c>
      <c r="C45">
        <v>31459.89670815249</v>
      </c>
      <c r="D45">
        <v>38269.89670815249</v>
      </c>
      <c r="N45" t="s">
        <v>224</v>
      </c>
      <c r="O45">
        <f>V37</f>
        <v>255667.47058387549</v>
      </c>
      <c r="P45">
        <f>O45</f>
        <v>255667.47058387549</v>
      </c>
      <c r="Y45" t="s">
        <v>224</v>
      </c>
      <c r="Z45">
        <f>AC37</f>
        <v>1264042.9980675234</v>
      </c>
      <c r="AA45">
        <f>AG37</f>
        <v>1604942.9980675234</v>
      </c>
    </row>
    <row r="46" spans="2:33" x14ac:dyDescent="0.2">
      <c r="B46" t="s">
        <v>405</v>
      </c>
      <c r="C46">
        <v>17405.172499046363</v>
      </c>
      <c r="D46">
        <v>25726.764972671674</v>
      </c>
      <c r="N46" t="s">
        <v>405</v>
      </c>
      <c r="O46">
        <f>R38</f>
        <v>64413.33994895051</v>
      </c>
      <c r="P46">
        <f>V38</f>
        <v>126399.87517630866</v>
      </c>
      <c r="Y46" t="s">
        <v>405</v>
      </c>
      <c r="Z46">
        <v>599693.94082388491</v>
      </c>
      <c r="AA46">
        <v>1204670.1122550224</v>
      </c>
    </row>
    <row r="47" spans="2:33" x14ac:dyDescent="0.2">
      <c r="B47" t="s">
        <v>406</v>
      </c>
      <c r="C47">
        <v>18677.088377636512</v>
      </c>
      <c r="D47">
        <v>26998.680851261823</v>
      </c>
      <c r="N47" t="s">
        <v>406</v>
      </c>
      <c r="O47">
        <f>R39</f>
        <v>65800.061953897821</v>
      </c>
      <c r="P47">
        <f>V39</f>
        <v>127786.59718125597</v>
      </c>
      <c r="Y47" t="s">
        <v>406</v>
      </c>
      <c r="Z47">
        <v>435961.26633918448</v>
      </c>
      <c r="AA47">
        <v>1040937.437770322</v>
      </c>
    </row>
    <row r="71" spans="3:6" x14ac:dyDescent="0.2">
      <c r="C71" t="s">
        <v>649</v>
      </c>
      <c r="D71">
        <f>C44/10</f>
        <v>4260.8191185000005</v>
      </c>
      <c r="E71">
        <f>O44/100</f>
        <v>4297.8750645</v>
      </c>
      <c r="F71">
        <f>Z44/1000</f>
        <v>4213.5373377599999</v>
      </c>
    </row>
    <row r="72" spans="3:6" x14ac:dyDescent="0.2">
      <c r="C72" t="s">
        <v>224</v>
      </c>
      <c r="D72">
        <f t="shared" ref="D72:D74" si="3">C45/10</f>
        <v>3145.9896708152492</v>
      </c>
      <c r="E72">
        <f t="shared" ref="E72:E74" si="4">O45/100</f>
        <v>2556.674705838755</v>
      </c>
      <c r="F72">
        <f>Z45/1000</f>
        <v>1264.0429980675233</v>
      </c>
    </row>
    <row r="73" spans="3:6" x14ac:dyDescent="0.2">
      <c r="C73" t="s">
        <v>405</v>
      </c>
      <c r="D73">
        <f t="shared" si="3"/>
        <v>1740.5172499046362</v>
      </c>
      <c r="E73">
        <f t="shared" si="4"/>
        <v>644.13339948950511</v>
      </c>
      <c r="F73">
        <f>Z46/1000</f>
        <v>599.69394082388487</v>
      </c>
    </row>
    <row r="74" spans="3:6" x14ac:dyDescent="0.2">
      <c r="C74" t="s">
        <v>406</v>
      </c>
      <c r="D74">
        <f t="shared" si="3"/>
        <v>1867.7088377636512</v>
      </c>
      <c r="E74">
        <f t="shared" si="4"/>
        <v>658.00061953897819</v>
      </c>
      <c r="F74">
        <f>Z47/1000</f>
        <v>435.96126633918448</v>
      </c>
    </row>
    <row r="77" spans="3:6" x14ac:dyDescent="0.2">
      <c r="C77" t="s">
        <v>649</v>
      </c>
      <c r="D77">
        <v>4260.8191185000005</v>
      </c>
      <c r="E77">
        <v>4297.8750645</v>
      </c>
      <c r="F77">
        <v>4213.5373377599999</v>
      </c>
    </row>
    <row r="78" spans="3:6" x14ac:dyDescent="0.2">
      <c r="C78" t="s">
        <v>224</v>
      </c>
      <c r="D78">
        <v>3145.9896708152492</v>
      </c>
      <c r="E78">
        <v>2556.674705838755</v>
      </c>
      <c r="F78">
        <v>946.22175102131303</v>
      </c>
    </row>
    <row r="79" spans="3:6" x14ac:dyDescent="0.2">
      <c r="C79" t="s">
        <v>405</v>
      </c>
      <c r="D79">
        <v>1740.5172499046362</v>
      </c>
      <c r="E79">
        <v>644.13339948950511</v>
      </c>
      <c r="F79">
        <v>599.69394082388487</v>
      </c>
    </row>
    <row r="80" spans="3:6" x14ac:dyDescent="0.2">
      <c r="C80" t="s">
        <v>406</v>
      </c>
      <c r="D80">
        <v>1867.7088377636512</v>
      </c>
      <c r="E80">
        <v>658.00061953897819</v>
      </c>
      <c r="F80">
        <v>435.96126633918448</v>
      </c>
    </row>
    <row r="82" spans="2:6" x14ac:dyDescent="0.2">
      <c r="C82" t="s">
        <v>649</v>
      </c>
      <c r="D82" t="s">
        <v>224</v>
      </c>
      <c r="E82" t="s">
        <v>783</v>
      </c>
      <c r="F82" t="s">
        <v>784</v>
      </c>
    </row>
    <row r="83" spans="2:6" x14ac:dyDescent="0.2">
      <c r="B83">
        <v>10</v>
      </c>
      <c r="C83">
        <v>4260.8191185000005</v>
      </c>
      <c r="D83">
        <v>3145.9896708152492</v>
      </c>
      <c r="E83">
        <v>1740.5172499046362</v>
      </c>
      <c r="F83">
        <v>1867.7088377636512</v>
      </c>
    </row>
    <row r="84" spans="2:6" x14ac:dyDescent="0.2">
      <c r="B84">
        <v>100</v>
      </c>
      <c r="C84">
        <v>4297.8750645</v>
      </c>
      <c r="D84">
        <v>2556.674705838755</v>
      </c>
      <c r="E84">
        <v>644.13339948950511</v>
      </c>
      <c r="F84">
        <v>658.00061953897819</v>
      </c>
    </row>
    <row r="85" spans="2:6" x14ac:dyDescent="0.2">
      <c r="B85">
        <v>1000</v>
      </c>
      <c r="C85">
        <v>4213.5373377599999</v>
      </c>
      <c r="D85">
        <v>946.22175102131303</v>
      </c>
      <c r="E85">
        <v>599.69394082388487</v>
      </c>
      <c r="F85">
        <v>435.96126633918448</v>
      </c>
    </row>
  </sheetData>
  <mergeCells count="18">
    <mergeCell ref="Z34:AC34"/>
    <mergeCell ref="AD34:AG34"/>
    <mergeCell ref="X3:AH3"/>
    <mergeCell ref="X4:AH4"/>
    <mergeCell ref="X24:AH24"/>
    <mergeCell ref="X31:AH31"/>
    <mergeCell ref="B3:L3"/>
    <mergeCell ref="B4:L4"/>
    <mergeCell ref="B24:L24"/>
    <mergeCell ref="M3:W3"/>
    <mergeCell ref="M4:W4"/>
    <mergeCell ref="M24:W24"/>
    <mergeCell ref="C34:F34"/>
    <mergeCell ref="G34:J34"/>
    <mergeCell ref="O34:R34"/>
    <mergeCell ref="B31:L31"/>
    <mergeCell ref="M31:W31"/>
    <mergeCell ref="S34:V3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A9483-8F20-44CD-8FAE-933552A9F88D}">
  <dimension ref="A1:BE210"/>
  <sheetViews>
    <sheetView topLeftCell="AK1" workbookViewId="0">
      <selection activeCell="AQ48" sqref="AQ48"/>
    </sheetView>
  </sheetViews>
  <sheetFormatPr defaultRowHeight="14.25" x14ac:dyDescent="0.2"/>
  <sheetData>
    <row r="1" spans="1:57" x14ac:dyDescent="0.2">
      <c r="A1" t="s">
        <v>649</v>
      </c>
    </row>
    <row r="2" spans="1:57" x14ac:dyDescent="0.2">
      <c r="A2" t="s">
        <v>103</v>
      </c>
      <c r="R2" t="s">
        <v>785</v>
      </c>
      <c r="S2" t="s">
        <v>649</v>
      </c>
      <c r="T2" t="s">
        <v>224</v>
      </c>
      <c r="U2" t="s">
        <v>783</v>
      </c>
      <c r="V2" t="s">
        <v>784</v>
      </c>
      <c r="AH2" t="s">
        <v>790</v>
      </c>
    </row>
    <row r="3" spans="1:57" x14ac:dyDescent="0.2">
      <c r="B3" t="s">
        <v>89</v>
      </c>
      <c r="C3" t="s">
        <v>40</v>
      </c>
      <c r="D3" t="s">
        <v>626</v>
      </c>
      <c r="E3" t="s">
        <v>290</v>
      </c>
      <c r="G3" t="s">
        <v>786</v>
      </c>
      <c r="H3" t="s">
        <v>788</v>
      </c>
      <c r="R3">
        <v>0.1</v>
      </c>
      <c r="S3">
        <f>$G$10+R3*30</f>
        <v>411.87535215000003</v>
      </c>
      <c r="T3">
        <f>$G$22+R3*30</f>
        <v>2455.0744108387553</v>
      </c>
      <c r="U3">
        <f>$G$40+R3*30</f>
        <v>572.84862813041843</v>
      </c>
      <c r="V3">
        <f>$G$53+R3*30</f>
        <v>612.08330988614148</v>
      </c>
      <c r="AB3" t="s">
        <v>168</v>
      </c>
      <c r="AI3" t="s">
        <v>649</v>
      </c>
      <c r="AJ3" t="s">
        <v>224</v>
      </c>
      <c r="AK3" t="s">
        <v>783</v>
      </c>
      <c r="AL3" t="s">
        <v>784</v>
      </c>
      <c r="BC3" t="s">
        <v>792</v>
      </c>
    </row>
    <row r="4" spans="1:57" x14ac:dyDescent="0.2">
      <c r="B4">
        <v>10</v>
      </c>
      <c r="C4">
        <v>1287.8715</v>
      </c>
      <c r="D4">
        <v>107.74153949999999</v>
      </c>
      <c r="E4">
        <v>1395.6130395</v>
      </c>
      <c r="G4">
        <f>E4/B4</f>
        <v>139.56130395</v>
      </c>
      <c r="H4">
        <f>D4/B4</f>
        <v>10.774153949999999</v>
      </c>
      <c r="R4">
        <v>0.2</v>
      </c>
      <c r="S4">
        <f t="shared" ref="S4:S6" si="0">$G$10+R4*30</f>
        <v>414.87535215000003</v>
      </c>
      <c r="T4">
        <f t="shared" ref="T4:T6" si="1">$G$22+R4*30</f>
        <v>2458.0744108387553</v>
      </c>
      <c r="U4">
        <f t="shared" ref="U4:U6" si="2">$G$40+R4*30</f>
        <v>575.84862813041843</v>
      </c>
      <c r="V4">
        <f t="shared" ref="V4:V6" si="3">$G$53+R4*30</f>
        <v>615.08330988614148</v>
      </c>
      <c r="AB4" t="s">
        <v>169</v>
      </c>
      <c r="AC4" t="s">
        <v>170</v>
      </c>
      <c r="AD4" t="s">
        <v>387</v>
      </c>
      <c r="AH4">
        <v>50</v>
      </c>
      <c r="AI4">
        <f t="shared" ref="AI4:AI46" si="4">$AC$11*$AH4*30+$AD$33</f>
        <v>427688.85000000003</v>
      </c>
      <c r="AJ4">
        <f t="shared" ref="AJ4:AJ46" si="5">$AC$11*$AH4*30+$AD$34</f>
        <v>240839.6926225927</v>
      </c>
      <c r="AK4">
        <f t="shared" ref="AK4:AK46" si="6">$AC$11*$AH4*30+$AD$35</f>
        <v>64612.660582657656</v>
      </c>
      <c r="AL4">
        <f t="shared" ref="AL4:AL46" si="7">$AC$11*$AH4*30+$AD$36</f>
        <v>65999.382587604967</v>
      </c>
      <c r="AQ4">
        <v>10</v>
      </c>
      <c r="AR4">
        <v>87.535215000000008</v>
      </c>
      <c r="AS4">
        <v>85.306544229348816</v>
      </c>
      <c r="AT4">
        <v>274.39247</v>
      </c>
      <c r="AX4" t="s">
        <v>649</v>
      </c>
      <c r="AY4" t="s">
        <v>224</v>
      </c>
      <c r="AZ4" t="s">
        <v>783</v>
      </c>
      <c r="BA4" t="s">
        <v>784</v>
      </c>
    </row>
    <row r="5" spans="1:57" x14ac:dyDescent="0.2">
      <c r="B5">
        <v>100</v>
      </c>
      <c r="C5">
        <v>12878.715</v>
      </c>
      <c r="D5">
        <v>87.535215000000008</v>
      </c>
      <c r="E5">
        <v>12966.250215</v>
      </c>
      <c r="G5">
        <f t="shared" ref="G5:G6" si="8">E5/B5</f>
        <v>129.66250214999999</v>
      </c>
      <c r="H5">
        <f t="shared" ref="H5:H6" si="9">D5/B5</f>
        <v>0.87535215000000011</v>
      </c>
      <c r="R5">
        <v>0.3</v>
      </c>
      <c r="S5">
        <f t="shared" si="0"/>
        <v>417.87535215000003</v>
      </c>
      <c r="T5">
        <f t="shared" si="1"/>
        <v>2461.0744108387553</v>
      </c>
      <c r="U5">
        <f t="shared" si="2"/>
        <v>578.84862813041843</v>
      </c>
      <c r="V5">
        <f t="shared" si="3"/>
        <v>618.08330988614148</v>
      </c>
      <c r="AA5" t="s">
        <v>173</v>
      </c>
      <c r="AB5">
        <v>0.53300000000000003</v>
      </c>
      <c r="AC5">
        <v>0.221</v>
      </c>
      <c r="AD5">
        <v>0.17299999999999999</v>
      </c>
      <c r="AE5" t="s">
        <v>179</v>
      </c>
      <c r="AH5">
        <v>100</v>
      </c>
      <c r="AI5">
        <f t="shared" si="4"/>
        <v>428216.25</v>
      </c>
      <c r="AJ5">
        <f t="shared" si="5"/>
        <v>241367.0926225927</v>
      </c>
      <c r="AK5">
        <f t="shared" si="6"/>
        <v>65140.060582657658</v>
      </c>
      <c r="AL5">
        <f t="shared" si="7"/>
        <v>66526.782587604961</v>
      </c>
      <c r="AQ5">
        <v>20</v>
      </c>
      <c r="AR5">
        <v>175.07043000000002</v>
      </c>
      <c r="AS5">
        <v>170.61308845869763</v>
      </c>
      <c r="AT5">
        <v>548.78494000000001</v>
      </c>
      <c r="AW5">
        <v>10</v>
      </c>
      <c r="AX5">
        <f t="shared" ref="AX5:BA12" si="10">AR$42+AR22</f>
        <v>4324.1356289999994</v>
      </c>
      <c r="AY5">
        <f t="shared" si="10"/>
        <v>2479.8988160323411</v>
      </c>
      <c r="AZ5">
        <f t="shared" si="10"/>
        <v>652.61228311229081</v>
      </c>
      <c r="BA5">
        <f t="shared" si="10"/>
        <v>666.47950316176389</v>
      </c>
      <c r="BC5">
        <f>AR4/AQ4</f>
        <v>8.7535215000000015</v>
      </c>
      <c r="BD5">
        <f t="shared" ref="BD5:BE10" si="11">AS4/AR4</f>
        <v>0.97453972357694907</v>
      </c>
      <c r="BE5">
        <f t="shared" si="11"/>
        <v>3.2165465437480254</v>
      </c>
    </row>
    <row r="6" spans="1:57" x14ac:dyDescent="0.2">
      <c r="B6">
        <v>1000</v>
      </c>
      <c r="C6">
        <v>128787.15000000001</v>
      </c>
      <c r="D6">
        <v>1064.0945920000001</v>
      </c>
      <c r="E6">
        <v>129851.244592</v>
      </c>
      <c r="G6">
        <f t="shared" si="8"/>
        <v>129.851244592</v>
      </c>
      <c r="H6">
        <f t="shared" si="9"/>
        <v>1.0640945920000002</v>
      </c>
      <c r="L6">
        <v>128.78715</v>
      </c>
      <c r="M6">
        <v>3.4866764999999997</v>
      </c>
      <c r="N6">
        <v>2.4761590453028886</v>
      </c>
      <c r="O6">
        <v>1.6305769884278885</v>
      </c>
      <c r="R6">
        <v>0.6</v>
      </c>
      <c r="S6">
        <f t="shared" si="0"/>
        <v>426.87535215000003</v>
      </c>
      <c r="T6">
        <f t="shared" si="1"/>
        <v>2470.0744108387553</v>
      </c>
      <c r="U6">
        <f t="shared" si="2"/>
        <v>587.84862813041843</v>
      </c>
      <c r="V6">
        <f t="shared" si="3"/>
        <v>627.08330988614148</v>
      </c>
      <c r="AA6" t="s">
        <v>174</v>
      </c>
      <c r="AB6">
        <v>0.52700000000000002</v>
      </c>
      <c r="AC6">
        <v>0.219</v>
      </c>
      <c r="AD6">
        <v>0.16500000000000001</v>
      </c>
      <c r="AE6" t="s">
        <v>179</v>
      </c>
      <c r="AH6">
        <v>150</v>
      </c>
      <c r="AI6">
        <f t="shared" si="4"/>
        <v>428743.65</v>
      </c>
      <c r="AJ6">
        <f t="shared" si="5"/>
        <v>241894.49262259272</v>
      </c>
      <c r="AK6">
        <f t="shared" si="6"/>
        <v>65667.460582657659</v>
      </c>
      <c r="AL6">
        <f t="shared" si="7"/>
        <v>67054.18258760497</v>
      </c>
      <c r="AQ6">
        <v>30</v>
      </c>
      <c r="AR6">
        <v>262.60564500000004</v>
      </c>
      <c r="AS6">
        <v>255.91963268804642</v>
      </c>
      <c r="AT6">
        <v>823.17741000000012</v>
      </c>
      <c r="AW6">
        <v>20</v>
      </c>
      <c r="AX6">
        <f t="shared" si="10"/>
        <v>4376.6567580000001</v>
      </c>
      <c r="AY6">
        <f t="shared" si="10"/>
        <v>2556.674705838755</v>
      </c>
      <c r="AZ6">
        <f t="shared" si="10"/>
        <v>664.37196039800517</v>
      </c>
      <c r="BA6">
        <f t="shared" si="10"/>
        <v>678.23918044747825</v>
      </c>
      <c r="BC6">
        <f t="shared" ref="BC6:BC10" si="12">AR5/AQ5</f>
        <v>8.7535215000000015</v>
      </c>
      <c r="BD6">
        <f t="shared" ref="BD6:BD10" si="13">AS5/AR5</f>
        <v>0.97453972357694907</v>
      </c>
      <c r="BE6">
        <f t="shared" si="11"/>
        <v>3.2165465437480254</v>
      </c>
    </row>
    <row r="7" spans="1:57" x14ac:dyDescent="0.2">
      <c r="R7">
        <v>1</v>
      </c>
      <c r="S7">
        <f t="shared" ref="S7:S8" si="14">$G$10+R7*30</f>
        <v>438.87535215000003</v>
      </c>
      <c r="T7">
        <f t="shared" ref="T7" si="15">$G$22+R7*30</f>
        <v>2482.0744108387553</v>
      </c>
      <c r="U7">
        <f t="shared" ref="U7" si="16">$G$40+R7*30</f>
        <v>599.84862813041843</v>
      </c>
      <c r="V7">
        <f t="shared" ref="V7" si="17">$G$53+R7*30</f>
        <v>639.08330988614148</v>
      </c>
      <c r="AA7" t="s">
        <v>175</v>
      </c>
      <c r="AB7">
        <v>0.52800000000000002</v>
      </c>
      <c r="AC7">
        <v>0.22</v>
      </c>
      <c r="AD7">
        <v>0.17399999999999999</v>
      </c>
      <c r="AE7" t="s">
        <v>179</v>
      </c>
      <c r="AH7">
        <v>200</v>
      </c>
      <c r="AI7">
        <f t="shared" si="4"/>
        <v>429271.05</v>
      </c>
      <c r="AJ7">
        <f t="shared" si="5"/>
        <v>242421.89262259271</v>
      </c>
      <c r="AK7">
        <f t="shared" si="6"/>
        <v>66194.860582657653</v>
      </c>
      <c r="AL7">
        <f t="shared" si="7"/>
        <v>67581.582587604964</v>
      </c>
      <c r="AQ7">
        <v>40</v>
      </c>
      <c r="AR7">
        <v>350.14086000000003</v>
      </c>
      <c r="AS7">
        <v>341.22617691739526</v>
      </c>
      <c r="AT7">
        <v>1097.56988</v>
      </c>
      <c r="AW7">
        <v>30</v>
      </c>
      <c r="AX7">
        <f t="shared" si="10"/>
        <v>4429.1778869999998</v>
      </c>
      <c r="AY7">
        <f t="shared" si="10"/>
        <v>2633.450595645169</v>
      </c>
      <c r="AZ7">
        <f t="shared" si="10"/>
        <v>676.13163768371942</v>
      </c>
      <c r="BA7">
        <f t="shared" si="10"/>
        <v>689.99885773319249</v>
      </c>
      <c r="BC7">
        <f t="shared" si="12"/>
        <v>8.7535215000000015</v>
      </c>
      <c r="BD7">
        <f t="shared" si="13"/>
        <v>0.97453972357694896</v>
      </c>
      <c r="BE7">
        <f t="shared" si="11"/>
        <v>3.2165465437480263</v>
      </c>
    </row>
    <row r="8" spans="1:57" x14ac:dyDescent="0.2">
      <c r="A8" t="s">
        <v>761</v>
      </c>
      <c r="B8" t="s">
        <v>89</v>
      </c>
      <c r="C8" t="s">
        <v>343</v>
      </c>
      <c r="G8" t="s">
        <v>787</v>
      </c>
      <c r="R8">
        <v>1.6305769884278885</v>
      </c>
      <c r="S8">
        <f t="shared" si="14"/>
        <v>457.79266180283668</v>
      </c>
      <c r="T8">
        <f t="shared" ref="T8" si="18">$G$22+R8*30</f>
        <v>2500.9917204915919</v>
      </c>
      <c r="U8">
        <f t="shared" ref="U8" si="19">$G$40+R8*30</f>
        <v>618.76593778325514</v>
      </c>
      <c r="V8" s="83">
        <f t="shared" ref="V8" si="20">$G$53+R8*30</f>
        <v>658.00061953897807</v>
      </c>
      <c r="W8">
        <v>0</v>
      </c>
      <c r="X8">
        <v>8000</v>
      </c>
      <c r="AA8" t="s">
        <v>176</v>
      </c>
      <c r="AB8">
        <v>0.52900000000000003</v>
      </c>
      <c r="AC8">
        <v>0.219</v>
      </c>
      <c r="AD8">
        <v>0.17</v>
      </c>
      <c r="AE8" t="s">
        <v>179</v>
      </c>
      <c r="AH8">
        <v>250</v>
      </c>
      <c r="AI8">
        <f t="shared" si="4"/>
        <v>429798.45</v>
      </c>
      <c r="AJ8">
        <f t="shared" si="5"/>
        <v>242949.29262259271</v>
      </c>
      <c r="AK8">
        <f t="shared" si="6"/>
        <v>66722.260582657647</v>
      </c>
      <c r="AL8">
        <f t="shared" si="7"/>
        <v>68108.982587604958</v>
      </c>
      <c r="AQ8">
        <v>50</v>
      </c>
      <c r="AR8">
        <v>437.67607500000003</v>
      </c>
      <c r="AS8">
        <v>426.53272114674405</v>
      </c>
      <c r="AT8">
        <v>1371.96235</v>
      </c>
      <c r="AW8">
        <v>40</v>
      </c>
      <c r="AX8">
        <f t="shared" si="10"/>
        <v>4481.6990159999996</v>
      </c>
      <c r="AY8">
        <f t="shared" si="10"/>
        <v>2710.2264854515829</v>
      </c>
      <c r="AZ8">
        <f t="shared" si="10"/>
        <v>687.89131496943367</v>
      </c>
      <c r="BA8">
        <f t="shared" si="10"/>
        <v>701.75853501890674</v>
      </c>
      <c r="BC8">
        <f t="shared" si="12"/>
        <v>8.7535215000000015</v>
      </c>
      <c r="BD8">
        <f t="shared" si="13"/>
        <v>0.97453972357694907</v>
      </c>
      <c r="BE8">
        <f t="shared" si="11"/>
        <v>3.2165465437480254</v>
      </c>
    </row>
    <row r="9" spans="1:57" x14ac:dyDescent="0.2">
      <c r="B9">
        <v>10</v>
      </c>
      <c r="C9">
        <v>739.8</v>
      </c>
      <c r="D9">
        <f>C9/B9</f>
        <v>73.97999999999999</v>
      </c>
      <c r="G9">
        <f>D9+H4</f>
        <v>84.754153949999989</v>
      </c>
      <c r="R9">
        <v>2</v>
      </c>
      <c r="S9">
        <f t="shared" ref="S9:S40" si="21">$G$10+R9*30</f>
        <v>468.87535215000003</v>
      </c>
      <c r="T9">
        <f>$G$22+R9*30</f>
        <v>2512.0744108387553</v>
      </c>
      <c r="U9">
        <f>$G$40+R9*30</f>
        <v>629.84862813041843</v>
      </c>
      <c r="V9">
        <f>$G$53+R9*30</f>
        <v>669.08330988614148</v>
      </c>
      <c r="AB9">
        <v>0.52925</v>
      </c>
      <c r="AC9">
        <v>0.21975</v>
      </c>
      <c r="AD9">
        <v>0.17050000000000001</v>
      </c>
      <c r="AH9">
        <v>300</v>
      </c>
      <c r="AI9">
        <f t="shared" si="4"/>
        <v>430325.85000000003</v>
      </c>
      <c r="AJ9">
        <f t="shared" si="5"/>
        <v>243476.6926225927</v>
      </c>
      <c r="AK9">
        <f t="shared" si="6"/>
        <v>67249.660582657656</v>
      </c>
      <c r="AL9">
        <f t="shared" si="7"/>
        <v>68636.382587604967</v>
      </c>
      <c r="AQ9">
        <v>60</v>
      </c>
      <c r="AR9">
        <v>525.21129000000008</v>
      </c>
      <c r="AS9">
        <v>511.83926537609284</v>
      </c>
      <c r="AT9">
        <v>1646.3548200000002</v>
      </c>
      <c r="AW9">
        <v>50</v>
      </c>
      <c r="AX9">
        <f t="shared" si="10"/>
        <v>4534.2201449999993</v>
      </c>
      <c r="AY9">
        <f t="shared" si="10"/>
        <v>2787.0023752579968</v>
      </c>
      <c r="AZ9">
        <f t="shared" si="10"/>
        <v>699.65099225514803</v>
      </c>
      <c r="BA9">
        <f t="shared" si="10"/>
        <v>713.5182123046211</v>
      </c>
      <c r="BC9">
        <f t="shared" si="12"/>
        <v>8.7535214999999997</v>
      </c>
      <c r="BD9">
        <f t="shared" si="13"/>
        <v>0.97453972357694907</v>
      </c>
      <c r="BE9">
        <f t="shared" si="11"/>
        <v>3.2165465437480258</v>
      </c>
    </row>
    <row r="10" spans="1:57" x14ac:dyDescent="0.2">
      <c r="B10">
        <v>100</v>
      </c>
      <c r="C10">
        <v>40800</v>
      </c>
      <c r="D10">
        <f>C10/B10</f>
        <v>408</v>
      </c>
      <c r="G10">
        <f t="shared" ref="G10:G11" si="22">D10+H5</f>
        <v>408.87535215000003</v>
      </c>
      <c r="R10">
        <v>2.4761590453028886</v>
      </c>
      <c r="S10">
        <f t="shared" si="21"/>
        <v>483.1601235090867</v>
      </c>
      <c r="T10">
        <f>$G$22+R10*30</f>
        <v>2526.3591821978421</v>
      </c>
      <c r="U10" s="83">
        <f>$G$40+R10*30</f>
        <v>644.13339948950511</v>
      </c>
      <c r="V10">
        <f>$G$53+R10*30</f>
        <v>683.36808124522815</v>
      </c>
      <c r="W10">
        <v>0</v>
      </c>
      <c r="X10">
        <v>8000</v>
      </c>
      <c r="AH10">
        <v>350</v>
      </c>
      <c r="AI10">
        <f t="shared" si="4"/>
        <v>430853.25</v>
      </c>
      <c r="AJ10">
        <f t="shared" si="5"/>
        <v>244004.0926225927</v>
      </c>
      <c r="AK10">
        <f t="shared" si="6"/>
        <v>67777.06058265765</v>
      </c>
      <c r="AL10">
        <f t="shared" si="7"/>
        <v>69163.782587604961</v>
      </c>
      <c r="AQ10">
        <v>70</v>
      </c>
      <c r="AR10">
        <v>612.74650500000007</v>
      </c>
      <c r="AS10">
        <v>597.14580960544163</v>
      </c>
      <c r="AT10">
        <v>1920.7472900000002</v>
      </c>
      <c r="AW10">
        <v>60</v>
      </c>
      <c r="AX10">
        <f t="shared" si="10"/>
        <v>4586.741274</v>
      </c>
      <c r="AY10">
        <f t="shared" si="10"/>
        <v>2863.7782650644108</v>
      </c>
      <c r="AZ10">
        <f t="shared" si="10"/>
        <v>711.41066954086227</v>
      </c>
      <c r="BA10">
        <f t="shared" si="10"/>
        <v>725.27788959033535</v>
      </c>
      <c r="BC10">
        <f t="shared" si="12"/>
        <v>8.7535215000000015</v>
      </c>
      <c r="BD10">
        <f t="shared" si="13"/>
        <v>0.97453972357694896</v>
      </c>
      <c r="BE10">
        <f t="shared" si="11"/>
        <v>3.2165465437480263</v>
      </c>
    </row>
    <row r="11" spans="1:57" x14ac:dyDescent="0.2">
      <c r="B11">
        <v>1000</v>
      </c>
      <c r="C11">
        <v>318000</v>
      </c>
      <c r="D11">
        <f>C11/B11</f>
        <v>318</v>
      </c>
      <c r="G11">
        <f t="shared" si="22"/>
        <v>319.064094592</v>
      </c>
      <c r="R11">
        <v>3</v>
      </c>
      <c r="S11">
        <f t="shared" si="21"/>
        <v>498.87535215000003</v>
      </c>
      <c r="T11">
        <f>$G$22+R11*30</f>
        <v>2542.0744108387553</v>
      </c>
      <c r="U11">
        <f>$G$40+R11*30</f>
        <v>659.84862813041843</v>
      </c>
      <c r="V11">
        <f>$G$53+R11*30</f>
        <v>699.08330988614148</v>
      </c>
      <c r="AB11">
        <f>AB9*1.6</f>
        <v>0.8468</v>
      </c>
      <c r="AC11">
        <f>AC9*1.6</f>
        <v>0.35160000000000002</v>
      </c>
      <c r="AD11">
        <f>AD9*1.6</f>
        <v>0.27280000000000004</v>
      </c>
      <c r="AH11">
        <v>400</v>
      </c>
      <c r="AI11">
        <f t="shared" si="4"/>
        <v>431380.65</v>
      </c>
      <c r="AJ11">
        <f t="shared" si="5"/>
        <v>244531.49262259272</v>
      </c>
      <c r="AK11">
        <f t="shared" si="6"/>
        <v>68304.460582657659</v>
      </c>
      <c r="AL11">
        <f t="shared" si="7"/>
        <v>69691.18258760497</v>
      </c>
      <c r="AQ11">
        <v>80</v>
      </c>
      <c r="AR11">
        <v>700.28172000000006</v>
      </c>
      <c r="AS11">
        <v>682.45235383479053</v>
      </c>
      <c r="AT11">
        <v>2195.13976</v>
      </c>
      <c r="AW11">
        <v>70</v>
      </c>
      <c r="AX11">
        <f t="shared" si="10"/>
        <v>4639.2624029999997</v>
      </c>
      <c r="AY11">
        <f t="shared" si="10"/>
        <v>2940.5541548708247</v>
      </c>
      <c r="AZ11">
        <f t="shared" si="10"/>
        <v>723.17034682657663</v>
      </c>
      <c r="BA11">
        <f t="shared" si="10"/>
        <v>737.0375668760496</v>
      </c>
    </row>
    <row r="12" spans="1:57" x14ac:dyDescent="0.2">
      <c r="R12">
        <v>3.4866764999999997</v>
      </c>
      <c r="S12">
        <f t="shared" si="21"/>
        <v>513.47564714999999</v>
      </c>
      <c r="T12" s="83">
        <f>$G$22+R12*30</f>
        <v>2556.6747058387555</v>
      </c>
      <c r="U12">
        <f>$G$40+R12*30</f>
        <v>674.44892313041839</v>
      </c>
      <c r="V12">
        <f>$G$53+R12*30</f>
        <v>713.68360488614144</v>
      </c>
      <c r="W12">
        <v>0</v>
      </c>
      <c r="X12">
        <v>8000</v>
      </c>
      <c r="AH12">
        <v>450</v>
      </c>
      <c r="AI12">
        <f t="shared" si="4"/>
        <v>431908.05</v>
      </c>
      <c r="AJ12">
        <f t="shared" si="5"/>
        <v>245058.89262259271</v>
      </c>
      <c r="AK12">
        <f t="shared" si="6"/>
        <v>68831.860582657653</v>
      </c>
      <c r="AL12">
        <f t="shared" si="7"/>
        <v>70218.582587604964</v>
      </c>
      <c r="AW12">
        <v>80</v>
      </c>
      <c r="AX12">
        <f t="shared" si="10"/>
        <v>4691.7835319999995</v>
      </c>
      <c r="AY12">
        <f t="shared" si="10"/>
        <v>3017.3300446772387</v>
      </c>
      <c r="AZ12">
        <f t="shared" si="10"/>
        <v>734.93002411229088</v>
      </c>
      <c r="BA12">
        <f t="shared" si="10"/>
        <v>748.79724416176396</v>
      </c>
    </row>
    <row r="13" spans="1:57" x14ac:dyDescent="0.2">
      <c r="R13">
        <v>4</v>
      </c>
      <c r="S13">
        <f t="shared" si="21"/>
        <v>528.87535215000003</v>
      </c>
      <c r="T13">
        <f t="shared" ref="T13:T20" si="23">$G$22+R13*30</f>
        <v>2572.0744108387553</v>
      </c>
      <c r="U13">
        <f t="shared" ref="U13:U20" si="24">$G$40+R13*30</f>
        <v>689.84862813041843</v>
      </c>
      <c r="V13">
        <f t="shared" ref="V13:V20" si="25">$G$53+R13*30</f>
        <v>729.08330988614148</v>
      </c>
      <c r="AH13">
        <v>500</v>
      </c>
      <c r="AI13">
        <f t="shared" si="4"/>
        <v>432435.45</v>
      </c>
      <c r="AJ13">
        <f t="shared" si="5"/>
        <v>245586.29262259271</v>
      </c>
      <c r="AK13">
        <f t="shared" si="6"/>
        <v>69359.260582657647</v>
      </c>
      <c r="AL13">
        <f t="shared" si="7"/>
        <v>70745.982587604958</v>
      </c>
      <c r="AQ13">
        <v>10</v>
      </c>
      <c r="AR13">
        <f>AR4*2</f>
        <v>175.07043000000002</v>
      </c>
      <c r="AS13">
        <f>AS4*3</f>
        <v>255.91963268804645</v>
      </c>
      <c r="AT13">
        <f>AT4*(1/7)</f>
        <v>39.198924285714284</v>
      </c>
      <c r="AU13">
        <f>AT13</f>
        <v>39.198924285714284</v>
      </c>
      <c r="AV13">
        <f>AT13*7</f>
        <v>274.39247</v>
      </c>
      <c r="AW13">
        <v>90</v>
      </c>
      <c r="AX13">
        <f t="shared" ref="AX13:BA13" si="26">AR$42+AR30</f>
        <v>4744.3046610000001</v>
      </c>
      <c r="AY13">
        <f t="shared" si="26"/>
        <v>3094.1059344836526</v>
      </c>
      <c r="AZ13">
        <f t="shared" si="26"/>
        <v>746.68970139800513</v>
      </c>
      <c r="BA13">
        <f t="shared" si="26"/>
        <v>760.5569214474782</v>
      </c>
    </row>
    <row r="14" spans="1:57" x14ac:dyDescent="0.2">
      <c r="A14" t="s">
        <v>789</v>
      </c>
      <c r="R14">
        <v>5</v>
      </c>
      <c r="S14">
        <f t="shared" si="21"/>
        <v>558.87535215000003</v>
      </c>
      <c r="T14">
        <f t="shared" si="23"/>
        <v>2602.0744108387553</v>
      </c>
      <c r="U14">
        <f t="shared" si="24"/>
        <v>719.84862813041843</v>
      </c>
      <c r="V14">
        <f t="shared" si="25"/>
        <v>759.08330988614148</v>
      </c>
      <c r="AH14">
        <v>550</v>
      </c>
      <c r="AI14">
        <f t="shared" si="4"/>
        <v>432962.85000000003</v>
      </c>
      <c r="AJ14">
        <f t="shared" si="5"/>
        <v>246113.6926225927</v>
      </c>
      <c r="AK14">
        <f t="shared" si="6"/>
        <v>69886.660582657656</v>
      </c>
      <c r="AL14">
        <f t="shared" si="7"/>
        <v>71273.382587604967</v>
      </c>
      <c r="AQ14">
        <v>20</v>
      </c>
      <c r="AR14">
        <f t="shared" ref="AR14:AR20" si="27">AR5*2</f>
        <v>350.14086000000003</v>
      </c>
      <c r="AS14">
        <f t="shared" ref="AS14:AS20" si="28">AS5*3</f>
        <v>511.8392653760929</v>
      </c>
      <c r="AT14">
        <f t="shared" ref="AT14:AT20" si="29">AT5*(1/7)</f>
        <v>78.397848571428568</v>
      </c>
      <c r="AU14">
        <f t="shared" ref="AU14:AU20" si="30">AT14</f>
        <v>78.397848571428568</v>
      </c>
      <c r="AV14">
        <f t="shared" ref="AV14:AV20" si="31">AT14*7</f>
        <v>548.78494000000001</v>
      </c>
      <c r="AW14">
        <v>100</v>
      </c>
      <c r="AX14">
        <f t="shared" ref="AX14:BA14" si="32">AR$42+AR31</f>
        <v>4796.8257899999999</v>
      </c>
      <c r="AY14">
        <f t="shared" si="32"/>
        <v>3170.8818242900666</v>
      </c>
      <c r="AZ14">
        <f t="shared" si="32"/>
        <v>758.44937868371949</v>
      </c>
      <c r="BA14">
        <f t="shared" si="32"/>
        <v>772.31659873319245</v>
      </c>
    </row>
    <row r="15" spans="1:57" x14ac:dyDescent="0.2">
      <c r="B15" t="s">
        <v>89</v>
      </c>
      <c r="C15" t="s">
        <v>40</v>
      </c>
      <c r="D15" t="s">
        <v>626</v>
      </c>
      <c r="E15" t="s">
        <v>631</v>
      </c>
      <c r="F15" t="s">
        <v>627</v>
      </c>
      <c r="G15" t="s">
        <v>322</v>
      </c>
      <c r="H15" t="s">
        <v>321</v>
      </c>
      <c r="J15" t="s">
        <v>786</v>
      </c>
      <c r="K15" t="s">
        <v>788</v>
      </c>
      <c r="R15">
        <v>6</v>
      </c>
      <c r="S15">
        <f t="shared" si="21"/>
        <v>588.87535215000003</v>
      </c>
      <c r="T15">
        <f t="shared" si="23"/>
        <v>2632.0744108387553</v>
      </c>
      <c r="U15">
        <f t="shared" si="24"/>
        <v>749.84862813041843</v>
      </c>
      <c r="V15">
        <f t="shared" si="25"/>
        <v>789.08330988614148</v>
      </c>
      <c r="AH15">
        <v>600</v>
      </c>
      <c r="AI15">
        <f t="shared" si="4"/>
        <v>433490.25</v>
      </c>
      <c r="AJ15">
        <f t="shared" si="5"/>
        <v>246641.0926225927</v>
      </c>
      <c r="AK15">
        <f t="shared" si="6"/>
        <v>70414.06058265765</v>
      </c>
      <c r="AL15">
        <f t="shared" si="7"/>
        <v>71800.782587604961</v>
      </c>
      <c r="AQ15">
        <v>30</v>
      </c>
      <c r="AR15">
        <f t="shared" si="27"/>
        <v>525.21129000000008</v>
      </c>
      <c r="AS15">
        <f t="shared" si="28"/>
        <v>767.7588980641392</v>
      </c>
      <c r="AT15">
        <f t="shared" si="29"/>
        <v>117.59677285714287</v>
      </c>
      <c r="AU15">
        <f t="shared" si="30"/>
        <v>117.59677285714287</v>
      </c>
      <c r="AV15">
        <f t="shared" si="31"/>
        <v>823.17741000000001</v>
      </c>
      <c r="AW15">
        <v>110</v>
      </c>
      <c r="AX15">
        <f t="shared" ref="AX15:BA15" si="33">AR$42+AR32</f>
        <v>4849.3469189999996</v>
      </c>
      <c r="AY15">
        <f t="shared" si="33"/>
        <v>3247.6577140964805</v>
      </c>
      <c r="AZ15">
        <f t="shared" si="33"/>
        <v>770.20905596943373</v>
      </c>
      <c r="BA15">
        <f t="shared" si="33"/>
        <v>784.07627601890681</v>
      </c>
    </row>
    <row r="16" spans="1:57" x14ac:dyDescent="0.2">
      <c r="B16">
        <v>10</v>
      </c>
      <c r="C16">
        <v>34.866765000000001</v>
      </c>
      <c r="D16">
        <v>104.57958829999998</v>
      </c>
      <c r="E16">
        <v>63.253538437499998</v>
      </c>
      <c r="F16">
        <v>258.57583186758296</v>
      </c>
      <c r="G16">
        <v>331.76</v>
      </c>
      <c r="H16">
        <v>62.627499999999998</v>
      </c>
      <c r="J16">
        <f>SUM(C16:H16)/B16</f>
        <v>85.566322360508295</v>
      </c>
      <c r="K16">
        <f>SUM(D16:H16)/B16</f>
        <v>82.079645860508293</v>
      </c>
      <c r="R16">
        <v>7</v>
      </c>
      <c r="S16">
        <f t="shared" si="21"/>
        <v>618.87535215000003</v>
      </c>
      <c r="T16">
        <f t="shared" si="23"/>
        <v>2662.0744108387553</v>
      </c>
      <c r="U16">
        <f t="shared" si="24"/>
        <v>779.84862813041843</v>
      </c>
      <c r="V16">
        <f t="shared" si="25"/>
        <v>819.08330988614148</v>
      </c>
      <c r="AH16">
        <v>650</v>
      </c>
      <c r="AI16">
        <f t="shared" si="4"/>
        <v>434017.65</v>
      </c>
      <c r="AJ16">
        <f t="shared" si="5"/>
        <v>247168.49262259272</v>
      </c>
      <c r="AK16">
        <f t="shared" si="6"/>
        <v>70941.460582657659</v>
      </c>
      <c r="AL16">
        <f t="shared" si="7"/>
        <v>72328.18258760497</v>
      </c>
      <c r="AQ16">
        <v>40</v>
      </c>
      <c r="AR16">
        <f t="shared" si="27"/>
        <v>700.28172000000006</v>
      </c>
      <c r="AS16">
        <f t="shared" si="28"/>
        <v>1023.6785307521858</v>
      </c>
      <c r="AT16">
        <f t="shared" si="29"/>
        <v>156.79569714285714</v>
      </c>
      <c r="AU16">
        <f t="shared" si="30"/>
        <v>156.79569714285714</v>
      </c>
      <c r="AV16">
        <f t="shared" si="31"/>
        <v>1097.56988</v>
      </c>
      <c r="AW16">
        <v>150</v>
      </c>
      <c r="AX16">
        <f t="shared" ref="AX16:BA16" si="34">AR$42+AR33</f>
        <v>5059.4314349999995</v>
      </c>
      <c r="AY16">
        <f t="shared" si="34"/>
        <v>3554.7612733221358</v>
      </c>
      <c r="AZ16">
        <f t="shared" si="34"/>
        <v>817.24776511229084</v>
      </c>
      <c r="BA16">
        <f t="shared" si="34"/>
        <v>831.11498516176391</v>
      </c>
    </row>
    <row r="17" spans="1:53" ht="15" x14ac:dyDescent="0.25">
      <c r="B17">
        <v>100</v>
      </c>
      <c r="C17">
        <v>348.66764999999998</v>
      </c>
      <c r="D17">
        <v>511.8392653760929</v>
      </c>
      <c r="E17">
        <v>632.53538437500004</v>
      </c>
      <c r="F17">
        <v>4317.6150530447576</v>
      </c>
      <c r="G17">
        <v>331.76</v>
      </c>
      <c r="H17">
        <v>83.164999999999992</v>
      </c>
      <c r="J17">
        <f t="shared" ref="J17:J18" si="35">SUM(C17:H17)/B17</f>
        <v>62.255823527958498</v>
      </c>
      <c r="K17">
        <f t="shared" ref="K17:K18" si="36">SUM(D17:H17)/B17</f>
        <v>58.769147027958503</v>
      </c>
      <c r="R17">
        <v>8</v>
      </c>
      <c r="S17">
        <f t="shared" si="21"/>
        <v>648.87535215000003</v>
      </c>
      <c r="T17">
        <f t="shared" si="23"/>
        <v>2692.0744108387553</v>
      </c>
      <c r="U17">
        <f t="shared" si="24"/>
        <v>809.84862813041843</v>
      </c>
      <c r="V17">
        <f t="shared" si="25"/>
        <v>849.08330988614148</v>
      </c>
      <c r="AB17" s="1" t="s">
        <v>540</v>
      </c>
      <c r="AC17" t="s">
        <v>353</v>
      </c>
      <c r="AH17">
        <v>700</v>
      </c>
      <c r="AI17">
        <f t="shared" si="4"/>
        <v>434545.05</v>
      </c>
      <c r="AJ17">
        <f t="shared" si="5"/>
        <v>247695.89262259271</v>
      </c>
      <c r="AK17">
        <f t="shared" si="6"/>
        <v>71468.860582657653</v>
      </c>
      <c r="AL17">
        <f t="shared" si="7"/>
        <v>72855.582587604964</v>
      </c>
      <c r="AQ17">
        <v>50</v>
      </c>
      <c r="AR17">
        <f t="shared" si="27"/>
        <v>875.35215000000005</v>
      </c>
      <c r="AS17">
        <f t="shared" si="28"/>
        <v>1279.5981634402322</v>
      </c>
      <c r="AT17">
        <f t="shared" si="29"/>
        <v>195.99462142857141</v>
      </c>
      <c r="AU17">
        <f t="shared" si="30"/>
        <v>195.99462142857141</v>
      </c>
      <c r="AV17">
        <f t="shared" si="31"/>
        <v>1371.9623499999998</v>
      </c>
      <c r="AW17">
        <v>160</v>
      </c>
      <c r="AX17">
        <f t="shared" ref="AX17" si="37">AR$42+AR34</f>
        <v>5111.9525639999993</v>
      </c>
      <c r="AY17">
        <f t="shared" ref="AY17" si="38">AS$42+AS34</f>
        <v>3631.5371631285498</v>
      </c>
      <c r="AZ17">
        <f t="shared" ref="AZ17" si="39">AT$42+AT34</f>
        <v>829.0074423980052</v>
      </c>
      <c r="BA17">
        <f t="shared" ref="BA17" si="40">AU$42+AU34</f>
        <v>842.87466244747816</v>
      </c>
    </row>
    <row r="18" spans="1:53" x14ac:dyDescent="0.2">
      <c r="B18">
        <v>1000</v>
      </c>
      <c r="C18">
        <v>3486.6765</v>
      </c>
      <c r="D18">
        <v>697.46892000000003</v>
      </c>
      <c r="E18">
        <v>6325.3538437500001</v>
      </c>
      <c r="F18">
        <v>26472.81384909269</v>
      </c>
      <c r="G18">
        <v>331.76</v>
      </c>
      <c r="H18">
        <v>83.164999999999992</v>
      </c>
      <c r="J18">
        <f t="shared" si="35"/>
        <v>37.397238112842693</v>
      </c>
      <c r="K18">
        <f t="shared" si="36"/>
        <v>33.910561612842692</v>
      </c>
      <c r="R18">
        <v>9</v>
      </c>
      <c r="S18">
        <f t="shared" si="21"/>
        <v>678.87535215000003</v>
      </c>
      <c r="T18">
        <f t="shared" si="23"/>
        <v>2722.0744108387553</v>
      </c>
      <c r="U18">
        <f t="shared" si="24"/>
        <v>839.84862813041843</v>
      </c>
      <c r="V18">
        <f t="shared" si="25"/>
        <v>879.08330988614148</v>
      </c>
      <c r="AB18">
        <v>350.14086000000003</v>
      </c>
      <c r="AC18">
        <v>2</v>
      </c>
      <c r="AD18">
        <f>AC18*AB18</f>
        <v>700.28172000000006</v>
      </c>
      <c r="AE18">
        <f>AD18*1.6</f>
        <v>1120.4507520000002</v>
      </c>
      <c r="AG18" t="s">
        <v>791</v>
      </c>
      <c r="AH18">
        <v>735.6982857142857</v>
      </c>
      <c r="AI18">
        <f t="shared" si="4"/>
        <v>434921.59551771428</v>
      </c>
      <c r="AJ18">
        <f t="shared" si="5"/>
        <v>248072.438140307</v>
      </c>
      <c r="AK18">
        <f t="shared" si="6"/>
        <v>71845.40610037194</v>
      </c>
      <c r="AL18">
        <f t="shared" si="7"/>
        <v>73232.128105319251</v>
      </c>
      <c r="AQ18">
        <v>60</v>
      </c>
      <c r="AR18">
        <f t="shared" si="27"/>
        <v>1050.4225800000002</v>
      </c>
      <c r="AS18">
        <f t="shared" si="28"/>
        <v>1535.5177961282784</v>
      </c>
      <c r="AT18">
        <f t="shared" si="29"/>
        <v>235.19354571428573</v>
      </c>
      <c r="AU18">
        <f t="shared" si="30"/>
        <v>235.19354571428573</v>
      </c>
      <c r="AV18">
        <f t="shared" si="31"/>
        <v>1646.35482</v>
      </c>
      <c r="AW18">
        <v>200</v>
      </c>
      <c r="AX18">
        <f t="shared" ref="AX18:BA21" si="41">AR$42+AR35</f>
        <v>5322.0370800000001</v>
      </c>
      <c r="AY18">
        <f t="shared" si="41"/>
        <v>3938.6407223542055</v>
      </c>
      <c r="AZ18">
        <f t="shared" si="41"/>
        <v>876.0461515408623</v>
      </c>
      <c r="BA18">
        <f t="shared" si="41"/>
        <v>889.91337159033537</v>
      </c>
    </row>
    <row r="19" spans="1:53" x14ac:dyDescent="0.2">
      <c r="R19">
        <v>10</v>
      </c>
      <c r="S19">
        <f t="shared" si="21"/>
        <v>708.87535215000003</v>
      </c>
      <c r="T19">
        <f t="shared" si="23"/>
        <v>2752.0744108387553</v>
      </c>
      <c r="U19">
        <f t="shared" si="24"/>
        <v>869.84862813041843</v>
      </c>
      <c r="V19">
        <f t="shared" si="25"/>
        <v>909.08330988614148</v>
      </c>
      <c r="AB19">
        <v>210.96</v>
      </c>
      <c r="AC19">
        <v>3</v>
      </c>
      <c r="AD19">
        <f>AC19*AB19</f>
        <v>632.88</v>
      </c>
      <c r="AE19">
        <f>AD19*1.6</f>
        <v>1012.6080000000001</v>
      </c>
      <c r="AH19">
        <v>750</v>
      </c>
      <c r="AI19">
        <f t="shared" si="4"/>
        <v>435072.45</v>
      </c>
      <c r="AJ19">
        <f t="shared" si="5"/>
        <v>248223.29262259271</v>
      </c>
      <c r="AK19">
        <f t="shared" si="6"/>
        <v>71996.260582657662</v>
      </c>
      <c r="AL19">
        <f t="shared" si="7"/>
        <v>73382.982587604973</v>
      </c>
      <c r="AQ19">
        <v>70</v>
      </c>
      <c r="AR19">
        <f t="shared" si="27"/>
        <v>1225.4930100000001</v>
      </c>
      <c r="AS19">
        <f t="shared" si="28"/>
        <v>1791.4374288163249</v>
      </c>
      <c r="AT19">
        <f t="shared" si="29"/>
        <v>274.39247</v>
      </c>
      <c r="AU19">
        <f t="shared" si="30"/>
        <v>274.39247</v>
      </c>
      <c r="AV19">
        <f t="shared" si="31"/>
        <v>1920.74729</v>
      </c>
      <c r="AW19">
        <v>300</v>
      </c>
      <c r="AX19">
        <f t="shared" si="41"/>
        <v>5847.2483699999993</v>
      </c>
      <c r="AY19">
        <f t="shared" si="41"/>
        <v>4706.399620418345</v>
      </c>
      <c r="AZ19">
        <f t="shared" si="41"/>
        <v>993.64292439800511</v>
      </c>
      <c r="BA19">
        <f t="shared" si="41"/>
        <v>1007.5101444474783</v>
      </c>
    </row>
    <row r="20" spans="1:53" x14ac:dyDescent="0.2">
      <c r="B20" t="s">
        <v>89</v>
      </c>
      <c r="C20" t="s">
        <v>343</v>
      </c>
      <c r="G20" t="s">
        <v>787</v>
      </c>
      <c r="R20">
        <v>11</v>
      </c>
      <c r="S20">
        <f t="shared" si="21"/>
        <v>738.87535215000003</v>
      </c>
      <c r="T20">
        <f t="shared" si="23"/>
        <v>2782.0744108387553</v>
      </c>
      <c r="U20">
        <f t="shared" si="24"/>
        <v>899.84862813041843</v>
      </c>
      <c r="V20">
        <f t="shared" si="25"/>
        <v>939.08330988614148</v>
      </c>
      <c r="AB20">
        <v>3218.68</v>
      </c>
      <c r="AC20">
        <f>1/7</f>
        <v>0.14285714285714285</v>
      </c>
      <c r="AD20">
        <f>AC20*AB20</f>
        <v>459.81142857142851</v>
      </c>
      <c r="AE20">
        <f>AD20*1.6</f>
        <v>735.6982857142857</v>
      </c>
      <c r="AH20">
        <v>800</v>
      </c>
      <c r="AI20">
        <f t="shared" si="4"/>
        <v>435599.85000000003</v>
      </c>
      <c r="AJ20">
        <f t="shared" si="5"/>
        <v>248750.6926225927</v>
      </c>
      <c r="AK20">
        <f t="shared" si="6"/>
        <v>72523.660582657656</v>
      </c>
      <c r="AL20">
        <f t="shared" si="7"/>
        <v>73910.382587604967</v>
      </c>
      <c r="AQ20">
        <v>80</v>
      </c>
      <c r="AR20">
        <f t="shared" si="27"/>
        <v>1400.5634400000001</v>
      </c>
      <c r="AS20">
        <f t="shared" si="28"/>
        <v>2047.3570615043716</v>
      </c>
      <c r="AT20">
        <f t="shared" si="29"/>
        <v>313.59139428571427</v>
      </c>
      <c r="AU20">
        <f t="shared" si="30"/>
        <v>313.59139428571427</v>
      </c>
      <c r="AV20">
        <f t="shared" si="31"/>
        <v>2195.13976</v>
      </c>
      <c r="AW20">
        <v>400</v>
      </c>
      <c r="AX20">
        <f t="shared" si="41"/>
        <v>6372.4596599999995</v>
      </c>
      <c r="AY20">
        <f t="shared" si="41"/>
        <v>5474.1585184824844</v>
      </c>
      <c r="AZ20">
        <f t="shared" si="41"/>
        <v>1111.239697255148</v>
      </c>
      <c r="BA20">
        <f t="shared" si="41"/>
        <v>1125.1069173046212</v>
      </c>
    </row>
    <row r="21" spans="1:53" x14ac:dyDescent="0.2">
      <c r="B21">
        <v>10</v>
      </c>
      <c r="C21">
        <v>5790</v>
      </c>
      <c r="D21">
        <f>C21/B21</f>
        <v>579</v>
      </c>
      <c r="G21">
        <f>D21+K16</f>
        <v>661.07964586050832</v>
      </c>
      <c r="R21">
        <v>12</v>
      </c>
      <c r="S21">
        <f t="shared" si="21"/>
        <v>768.87535215000003</v>
      </c>
      <c r="T21">
        <f t="shared" ref="T21:T59" si="42">$G$22+R21*30</f>
        <v>2812.0744108387553</v>
      </c>
      <c r="U21">
        <f t="shared" ref="U21:U59" si="43">$G$40+R21*30</f>
        <v>929.84862813041843</v>
      </c>
      <c r="V21">
        <f t="shared" ref="V21:V59" si="44">$G$53+R21*30</f>
        <v>969.08330988614148</v>
      </c>
      <c r="AH21">
        <v>850</v>
      </c>
      <c r="AI21">
        <f t="shared" si="4"/>
        <v>436127.25</v>
      </c>
      <c r="AJ21">
        <f t="shared" si="5"/>
        <v>249278.0926225927</v>
      </c>
      <c r="AK21">
        <f t="shared" si="6"/>
        <v>73051.06058265765</v>
      </c>
      <c r="AL21">
        <f t="shared" si="7"/>
        <v>74437.782587604961</v>
      </c>
      <c r="AW21">
        <v>500</v>
      </c>
      <c r="AX21">
        <f t="shared" si="41"/>
        <v>6897.6709499999997</v>
      </c>
      <c r="AY21">
        <f t="shared" si="41"/>
        <v>6241.9174165466229</v>
      </c>
      <c r="AZ21">
        <f t="shared" si="41"/>
        <v>1228.836470112291</v>
      </c>
      <c r="BA21">
        <f t="shared" si="41"/>
        <v>1242.7036901617639</v>
      </c>
    </row>
    <row r="22" spans="1:53" x14ac:dyDescent="0.2">
      <c r="B22">
        <v>100</v>
      </c>
      <c r="C22">
        <v>68900</v>
      </c>
      <c r="D22">
        <f t="shared" ref="D22:D23" si="45">C22/B22</f>
        <v>689</v>
      </c>
      <c r="G22">
        <f>D22+K17*30</f>
        <v>2452.0744108387553</v>
      </c>
      <c r="R22">
        <v>13</v>
      </c>
      <c r="S22">
        <f t="shared" si="21"/>
        <v>798.87535215000003</v>
      </c>
      <c r="T22">
        <f t="shared" si="42"/>
        <v>2842.0744108387553</v>
      </c>
      <c r="U22">
        <f t="shared" si="43"/>
        <v>959.84862813041843</v>
      </c>
      <c r="V22">
        <f t="shared" si="44"/>
        <v>999.08330988614148</v>
      </c>
      <c r="AH22">
        <v>900</v>
      </c>
      <c r="AI22">
        <f t="shared" si="4"/>
        <v>436654.65</v>
      </c>
      <c r="AJ22">
        <f t="shared" si="5"/>
        <v>249805.49262259272</v>
      </c>
      <c r="AK22">
        <f t="shared" si="6"/>
        <v>73578.460582657659</v>
      </c>
      <c r="AL22">
        <f t="shared" si="7"/>
        <v>74965.18258760497</v>
      </c>
      <c r="AQ22">
        <v>10</v>
      </c>
      <c r="AR22">
        <f>(AR13*30)/100</f>
        <v>52.521129000000002</v>
      </c>
      <c r="AS22">
        <f t="shared" ref="AS22:AU22" si="46">(AS13*30)/100</f>
        <v>76.775889806413929</v>
      </c>
      <c r="AT22">
        <f t="shared" si="46"/>
        <v>11.759677285714286</v>
      </c>
      <c r="AU22">
        <f t="shared" si="46"/>
        <v>11.759677285714286</v>
      </c>
    </row>
    <row r="23" spans="1:53" x14ac:dyDescent="0.2">
      <c r="B23">
        <v>1000</v>
      </c>
      <c r="C23">
        <f>C22*10</f>
        <v>689000</v>
      </c>
      <c r="D23">
        <f t="shared" si="45"/>
        <v>689</v>
      </c>
      <c r="G23">
        <f t="shared" ref="G23" si="47">D23+K18</f>
        <v>722.91056161284268</v>
      </c>
      <c r="R23">
        <v>14</v>
      </c>
      <c r="S23">
        <f t="shared" si="21"/>
        <v>828.87535215000003</v>
      </c>
      <c r="T23">
        <f t="shared" si="42"/>
        <v>2872.0744108387553</v>
      </c>
      <c r="U23">
        <f t="shared" si="43"/>
        <v>989.84862813041843</v>
      </c>
      <c r="V23">
        <f t="shared" si="44"/>
        <v>1029.0833098861415</v>
      </c>
      <c r="AH23">
        <v>950</v>
      </c>
      <c r="AI23">
        <f t="shared" si="4"/>
        <v>437182.05</v>
      </c>
      <c r="AJ23">
        <f t="shared" si="5"/>
        <v>250332.89262259271</v>
      </c>
      <c r="AK23">
        <f t="shared" si="6"/>
        <v>74105.860582657653</v>
      </c>
      <c r="AL23">
        <f t="shared" si="7"/>
        <v>75492.582587604964</v>
      </c>
      <c r="AQ23">
        <v>20</v>
      </c>
      <c r="AR23">
        <f t="shared" ref="AR23:AU29" si="48">(AR14*30)/100</f>
        <v>105.042258</v>
      </c>
      <c r="AS23">
        <f t="shared" si="48"/>
        <v>153.55177961282786</v>
      </c>
      <c r="AT23">
        <f t="shared" si="48"/>
        <v>23.519354571428572</v>
      </c>
      <c r="AU23">
        <f t="shared" si="48"/>
        <v>23.519354571428572</v>
      </c>
    </row>
    <row r="24" spans="1:53" x14ac:dyDescent="0.2">
      <c r="R24">
        <v>15</v>
      </c>
      <c r="S24">
        <f t="shared" si="21"/>
        <v>858.87535215000003</v>
      </c>
      <c r="T24">
        <f t="shared" si="42"/>
        <v>2902.0744108387553</v>
      </c>
      <c r="U24">
        <f t="shared" si="43"/>
        <v>1019.8486281304184</v>
      </c>
      <c r="V24">
        <f t="shared" si="44"/>
        <v>1059.0833098861415</v>
      </c>
      <c r="AH24">
        <v>1000</v>
      </c>
      <c r="AI24">
        <f t="shared" si="4"/>
        <v>437709.45</v>
      </c>
      <c r="AJ24">
        <f t="shared" si="5"/>
        <v>250860.29262259271</v>
      </c>
      <c r="AK24">
        <f t="shared" si="6"/>
        <v>74633.260582657647</v>
      </c>
      <c r="AL24">
        <f t="shared" si="7"/>
        <v>76019.982587604958</v>
      </c>
      <c r="AQ24">
        <v>30</v>
      </c>
      <c r="AR24">
        <f t="shared" si="48"/>
        <v>157.56338700000003</v>
      </c>
      <c r="AS24">
        <f t="shared" si="48"/>
        <v>230.32766941924174</v>
      </c>
      <c r="AT24">
        <f t="shared" si="48"/>
        <v>35.279031857142861</v>
      </c>
      <c r="AU24">
        <f t="shared" si="48"/>
        <v>35.279031857142861</v>
      </c>
      <c r="AX24">
        <f>((AX12-AX8)/AX8)*100</f>
        <v>4.6876087673443152</v>
      </c>
      <c r="AY24">
        <f>((AY12-AY8)/AY8)*100</f>
        <v>11.331287657108318</v>
      </c>
      <c r="AZ24">
        <f>((AZ12-AZ8)/AZ8)*100</f>
        <v>6.8381019093034148</v>
      </c>
      <c r="BA24">
        <f>((BA12-BA8)/BA8)*100</f>
        <v>6.702976422166337</v>
      </c>
    </row>
    <row r="25" spans="1:53" x14ac:dyDescent="0.2">
      <c r="R25">
        <v>16</v>
      </c>
      <c r="S25">
        <f t="shared" si="21"/>
        <v>888.87535215000003</v>
      </c>
      <c r="T25">
        <f t="shared" si="42"/>
        <v>2932.0744108387553</v>
      </c>
      <c r="U25">
        <f t="shared" si="43"/>
        <v>1049.8486281304185</v>
      </c>
      <c r="V25">
        <f t="shared" si="44"/>
        <v>1089.0833098861415</v>
      </c>
      <c r="AG25" t="s">
        <v>224</v>
      </c>
      <c r="AH25">
        <v>1012.6080000000001</v>
      </c>
      <c r="AI25">
        <f t="shared" si="4"/>
        <v>437842.43918400002</v>
      </c>
      <c r="AJ25">
        <f t="shared" si="5"/>
        <v>250993.28180659271</v>
      </c>
      <c r="AK25">
        <f t="shared" si="6"/>
        <v>74766.249766657653</v>
      </c>
      <c r="AL25">
        <f t="shared" si="7"/>
        <v>76152.971771604964</v>
      </c>
      <c r="AQ25">
        <v>40</v>
      </c>
      <c r="AR25">
        <f t="shared" si="48"/>
        <v>210.08451600000001</v>
      </c>
      <c r="AS25">
        <f>(AS16*30)/100</f>
        <v>307.10355922565572</v>
      </c>
      <c r="AT25">
        <f t="shared" si="48"/>
        <v>47.038709142857144</v>
      </c>
      <c r="AU25">
        <f t="shared" si="48"/>
        <v>47.038709142857144</v>
      </c>
      <c r="AV25">
        <f>AT25*7</f>
        <v>329.27096399999999</v>
      </c>
      <c r="AX25">
        <f>((AX17-AX9)/AX9)*100</f>
        <v>12.74160496236779</v>
      </c>
      <c r="AY25">
        <f t="shared" ref="AY25:BA25" si="49">((AY17-AY9)/AY9)*100</f>
        <v>30.302621747581863</v>
      </c>
      <c r="AZ25">
        <f t="shared" si="49"/>
        <v>18.488711025179764</v>
      </c>
      <c r="BA25">
        <f t="shared" si="49"/>
        <v>18.129383092415186</v>
      </c>
    </row>
    <row r="26" spans="1:53" x14ac:dyDescent="0.2">
      <c r="R26">
        <v>17</v>
      </c>
      <c r="S26">
        <f t="shared" si="21"/>
        <v>918.87535215000003</v>
      </c>
      <c r="T26">
        <f t="shared" si="42"/>
        <v>2962.0744108387553</v>
      </c>
      <c r="U26">
        <f t="shared" si="43"/>
        <v>1079.8486281304185</v>
      </c>
      <c r="V26">
        <f t="shared" si="44"/>
        <v>1119.0833098861415</v>
      </c>
      <c r="AH26">
        <v>1050</v>
      </c>
      <c r="AI26">
        <f t="shared" si="4"/>
        <v>438236.85000000003</v>
      </c>
      <c r="AJ26">
        <f t="shared" si="5"/>
        <v>251387.6926225927</v>
      </c>
      <c r="AK26">
        <f t="shared" si="6"/>
        <v>75160.660582657656</v>
      </c>
      <c r="AL26">
        <f t="shared" si="7"/>
        <v>76547.382587604967</v>
      </c>
      <c r="AQ26">
        <v>50</v>
      </c>
      <c r="AR26">
        <f t="shared" si="48"/>
        <v>262.60564499999998</v>
      </c>
      <c r="AS26">
        <f t="shared" si="48"/>
        <v>383.87944903206966</v>
      </c>
      <c r="AT26">
        <f t="shared" si="48"/>
        <v>58.798386428571419</v>
      </c>
      <c r="AU26">
        <f t="shared" si="48"/>
        <v>58.798386428571419</v>
      </c>
    </row>
    <row r="27" spans="1:53" x14ac:dyDescent="0.2">
      <c r="A27" t="s">
        <v>783</v>
      </c>
      <c r="R27">
        <v>18</v>
      </c>
      <c r="S27">
        <f t="shared" si="21"/>
        <v>948.87535215000003</v>
      </c>
      <c r="T27">
        <f t="shared" si="42"/>
        <v>2992.0744108387553</v>
      </c>
      <c r="U27">
        <f t="shared" si="43"/>
        <v>1109.8486281304185</v>
      </c>
      <c r="V27">
        <f t="shared" si="44"/>
        <v>1149.0833098861415</v>
      </c>
      <c r="AH27">
        <v>1100</v>
      </c>
      <c r="AI27">
        <f t="shared" si="4"/>
        <v>438764.25</v>
      </c>
      <c r="AJ27">
        <f t="shared" si="5"/>
        <v>251915.0926225927</v>
      </c>
      <c r="AK27">
        <f t="shared" si="6"/>
        <v>75688.06058265765</v>
      </c>
      <c r="AL27">
        <f t="shared" si="7"/>
        <v>77074.782587604961</v>
      </c>
      <c r="AQ27">
        <v>60</v>
      </c>
      <c r="AR27">
        <f t="shared" si="48"/>
        <v>315.12677400000007</v>
      </c>
      <c r="AS27">
        <f t="shared" si="48"/>
        <v>460.65533883848349</v>
      </c>
      <c r="AT27">
        <f t="shared" si="48"/>
        <v>70.558063714285723</v>
      </c>
      <c r="AU27">
        <f t="shared" si="48"/>
        <v>70.558063714285723</v>
      </c>
    </row>
    <row r="28" spans="1:53" x14ac:dyDescent="0.2">
      <c r="R28">
        <v>19</v>
      </c>
      <c r="S28">
        <f t="shared" si="21"/>
        <v>978.87535215000003</v>
      </c>
      <c r="T28">
        <f t="shared" si="42"/>
        <v>3022.0744108387553</v>
      </c>
      <c r="U28">
        <f t="shared" si="43"/>
        <v>1139.8486281304185</v>
      </c>
      <c r="V28">
        <f t="shared" si="44"/>
        <v>1179.0833098861415</v>
      </c>
      <c r="Z28">
        <f>(U29-U28)</f>
        <v>30</v>
      </c>
      <c r="AA28">
        <f>T12-U28</f>
        <v>1416.8260777083369</v>
      </c>
      <c r="AB28">
        <f>AA28/Z28</f>
        <v>47.227535923611228</v>
      </c>
      <c r="AC28">
        <f>R28+AB28</f>
        <v>66.227535923611228</v>
      </c>
      <c r="AG28" t="s">
        <v>649</v>
      </c>
      <c r="AH28">
        <v>1120.4507520000002</v>
      </c>
      <c r="AI28">
        <f t="shared" si="4"/>
        <v>438979.964532096</v>
      </c>
      <c r="AJ28">
        <f t="shared" si="5"/>
        <v>252130.80715468872</v>
      </c>
      <c r="AK28">
        <f t="shared" si="6"/>
        <v>75903.775114753662</v>
      </c>
      <c r="AL28">
        <f t="shared" si="7"/>
        <v>77290.497119700973</v>
      </c>
      <c r="AQ28">
        <v>70</v>
      </c>
      <c r="AR28">
        <f t="shared" si="48"/>
        <v>367.6479030000001</v>
      </c>
      <c r="AS28">
        <f t="shared" si="48"/>
        <v>537.43122864489749</v>
      </c>
      <c r="AT28">
        <f t="shared" si="48"/>
        <v>82.317741000000012</v>
      </c>
      <c r="AU28">
        <f t="shared" si="48"/>
        <v>82.317741000000012</v>
      </c>
    </row>
    <row r="29" spans="1:53" x14ac:dyDescent="0.2">
      <c r="R29">
        <v>20</v>
      </c>
      <c r="S29">
        <f t="shared" si="21"/>
        <v>1008.87535215</v>
      </c>
      <c r="T29">
        <f t="shared" si="42"/>
        <v>3052.0744108387553</v>
      </c>
      <c r="U29">
        <f t="shared" si="43"/>
        <v>1169.8486281304185</v>
      </c>
      <c r="V29">
        <f t="shared" si="44"/>
        <v>1209.0833098861415</v>
      </c>
      <c r="Z29">
        <v>87.535215000000008</v>
      </c>
      <c r="AA29">
        <v>511.8392653760929</v>
      </c>
      <c r="AB29">
        <v>10.935978876428571</v>
      </c>
      <c r="AC29">
        <v>10.935978876428571</v>
      </c>
      <c r="AH29">
        <v>1150</v>
      </c>
      <c r="AI29">
        <f t="shared" si="4"/>
        <v>439291.65</v>
      </c>
      <c r="AJ29">
        <f t="shared" si="5"/>
        <v>252442.49262259272</v>
      </c>
      <c r="AK29">
        <f t="shared" si="6"/>
        <v>76215.460582657659</v>
      </c>
      <c r="AL29">
        <f t="shared" si="7"/>
        <v>77602.18258760497</v>
      </c>
      <c r="AQ29">
        <v>80</v>
      </c>
      <c r="AR29">
        <f t="shared" si="48"/>
        <v>420.16903200000002</v>
      </c>
      <c r="AS29">
        <f t="shared" si="48"/>
        <v>614.20711845131143</v>
      </c>
      <c r="AT29">
        <f t="shared" si="48"/>
        <v>94.077418285714288</v>
      </c>
      <c r="AU29">
        <f t="shared" si="48"/>
        <v>94.077418285714288</v>
      </c>
    </row>
    <row r="30" spans="1:53" x14ac:dyDescent="0.2">
      <c r="A30" t="s">
        <v>103</v>
      </c>
      <c r="R30">
        <v>21</v>
      </c>
      <c r="S30">
        <f t="shared" si="21"/>
        <v>1038.87535215</v>
      </c>
      <c r="T30">
        <f t="shared" si="42"/>
        <v>3082.0744108387553</v>
      </c>
      <c r="U30">
        <f t="shared" si="43"/>
        <v>1199.8486281304185</v>
      </c>
      <c r="V30">
        <f t="shared" si="44"/>
        <v>1239.0833098861415</v>
      </c>
      <c r="AH30">
        <v>1200</v>
      </c>
      <c r="AI30">
        <f t="shared" si="4"/>
        <v>439819.05</v>
      </c>
      <c r="AJ30">
        <f t="shared" si="5"/>
        <v>252969.89262259271</v>
      </c>
      <c r="AK30">
        <f t="shared" si="6"/>
        <v>76742.860582657653</v>
      </c>
      <c r="AL30">
        <f t="shared" si="7"/>
        <v>78129.582587604964</v>
      </c>
      <c r="AQ30">
        <v>90</v>
      </c>
      <c r="AR30">
        <f>AR$22*($AQ30/$AQ$22)</f>
        <v>472.69016099999999</v>
      </c>
      <c r="AS30">
        <f t="shared" ref="AS30:AU34" si="50">AS$22*($AQ30/$AQ$22)</f>
        <v>690.98300825772537</v>
      </c>
      <c r="AT30">
        <f t="shared" si="50"/>
        <v>105.83709557142858</v>
      </c>
      <c r="AU30">
        <f t="shared" si="50"/>
        <v>105.83709557142858</v>
      </c>
    </row>
    <row r="31" spans="1:53" x14ac:dyDescent="0.2">
      <c r="B31" t="s">
        <v>89</v>
      </c>
      <c r="C31" t="s">
        <v>40</v>
      </c>
      <c r="D31" t="s">
        <v>626</v>
      </c>
      <c r="E31" t="s">
        <v>631</v>
      </c>
      <c r="F31" t="s">
        <v>627</v>
      </c>
      <c r="G31" t="s">
        <v>322</v>
      </c>
      <c r="H31" t="s">
        <v>321</v>
      </c>
      <c r="J31" t="s">
        <v>786</v>
      </c>
      <c r="K31" t="s">
        <v>788</v>
      </c>
      <c r="R31">
        <v>22</v>
      </c>
      <c r="S31">
        <f t="shared" si="21"/>
        <v>1068.87535215</v>
      </c>
      <c r="T31">
        <f t="shared" si="42"/>
        <v>3112.0744108387553</v>
      </c>
      <c r="U31">
        <f t="shared" si="43"/>
        <v>1229.8486281304185</v>
      </c>
      <c r="V31">
        <f t="shared" si="44"/>
        <v>1269.0833098861415</v>
      </c>
      <c r="AH31">
        <v>1250</v>
      </c>
      <c r="AI31">
        <f t="shared" si="4"/>
        <v>440346.45</v>
      </c>
      <c r="AJ31">
        <f t="shared" si="5"/>
        <v>253497.29262259271</v>
      </c>
      <c r="AK31">
        <f t="shared" si="6"/>
        <v>77270.260582657662</v>
      </c>
      <c r="AL31">
        <f t="shared" si="7"/>
        <v>78656.982587604973</v>
      </c>
      <c r="AQ31">
        <v>100</v>
      </c>
      <c r="AR31">
        <f t="shared" ref="AR31:AR34" si="51">AR$22*($AQ31/$AQ$22)</f>
        <v>525.21128999999996</v>
      </c>
      <c r="AS31">
        <f t="shared" si="50"/>
        <v>767.75889806413932</v>
      </c>
      <c r="AT31">
        <f t="shared" si="50"/>
        <v>117.59677285714287</v>
      </c>
      <c r="AU31">
        <f t="shared" si="50"/>
        <v>117.59677285714287</v>
      </c>
      <c r="AX31">
        <v>4271.6144999999997</v>
      </c>
      <c r="AY31">
        <v>2403.1229262259271</v>
      </c>
      <c r="AZ31">
        <v>640.85260582657656</v>
      </c>
      <c r="BA31">
        <v>654.71982587604964</v>
      </c>
    </row>
    <row r="32" spans="1:53" x14ac:dyDescent="0.2">
      <c r="B32">
        <v>10</v>
      </c>
      <c r="C32">
        <v>24.761590453028884</v>
      </c>
      <c r="D32">
        <v>7.4413225794792854</v>
      </c>
      <c r="E32">
        <v>63.253538437499998</v>
      </c>
      <c r="F32">
        <v>0</v>
      </c>
      <c r="G32">
        <v>331.76</v>
      </c>
      <c r="H32">
        <v>31.995714285714268</v>
      </c>
      <c r="J32">
        <f>SUM(C32:H32)/B32</f>
        <v>45.921216575572245</v>
      </c>
      <c r="K32">
        <f>SUM(D32:H32)/B32</f>
        <v>43.445057530269352</v>
      </c>
      <c r="R32">
        <v>23</v>
      </c>
      <c r="S32">
        <f t="shared" si="21"/>
        <v>1098.87535215</v>
      </c>
      <c r="T32">
        <f t="shared" si="42"/>
        <v>3142.0744108387553</v>
      </c>
      <c r="U32">
        <f t="shared" si="43"/>
        <v>1259.8486281304185</v>
      </c>
      <c r="V32">
        <f t="shared" si="44"/>
        <v>1299.0833098861415</v>
      </c>
      <c r="AH32">
        <v>1300</v>
      </c>
      <c r="AI32">
        <f t="shared" si="4"/>
        <v>440873.85000000003</v>
      </c>
      <c r="AJ32">
        <f t="shared" si="5"/>
        <v>254024.6926225927</v>
      </c>
      <c r="AK32">
        <f t="shared" si="6"/>
        <v>77797.660582657656</v>
      </c>
      <c r="AL32">
        <f t="shared" si="7"/>
        <v>79184.382587604967</v>
      </c>
      <c r="AQ32">
        <v>110</v>
      </c>
      <c r="AR32">
        <f t="shared" si="51"/>
        <v>577.73241900000005</v>
      </c>
      <c r="AS32">
        <f t="shared" si="50"/>
        <v>844.53478787055326</v>
      </c>
      <c r="AT32">
        <f t="shared" si="50"/>
        <v>129.35645014285714</v>
      </c>
      <c r="AU32">
        <f t="shared" si="50"/>
        <v>129.35645014285714</v>
      </c>
      <c r="AZ32">
        <v>329.27096399999999</v>
      </c>
    </row>
    <row r="33" spans="1:52" x14ac:dyDescent="0.2">
      <c r="B33">
        <v>100</v>
      </c>
      <c r="C33">
        <v>247.61590453028884</v>
      </c>
      <c r="D33">
        <v>10.935978876428571</v>
      </c>
      <c r="E33">
        <v>632.53538437500004</v>
      </c>
      <c r="F33">
        <v>0</v>
      </c>
      <c r="G33">
        <v>331.76</v>
      </c>
      <c r="H33">
        <v>89.948571428571412</v>
      </c>
      <c r="J33">
        <f t="shared" ref="J33:J34" si="52">SUM(C33:H33)/B33</f>
        <v>13.127958392102887</v>
      </c>
      <c r="K33">
        <f t="shared" ref="K33:K34" si="53">SUM(D33:H33)/B33</f>
        <v>10.651799346799999</v>
      </c>
      <c r="R33">
        <v>24</v>
      </c>
      <c r="S33">
        <f t="shared" si="21"/>
        <v>1128.87535215</v>
      </c>
      <c r="T33">
        <f t="shared" si="42"/>
        <v>3172.0744108387553</v>
      </c>
      <c r="U33">
        <f t="shared" si="43"/>
        <v>1289.8486281304185</v>
      </c>
      <c r="V33">
        <f t="shared" si="44"/>
        <v>1329.0833098861415</v>
      </c>
      <c r="Z33" t="s">
        <v>649</v>
      </c>
      <c r="AA33">
        <v>429787.50644999999</v>
      </c>
      <c r="AB33">
        <v>87.535215000000008</v>
      </c>
      <c r="AC33">
        <f>AB33*30</f>
        <v>2626.05645</v>
      </c>
      <c r="AD33">
        <f>AA33-AC33</f>
        <v>427161.45</v>
      </c>
      <c r="AE33">
        <f>AD33/100</f>
        <v>4271.6144999999997</v>
      </c>
      <c r="AH33">
        <v>1350</v>
      </c>
      <c r="AI33">
        <f t="shared" si="4"/>
        <v>441401.25</v>
      </c>
      <c r="AJ33">
        <f t="shared" si="5"/>
        <v>254552.0926225927</v>
      </c>
      <c r="AK33">
        <f t="shared" si="6"/>
        <v>78325.06058265765</v>
      </c>
      <c r="AL33">
        <f t="shared" si="7"/>
        <v>79711.782587604961</v>
      </c>
      <c r="AQ33">
        <v>150</v>
      </c>
      <c r="AR33">
        <f t="shared" si="51"/>
        <v>787.81693500000006</v>
      </c>
      <c r="AS33">
        <f t="shared" si="50"/>
        <v>1151.6383470962089</v>
      </c>
      <c r="AT33">
        <f t="shared" si="50"/>
        <v>176.3951592857143</v>
      </c>
      <c r="AU33">
        <f t="shared" si="50"/>
        <v>176.3951592857143</v>
      </c>
      <c r="AY33">
        <v>307.10355922565572</v>
      </c>
      <c r="AZ33">
        <f>AZ32*6</f>
        <v>1975.6257839999998</v>
      </c>
    </row>
    <row r="34" spans="1:52" x14ac:dyDescent="0.2">
      <c r="B34">
        <v>1000</v>
      </c>
      <c r="C34">
        <v>2476.1590453028884</v>
      </c>
      <c r="D34">
        <v>91.734662305000001</v>
      </c>
      <c r="E34">
        <v>6325.3538437500001</v>
      </c>
      <c r="F34">
        <v>0</v>
      </c>
      <c r="G34">
        <v>331.76</v>
      </c>
      <c r="H34">
        <v>712.66285714285709</v>
      </c>
      <c r="J34">
        <f t="shared" si="52"/>
        <v>9.9376704085007468</v>
      </c>
      <c r="K34">
        <f t="shared" si="53"/>
        <v>7.4615113631978573</v>
      </c>
      <c r="R34">
        <v>25</v>
      </c>
      <c r="S34">
        <f t="shared" si="21"/>
        <v>1158.87535215</v>
      </c>
      <c r="T34">
        <f t="shared" si="42"/>
        <v>3202.0744108387553</v>
      </c>
      <c r="U34">
        <f t="shared" si="43"/>
        <v>1319.8486281304185</v>
      </c>
      <c r="V34">
        <f t="shared" si="44"/>
        <v>1359.0833098861415</v>
      </c>
      <c r="Z34" t="s">
        <v>224</v>
      </c>
      <c r="AA34">
        <v>255667.47058387549</v>
      </c>
      <c r="AB34">
        <v>511.8392653760929</v>
      </c>
      <c r="AC34">
        <f>AB34*30</f>
        <v>15355.177961282787</v>
      </c>
      <c r="AD34">
        <f>AA34-AC34</f>
        <v>240312.29262259271</v>
      </c>
      <c r="AE34">
        <f t="shared" ref="AE34:AE36" si="54">AD34/100</f>
        <v>2403.1229262259271</v>
      </c>
      <c r="AH34">
        <v>1400</v>
      </c>
      <c r="AI34">
        <f t="shared" si="4"/>
        <v>441928.65</v>
      </c>
      <c r="AJ34">
        <f t="shared" si="5"/>
        <v>255079.49262259272</v>
      </c>
      <c r="AK34">
        <f t="shared" si="6"/>
        <v>78852.460582657659</v>
      </c>
      <c r="AL34">
        <f t="shared" si="7"/>
        <v>80239.18258760497</v>
      </c>
      <c r="AQ34">
        <v>160</v>
      </c>
      <c r="AR34">
        <f t="shared" si="51"/>
        <v>840.33806400000003</v>
      </c>
      <c r="AS34">
        <f t="shared" si="50"/>
        <v>1228.4142369026229</v>
      </c>
      <c r="AT34">
        <f t="shared" si="50"/>
        <v>188.15483657142858</v>
      </c>
      <c r="AU34">
        <f t="shared" si="50"/>
        <v>188.15483657142858</v>
      </c>
      <c r="AZ34">
        <f>AZ32+AZ31</f>
        <v>970.12356982657661</v>
      </c>
    </row>
    <row r="35" spans="1:52" x14ac:dyDescent="0.2">
      <c r="R35">
        <v>26</v>
      </c>
      <c r="S35">
        <f t="shared" si="21"/>
        <v>1188.87535215</v>
      </c>
      <c r="T35">
        <f t="shared" si="42"/>
        <v>3232.0744108387553</v>
      </c>
      <c r="U35">
        <f t="shared" si="43"/>
        <v>1349.8486281304185</v>
      </c>
      <c r="V35">
        <f t="shared" si="44"/>
        <v>1389.0833098861415</v>
      </c>
      <c r="Z35" t="s">
        <v>405</v>
      </c>
      <c r="AA35">
        <v>64413.33994895051</v>
      </c>
      <c r="AB35">
        <v>10.935978876428571</v>
      </c>
      <c r="AC35">
        <f>AB35*30</f>
        <v>328.07936629285712</v>
      </c>
      <c r="AD35">
        <f>AA35-AC35</f>
        <v>64085.260582657655</v>
      </c>
      <c r="AE35">
        <f t="shared" si="54"/>
        <v>640.85260582657656</v>
      </c>
      <c r="AH35">
        <v>1450</v>
      </c>
      <c r="AI35">
        <f t="shared" si="4"/>
        <v>442456.05</v>
      </c>
      <c r="AJ35">
        <f t="shared" si="5"/>
        <v>255606.89262259271</v>
      </c>
      <c r="AK35">
        <f t="shared" si="6"/>
        <v>79379.860582657653</v>
      </c>
      <c r="AL35">
        <f t="shared" si="7"/>
        <v>80766.582587604964</v>
      </c>
      <c r="AQ35">
        <v>200</v>
      </c>
      <c r="AR35">
        <f t="shared" ref="AR35:AU38" si="55">AR$22*($AQ35/$AQ$22)</f>
        <v>1050.4225799999999</v>
      </c>
      <c r="AS35">
        <f t="shared" si="55"/>
        <v>1535.5177961282786</v>
      </c>
      <c r="AT35">
        <f t="shared" si="55"/>
        <v>235.19354571428573</v>
      </c>
      <c r="AU35">
        <f t="shared" si="55"/>
        <v>235.19354571428573</v>
      </c>
      <c r="AY35">
        <f>AY33+AY31</f>
        <v>2710.2264854515829</v>
      </c>
      <c r="AZ35">
        <f>AZ33+AZ31</f>
        <v>2616.4783898265764</v>
      </c>
    </row>
    <row r="36" spans="1:52" x14ac:dyDescent="0.2">
      <c r="A36" t="s">
        <v>761</v>
      </c>
      <c r="R36">
        <v>27</v>
      </c>
      <c r="S36">
        <f t="shared" si="21"/>
        <v>1218.87535215</v>
      </c>
      <c r="T36">
        <f t="shared" si="42"/>
        <v>3262.0744108387553</v>
      </c>
      <c r="U36">
        <f t="shared" si="43"/>
        <v>1379.8486281304185</v>
      </c>
      <c r="V36">
        <f t="shared" si="44"/>
        <v>1419.0833098861415</v>
      </c>
      <c r="Z36" t="s">
        <v>406</v>
      </c>
      <c r="AA36">
        <v>65800.061953897821</v>
      </c>
      <c r="AB36">
        <v>10.935978876428571</v>
      </c>
      <c r="AC36">
        <f>AB36*30</f>
        <v>328.07936629285712</v>
      </c>
      <c r="AD36">
        <f>AA36-AC36</f>
        <v>65471.982587604965</v>
      </c>
      <c r="AE36">
        <f t="shared" si="54"/>
        <v>654.71982587604964</v>
      </c>
      <c r="AH36">
        <v>1500</v>
      </c>
      <c r="AI36">
        <f t="shared" si="4"/>
        <v>442983.45</v>
      </c>
      <c r="AJ36">
        <f t="shared" si="5"/>
        <v>256134.29262259271</v>
      </c>
      <c r="AK36">
        <f t="shared" si="6"/>
        <v>79907.260582657662</v>
      </c>
      <c r="AL36">
        <f t="shared" si="7"/>
        <v>81293.982587604973</v>
      </c>
      <c r="AQ36">
        <v>300</v>
      </c>
      <c r="AR36">
        <f t="shared" si="55"/>
        <v>1575.6338700000001</v>
      </c>
      <c r="AS36">
        <f t="shared" si="55"/>
        <v>2303.2766941924178</v>
      </c>
      <c r="AT36">
        <f t="shared" si="55"/>
        <v>352.7903185714286</v>
      </c>
      <c r="AU36">
        <f t="shared" si="55"/>
        <v>352.7903185714286</v>
      </c>
    </row>
    <row r="37" spans="1:52" x14ac:dyDescent="0.2">
      <c r="R37">
        <v>28</v>
      </c>
      <c r="S37">
        <f t="shared" si="21"/>
        <v>1248.87535215</v>
      </c>
      <c r="T37">
        <f t="shared" si="42"/>
        <v>3292.0744108387553</v>
      </c>
      <c r="U37">
        <f t="shared" si="43"/>
        <v>1409.8486281304185</v>
      </c>
      <c r="V37">
        <f t="shared" si="44"/>
        <v>1449.0833098861415</v>
      </c>
      <c r="AH37">
        <v>1550</v>
      </c>
      <c r="AI37">
        <f t="shared" si="4"/>
        <v>443510.85000000003</v>
      </c>
      <c r="AJ37">
        <f t="shared" si="5"/>
        <v>256661.6926225927</v>
      </c>
      <c r="AK37">
        <f t="shared" si="6"/>
        <v>80434.660582657656</v>
      </c>
      <c r="AL37">
        <f t="shared" si="7"/>
        <v>81821.382587604967</v>
      </c>
      <c r="AQ37">
        <v>400</v>
      </c>
      <c r="AR37">
        <f t="shared" si="55"/>
        <v>2100.8451599999999</v>
      </c>
      <c r="AS37">
        <f t="shared" si="55"/>
        <v>3071.0355922565573</v>
      </c>
      <c r="AT37">
        <f t="shared" si="55"/>
        <v>470.38709142857147</v>
      </c>
      <c r="AU37">
        <f t="shared" si="55"/>
        <v>470.38709142857147</v>
      </c>
    </row>
    <row r="38" spans="1:52" x14ac:dyDescent="0.2">
      <c r="B38" t="s">
        <v>89</v>
      </c>
      <c r="C38" t="s">
        <v>407</v>
      </c>
      <c r="D38" t="s">
        <v>367</v>
      </c>
      <c r="G38" t="s">
        <v>787</v>
      </c>
      <c r="R38">
        <v>29</v>
      </c>
      <c r="S38">
        <f t="shared" si="21"/>
        <v>1278.87535215</v>
      </c>
      <c r="T38">
        <f t="shared" si="42"/>
        <v>3322.0744108387553</v>
      </c>
      <c r="U38">
        <f t="shared" si="43"/>
        <v>1439.8486281304185</v>
      </c>
      <c r="V38">
        <f t="shared" si="44"/>
        <v>1479.0833098861415</v>
      </c>
      <c r="AH38">
        <v>1600</v>
      </c>
      <c r="AI38">
        <f t="shared" si="4"/>
        <v>444038.25</v>
      </c>
      <c r="AJ38">
        <f t="shared" si="5"/>
        <v>257189.0926225927</v>
      </c>
      <c r="AK38">
        <f t="shared" si="6"/>
        <v>80962.060582657665</v>
      </c>
      <c r="AL38">
        <f t="shared" si="7"/>
        <v>82348.782587604976</v>
      </c>
      <c r="AQ38">
        <v>500</v>
      </c>
      <c r="AR38">
        <f t="shared" si="55"/>
        <v>2626.05645</v>
      </c>
      <c r="AS38">
        <f t="shared" si="55"/>
        <v>3838.7944903206962</v>
      </c>
      <c r="AT38">
        <f t="shared" si="55"/>
        <v>587.98386428571428</v>
      </c>
      <c r="AU38">
        <f t="shared" si="55"/>
        <v>587.98386428571428</v>
      </c>
    </row>
    <row r="39" spans="1:52" x14ac:dyDescent="0.2">
      <c r="B39">
        <v>10</v>
      </c>
      <c r="C39">
        <v>1080.407526374689</v>
      </c>
      <c r="D39">
        <v>2548.4</v>
      </c>
      <c r="E39">
        <f>(C39+D39)/B39</f>
        <v>362.8807526374689</v>
      </c>
      <c r="G39">
        <f>E39+K32</f>
        <v>406.32581016773827</v>
      </c>
      <c r="R39">
        <v>30</v>
      </c>
      <c r="S39">
        <f t="shared" si="21"/>
        <v>1308.87535215</v>
      </c>
      <c r="T39">
        <f t="shared" si="42"/>
        <v>3352.0744108387553</v>
      </c>
      <c r="U39">
        <f t="shared" si="43"/>
        <v>1469.8486281304185</v>
      </c>
      <c r="V39">
        <f t="shared" si="44"/>
        <v>1509.0833098861415</v>
      </c>
      <c r="AH39">
        <v>1650</v>
      </c>
      <c r="AI39">
        <f t="shared" si="4"/>
        <v>444565.65</v>
      </c>
      <c r="AJ39">
        <f t="shared" si="5"/>
        <v>257716.49262259272</v>
      </c>
      <c r="AK39">
        <f t="shared" si="6"/>
        <v>81489.460582657659</v>
      </c>
      <c r="AL39">
        <f t="shared" si="7"/>
        <v>82876.18258760497</v>
      </c>
    </row>
    <row r="40" spans="1:52" x14ac:dyDescent="0.2">
      <c r="B40">
        <v>100</v>
      </c>
      <c r="C40">
        <v>3779.464772641847</v>
      </c>
      <c r="D40">
        <v>21250</v>
      </c>
      <c r="E40">
        <f>(C40+D40)/B40</f>
        <v>250.29464772641848</v>
      </c>
      <c r="G40">
        <f>E40+K33*30</f>
        <v>569.84862813041843</v>
      </c>
      <c r="R40">
        <v>31</v>
      </c>
      <c r="S40">
        <f t="shared" si="21"/>
        <v>1338.87535215</v>
      </c>
      <c r="T40">
        <f t="shared" si="42"/>
        <v>3382.0744108387553</v>
      </c>
      <c r="U40">
        <f t="shared" si="43"/>
        <v>1499.8486281304185</v>
      </c>
      <c r="V40">
        <f t="shared" si="44"/>
        <v>1539.0833098861415</v>
      </c>
      <c r="AH40">
        <v>1700</v>
      </c>
      <c r="AI40">
        <f t="shared" si="4"/>
        <v>445093.05</v>
      </c>
      <c r="AJ40">
        <f t="shared" si="5"/>
        <v>258243.89262259271</v>
      </c>
      <c r="AK40">
        <f t="shared" si="6"/>
        <v>82016.860582657653</v>
      </c>
      <c r="AL40">
        <f t="shared" si="7"/>
        <v>83403.582587604964</v>
      </c>
    </row>
    <row r="41" spans="1:52" x14ac:dyDescent="0.2">
      <c r="B41">
        <v>1000</v>
      </c>
      <c r="C41">
        <v>19023.828568862544</v>
      </c>
      <c r="D41">
        <v>282540</v>
      </c>
      <c r="E41">
        <f>(C41+D41)/B41</f>
        <v>301.5638285688625</v>
      </c>
      <c r="G41">
        <f t="shared" ref="G41" si="56">E41+K34</f>
        <v>309.02533993206038</v>
      </c>
      <c r="R41">
        <v>32</v>
      </c>
      <c r="S41">
        <f t="shared" ref="S41:S72" si="57">$G$10+R41*30</f>
        <v>1368.87535215</v>
      </c>
      <c r="T41">
        <f t="shared" si="42"/>
        <v>3412.0744108387553</v>
      </c>
      <c r="U41">
        <f t="shared" si="43"/>
        <v>1529.8486281304185</v>
      </c>
      <c r="V41">
        <f t="shared" si="44"/>
        <v>1569.0833098861415</v>
      </c>
      <c r="AH41">
        <v>1750</v>
      </c>
      <c r="AI41">
        <f t="shared" si="4"/>
        <v>445620.45</v>
      </c>
      <c r="AJ41">
        <f t="shared" si="5"/>
        <v>258771.29262259271</v>
      </c>
      <c r="AK41">
        <f t="shared" si="6"/>
        <v>82544.260582657662</v>
      </c>
      <c r="AL41">
        <f t="shared" si="7"/>
        <v>83930.982587604973</v>
      </c>
    </row>
    <row r="42" spans="1:52" x14ac:dyDescent="0.2">
      <c r="R42">
        <v>33</v>
      </c>
      <c r="S42">
        <f t="shared" si="57"/>
        <v>1398.87535215</v>
      </c>
      <c r="T42">
        <f t="shared" si="42"/>
        <v>3442.0744108387553</v>
      </c>
      <c r="U42">
        <f t="shared" si="43"/>
        <v>1559.8486281304185</v>
      </c>
      <c r="V42">
        <f t="shared" si="44"/>
        <v>1599.0833098861415</v>
      </c>
      <c r="AH42">
        <v>1800</v>
      </c>
      <c r="AI42">
        <f t="shared" si="4"/>
        <v>446147.85000000003</v>
      </c>
      <c r="AJ42">
        <f t="shared" si="5"/>
        <v>259298.6926225927</v>
      </c>
      <c r="AK42">
        <f t="shared" si="6"/>
        <v>83071.660582657656</v>
      </c>
      <c r="AL42">
        <f t="shared" si="7"/>
        <v>84458.382587604967</v>
      </c>
      <c r="AR42">
        <v>4271.6144999999997</v>
      </c>
      <c r="AS42">
        <v>2403.1229262259271</v>
      </c>
      <c r="AT42">
        <v>640.85260582657656</v>
      </c>
      <c r="AU42">
        <v>654.71982587604964</v>
      </c>
    </row>
    <row r="43" spans="1:52" x14ac:dyDescent="0.2">
      <c r="A43" t="s">
        <v>784</v>
      </c>
      <c r="R43">
        <v>34</v>
      </c>
      <c r="S43">
        <f t="shared" si="57"/>
        <v>1428.87535215</v>
      </c>
      <c r="T43">
        <f t="shared" si="42"/>
        <v>3472.0744108387553</v>
      </c>
      <c r="U43">
        <f t="shared" si="43"/>
        <v>1589.8486281304185</v>
      </c>
      <c r="V43">
        <f t="shared" si="44"/>
        <v>1629.0833098861415</v>
      </c>
      <c r="AH43">
        <v>1850</v>
      </c>
      <c r="AI43">
        <f t="shared" si="4"/>
        <v>446675.25</v>
      </c>
      <c r="AJ43">
        <f t="shared" si="5"/>
        <v>259826.0926225927</v>
      </c>
      <c r="AK43">
        <f t="shared" si="6"/>
        <v>83599.060582657665</v>
      </c>
      <c r="AL43">
        <f t="shared" si="7"/>
        <v>84985.782587604976</v>
      </c>
    </row>
    <row r="44" spans="1:52" x14ac:dyDescent="0.2">
      <c r="A44" t="s">
        <v>103</v>
      </c>
      <c r="R44">
        <v>35</v>
      </c>
      <c r="S44">
        <f t="shared" si="57"/>
        <v>1458.87535215</v>
      </c>
      <c r="T44">
        <f t="shared" si="42"/>
        <v>3502.0744108387553</v>
      </c>
      <c r="U44">
        <f t="shared" si="43"/>
        <v>1619.8486281304185</v>
      </c>
      <c r="V44">
        <f t="shared" si="44"/>
        <v>1659.0833098861415</v>
      </c>
      <c r="AH44">
        <v>1900</v>
      </c>
      <c r="AI44">
        <f t="shared" si="4"/>
        <v>447202.65</v>
      </c>
      <c r="AJ44">
        <f t="shared" si="5"/>
        <v>260353.49262259272</v>
      </c>
      <c r="AK44">
        <f t="shared" si="6"/>
        <v>84126.460582657659</v>
      </c>
      <c r="AL44">
        <f t="shared" si="7"/>
        <v>85513.18258760497</v>
      </c>
    </row>
    <row r="45" spans="1:52" x14ac:dyDescent="0.2">
      <c r="B45" t="s">
        <v>89</v>
      </c>
      <c r="C45" t="s">
        <v>40</v>
      </c>
      <c r="D45" t="s">
        <v>626</v>
      </c>
      <c r="E45" t="s">
        <v>631</v>
      </c>
      <c r="F45" t="s">
        <v>627</v>
      </c>
      <c r="G45" t="s">
        <v>322</v>
      </c>
      <c r="H45" t="s">
        <v>321</v>
      </c>
      <c r="J45" t="s">
        <v>786</v>
      </c>
      <c r="K45" t="s">
        <v>788</v>
      </c>
      <c r="R45">
        <v>36</v>
      </c>
      <c r="S45">
        <f t="shared" si="57"/>
        <v>1488.87535215</v>
      </c>
      <c r="T45">
        <f t="shared" si="42"/>
        <v>3532.0744108387553</v>
      </c>
      <c r="U45">
        <f t="shared" si="43"/>
        <v>1649.8486281304185</v>
      </c>
      <c r="V45">
        <f t="shared" si="44"/>
        <v>1689.0833098861415</v>
      </c>
      <c r="AH45">
        <v>1950</v>
      </c>
      <c r="AI45">
        <f t="shared" si="4"/>
        <v>447730.05</v>
      </c>
      <c r="AJ45">
        <f t="shared" si="5"/>
        <v>260880.89262259271</v>
      </c>
      <c r="AK45">
        <f t="shared" si="6"/>
        <v>84653.860582657653</v>
      </c>
      <c r="AL45">
        <f t="shared" si="7"/>
        <v>86040.582587604964</v>
      </c>
    </row>
    <row r="46" spans="1:52" x14ac:dyDescent="0.2">
      <c r="B46">
        <v>10</v>
      </c>
      <c r="C46">
        <v>16.305769884278892</v>
      </c>
      <c r="D46">
        <v>7.4413225794792854</v>
      </c>
      <c r="E46">
        <v>63.253538437499998</v>
      </c>
      <c r="F46">
        <v>70.763611759850264</v>
      </c>
      <c r="G46">
        <v>331.76</v>
      </c>
      <c r="H46">
        <v>59.925119047619049</v>
      </c>
      <c r="J46">
        <f>SUM(C46:H46)/B46</f>
        <v>54.944936170872744</v>
      </c>
      <c r="K46">
        <f>SUM(D46:H46)/B46</f>
        <v>53.314359182444868</v>
      </c>
      <c r="R46">
        <v>37</v>
      </c>
      <c r="S46">
        <f t="shared" si="57"/>
        <v>1518.87535215</v>
      </c>
      <c r="T46">
        <f t="shared" si="42"/>
        <v>3562.0744108387553</v>
      </c>
      <c r="U46">
        <f t="shared" si="43"/>
        <v>1679.8486281304185</v>
      </c>
      <c r="V46">
        <f t="shared" si="44"/>
        <v>1719.0833098861415</v>
      </c>
      <c r="AH46">
        <v>2000</v>
      </c>
      <c r="AI46">
        <f t="shared" si="4"/>
        <v>448257.45</v>
      </c>
      <c r="AJ46">
        <f t="shared" si="5"/>
        <v>261408.29262259271</v>
      </c>
      <c r="AK46">
        <f t="shared" si="6"/>
        <v>85181.260582657647</v>
      </c>
      <c r="AL46">
        <f t="shared" si="7"/>
        <v>86567.982587604958</v>
      </c>
    </row>
    <row r="47" spans="1:52" x14ac:dyDescent="0.2">
      <c r="B47">
        <v>100</v>
      </c>
      <c r="C47">
        <v>163.05769884278885</v>
      </c>
      <c r="D47">
        <v>10.935978876428571</v>
      </c>
      <c r="E47">
        <v>632.53538437500004</v>
      </c>
      <c r="F47">
        <v>436.37560585240993</v>
      </c>
      <c r="G47">
        <v>331.76</v>
      </c>
      <c r="H47">
        <v>274.00190476190477</v>
      </c>
      <c r="J47">
        <f t="shared" ref="J47:J48" si="58">SUM(C47:H47)/B47</f>
        <v>18.48666572708532</v>
      </c>
      <c r="K47">
        <f t="shared" ref="K47:K48" si="59">SUM(D47:H47)/B47</f>
        <v>16.856088738657434</v>
      </c>
      <c r="R47">
        <v>38</v>
      </c>
      <c r="S47">
        <f t="shared" si="57"/>
        <v>1548.87535215</v>
      </c>
      <c r="T47">
        <f t="shared" si="42"/>
        <v>3592.0744108387553</v>
      </c>
      <c r="U47">
        <f t="shared" si="43"/>
        <v>1709.8486281304185</v>
      </c>
      <c r="V47">
        <f t="shared" si="44"/>
        <v>1749.0833098861415</v>
      </c>
    </row>
    <row r="48" spans="1:52" x14ac:dyDescent="0.2">
      <c r="B48">
        <v>1000</v>
      </c>
      <c r="C48">
        <v>1630.5769884278886</v>
      </c>
      <c r="D48">
        <v>91.734662305000001</v>
      </c>
      <c r="E48">
        <v>6325.3538437500001</v>
      </c>
      <c r="F48">
        <v>2594.6657645278428</v>
      </c>
      <c r="G48">
        <v>331.76</v>
      </c>
      <c r="H48">
        <v>1609.5233333333333</v>
      </c>
      <c r="J48">
        <f t="shared" si="58"/>
        <v>12.583614592344064</v>
      </c>
      <c r="K48">
        <f t="shared" si="59"/>
        <v>10.953037603916174</v>
      </c>
      <c r="R48">
        <v>39</v>
      </c>
      <c r="S48">
        <f t="shared" si="57"/>
        <v>1578.87535215</v>
      </c>
      <c r="T48">
        <f t="shared" si="42"/>
        <v>3622.0744108387553</v>
      </c>
      <c r="U48">
        <f t="shared" si="43"/>
        <v>1739.8486281304185</v>
      </c>
      <c r="V48">
        <f t="shared" si="44"/>
        <v>1779.0833098861415</v>
      </c>
    </row>
    <row r="49" spans="1:22" x14ac:dyDescent="0.2">
      <c r="R49">
        <v>40</v>
      </c>
      <c r="S49">
        <f t="shared" si="57"/>
        <v>1608.87535215</v>
      </c>
      <c r="T49">
        <f t="shared" si="42"/>
        <v>3652.0744108387553</v>
      </c>
      <c r="U49">
        <f t="shared" si="43"/>
        <v>1769.8486281304185</v>
      </c>
      <c r="V49">
        <f t="shared" si="44"/>
        <v>1809.0833098861415</v>
      </c>
    </row>
    <row r="50" spans="1:22" x14ac:dyDescent="0.2">
      <c r="A50" t="s">
        <v>761</v>
      </c>
      <c r="R50">
        <v>41</v>
      </c>
      <c r="S50">
        <f t="shared" si="57"/>
        <v>1638.87535215</v>
      </c>
      <c r="T50">
        <f t="shared" si="42"/>
        <v>3682.0744108387553</v>
      </c>
      <c r="U50">
        <f t="shared" si="43"/>
        <v>1799.8486281304185</v>
      </c>
      <c r="V50">
        <f t="shared" si="44"/>
        <v>1839.0833098861415</v>
      </c>
    </row>
    <row r="51" spans="1:22" x14ac:dyDescent="0.2">
      <c r="B51" t="s">
        <v>89</v>
      </c>
      <c r="C51" t="s">
        <v>407</v>
      </c>
      <c r="D51" t="s">
        <v>236</v>
      </c>
      <c r="G51" t="s">
        <v>787</v>
      </c>
      <c r="R51">
        <v>42</v>
      </c>
      <c r="S51">
        <f t="shared" si="57"/>
        <v>1668.87535215</v>
      </c>
      <c r="T51">
        <f t="shared" si="42"/>
        <v>3712.0744108387553</v>
      </c>
      <c r="U51">
        <f t="shared" si="43"/>
        <v>1829.8486281304185</v>
      </c>
      <c r="V51">
        <f t="shared" si="44"/>
        <v>1869.0833098861415</v>
      </c>
    </row>
    <row r="52" spans="1:22" x14ac:dyDescent="0.2">
      <c r="B52">
        <v>10</v>
      </c>
      <c r="C52">
        <v>1080.407526374689</v>
      </c>
      <c r="D52">
        <v>1113.2</v>
      </c>
      <c r="E52">
        <f>(C52+D52)/B52</f>
        <v>219.36075263746889</v>
      </c>
      <c r="G52">
        <f>E52+K46</f>
        <v>272.67511181991375</v>
      </c>
      <c r="R52">
        <v>43</v>
      </c>
      <c r="S52">
        <f t="shared" si="57"/>
        <v>1698.87535215</v>
      </c>
      <c r="T52">
        <f t="shared" si="42"/>
        <v>3742.0744108387553</v>
      </c>
      <c r="U52">
        <f t="shared" si="43"/>
        <v>1859.8486281304185</v>
      </c>
      <c r="V52">
        <f t="shared" si="44"/>
        <v>1899.0833098861415</v>
      </c>
    </row>
    <row r="53" spans="1:22" x14ac:dyDescent="0.2">
      <c r="B53">
        <v>100</v>
      </c>
      <c r="C53">
        <v>3779.464772641847</v>
      </c>
      <c r="D53">
        <v>6560.6</v>
      </c>
      <c r="E53">
        <f>(C53+D53)/B53</f>
        <v>103.40064772641847</v>
      </c>
      <c r="G53">
        <f>E53+K47*30</f>
        <v>609.08330988614148</v>
      </c>
      <c r="R53">
        <v>44</v>
      </c>
      <c r="S53">
        <f t="shared" si="57"/>
        <v>1728.87535215</v>
      </c>
      <c r="T53">
        <f t="shared" si="42"/>
        <v>3772.0744108387553</v>
      </c>
      <c r="U53">
        <f t="shared" si="43"/>
        <v>1889.8486281304185</v>
      </c>
      <c r="V53">
        <f t="shared" si="44"/>
        <v>1929.0833098861415</v>
      </c>
    </row>
    <row r="54" spans="1:22" x14ac:dyDescent="0.2">
      <c r="B54">
        <v>1000</v>
      </c>
      <c r="C54">
        <v>19023.828568862544</v>
      </c>
      <c r="D54">
        <v>39429</v>
      </c>
      <c r="E54">
        <f>(C54+D54)/B54</f>
        <v>58.45282856886255</v>
      </c>
      <c r="G54">
        <f t="shared" ref="G54" si="60">E54+K48</f>
        <v>69.40586617277873</v>
      </c>
      <c r="R54">
        <v>45</v>
      </c>
      <c r="S54">
        <f t="shared" si="57"/>
        <v>1758.87535215</v>
      </c>
      <c r="T54">
        <f t="shared" si="42"/>
        <v>3802.0744108387553</v>
      </c>
      <c r="U54">
        <f t="shared" si="43"/>
        <v>1919.8486281304185</v>
      </c>
      <c r="V54">
        <f t="shared" si="44"/>
        <v>1959.0833098861415</v>
      </c>
    </row>
    <row r="55" spans="1:22" x14ac:dyDescent="0.2">
      <c r="R55">
        <v>46</v>
      </c>
      <c r="S55">
        <f t="shared" si="57"/>
        <v>1788.87535215</v>
      </c>
      <c r="T55">
        <f t="shared" si="42"/>
        <v>3832.0744108387553</v>
      </c>
      <c r="U55">
        <f t="shared" si="43"/>
        <v>1949.8486281304185</v>
      </c>
      <c r="V55">
        <f t="shared" si="44"/>
        <v>1989.0833098861415</v>
      </c>
    </row>
    <row r="56" spans="1:22" x14ac:dyDescent="0.2">
      <c r="R56">
        <v>47</v>
      </c>
      <c r="S56">
        <f t="shared" si="57"/>
        <v>1818.87535215</v>
      </c>
      <c r="T56">
        <f t="shared" si="42"/>
        <v>3862.0744108387553</v>
      </c>
      <c r="U56">
        <f t="shared" si="43"/>
        <v>1979.8486281304185</v>
      </c>
      <c r="V56">
        <f t="shared" si="44"/>
        <v>2019.0833098861415</v>
      </c>
    </row>
    <row r="57" spans="1:22" x14ac:dyDescent="0.2">
      <c r="R57">
        <v>48</v>
      </c>
      <c r="S57">
        <f t="shared" si="57"/>
        <v>1848.87535215</v>
      </c>
      <c r="T57">
        <f t="shared" si="42"/>
        <v>3892.0744108387553</v>
      </c>
      <c r="U57">
        <f t="shared" si="43"/>
        <v>2009.8486281304185</v>
      </c>
      <c r="V57">
        <f t="shared" si="44"/>
        <v>2049.0833098861413</v>
      </c>
    </row>
    <row r="58" spans="1:22" x14ac:dyDescent="0.2">
      <c r="R58">
        <v>49</v>
      </c>
      <c r="S58">
        <f t="shared" si="57"/>
        <v>1878.87535215</v>
      </c>
      <c r="T58">
        <f t="shared" si="42"/>
        <v>3922.0744108387553</v>
      </c>
      <c r="U58">
        <f t="shared" si="43"/>
        <v>2039.8486281304185</v>
      </c>
      <c r="V58">
        <f t="shared" si="44"/>
        <v>2079.0833098861413</v>
      </c>
    </row>
    <row r="59" spans="1:22" x14ac:dyDescent="0.2">
      <c r="R59">
        <v>50</v>
      </c>
      <c r="S59">
        <f t="shared" si="57"/>
        <v>1908.87535215</v>
      </c>
      <c r="T59">
        <f t="shared" si="42"/>
        <v>3952.0744108387553</v>
      </c>
      <c r="U59">
        <f t="shared" si="43"/>
        <v>2069.8486281304185</v>
      </c>
      <c r="V59">
        <f t="shared" si="44"/>
        <v>2109.0833098861413</v>
      </c>
    </row>
    <row r="60" spans="1:22" x14ac:dyDescent="0.2">
      <c r="R60">
        <v>51</v>
      </c>
      <c r="S60">
        <f t="shared" si="57"/>
        <v>1938.87535215</v>
      </c>
      <c r="T60">
        <f t="shared" ref="T60:T123" si="61">$G$22+R60*30</f>
        <v>3982.0744108387553</v>
      </c>
      <c r="U60">
        <f t="shared" ref="U60:U123" si="62">$G$40+R60*30</f>
        <v>2099.8486281304185</v>
      </c>
      <c r="V60">
        <f t="shared" ref="V60:V123" si="63">$G$53+R60*30</f>
        <v>2139.0833098861413</v>
      </c>
    </row>
    <row r="61" spans="1:22" x14ac:dyDescent="0.2">
      <c r="R61">
        <v>52</v>
      </c>
      <c r="S61">
        <f t="shared" si="57"/>
        <v>1968.87535215</v>
      </c>
      <c r="T61">
        <f t="shared" si="61"/>
        <v>4012.0744108387553</v>
      </c>
      <c r="U61">
        <f t="shared" si="62"/>
        <v>2129.8486281304185</v>
      </c>
      <c r="V61">
        <f t="shared" si="63"/>
        <v>2169.0833098861413</v>
      </c>
    </row>
    <row r="62" spans="1:22" x14ac:dyDescent="0.2">
      <c r="R62">
        <v>53</v>
      </c>
      <c r="S62">
        <f t="shared" si="57"/>
        <v>1998.87535215</v>
      </c>
      <c r="T62">
        <f t="shared" si="61"/>
        <v>4042.0744108387553</v>
      </c>
      <c r="U62">
        <f t="shared" si="62"/>
        <v>2159.8486281304185</v>
      </c>
      <c r="V62">
        <f t="shared" si="63"/>
        <v>2199.0833098861413</v>
      </c>
    </row>
    <row r="63" spans="1:22" x14ac:dyDescent="0.2">
      <c r="R63">
        <v>54</v>
      </c>
      <c r="S63">
        <f t="shared" si="57"/>
        <v>2028.87535215</v>
      </c>
      <c r="T63">
        <f t="shared" si="61"/>
        <v>4072.0744108387553</v>
      </c>
      <c r="U63">
        <f t="shared" si="62"/>
        <v>2189.8486281304185</v>
      </c>
      <c r="V63">
        <f t="shared" si="63"/>
        <v>2229.0833098861413</v>
      </c>
    </row>
    <row r="64" spans="1:22" x14ac:dyDescent="0.2">
      <c r="R64">
        <v>55</v>
      </c>
      <c r="S64">
        <f t="shared" si="57"/>
        <v>2058.8753521500003</v>
      </c>
      <c r="T64">
        <f t="shared" si="61"/>
        <v>4102.0744108387553</v>
      </c>
      <c r="U64">
        <f t="shared" si="62"/>
        <v>2219.8486281304185</v>
      </c>
      <c r="V64">
        <f t="shared" si="63"/>
        <v>2259.0833098861413</v>
      </c>
    </row>
    <row r="65" spans="18:22" x14ac:dyDescent="0.2">
      <c r="R65">
        <v>56</v>
      </c>
      <c r="S65">
        <f t="shared" si="57"/>
        <v>2088.8753521500003</v>
      </c>
      <c r="T65">
        <f t="shared" si="61"/>
        <v>4132.0744108387553</v>
      </c>
      <c r="U65">
        <f t="shared" si="62"/>
        <v>2249.8486281304185</v>
      </c>
      <c r="V65">
        <f t="shared" si="63"/>
        <v>2289.0833098861413</v>
      </c>
    </row>
    <row r="66" spans="18:22" x14ac:dyDescent="0.2">
      <c r="R66">
        <v>57</v>
      </c>
      <c r="S66">
        <f t="shared" si="57"/>
        <v>2118.8753521500003</v>
      </c>
      <c r="T66">
        <f t="shared" si="61"/>
        <v>4162.0744108387553</v>
      </c>
      <c r="U66">
        <f t="shared" si="62"/>
        <v>2279.8486281304185</v>
      </c>
      <c r="V66">
        <f t="shared" si="63"/>
        <v>2319.0833098861413</v>
      </c>
    </row>
    <row r="67" spans="18:22" x14ac:dyDescent="0.2">
      <c r="R67">
        <v>58</v>
      </c>
      <c r="S67">
        <f t="shared" si="57"/>
        <v>2148.8753521500003</v>
      </c>
      <c r="T67">
        <f t="shared" si="61"/>
        <v>4192.0744108387553</v>
      </c>
      <c r="U67">
        <f t="shared" si="62"/>
        <v>2309.8486281304185</v>
      </c>
      <c r="V67">
        <f t="shared" si="63"/>
        <v>2349.0833098861413</v>
      </c>
    </row>
    <row r="68" spans="18:22" x14ac:dyDescent="0.2">
      <c r="R68">
        <v>59</v>
      </c>
      <c r="S68">
        <f t="shared" si="57"/>
        <v>2178.8753521500003</v>
      </c>
      <c r="T68">
        <f t="shared" si="61"/>
        <v>4222.0744108387553</v>
      </c>
      <c r="U68">
        <f t="shared" si="62"/>
        <v>2339.8486281304185</v>
      </c>
      <c r="V68">
        <f t="shared" si="63"/>
        <v>2379.0833098861413</v>
      </c>
    </row>
    <row r="69" spans="18:22" x14ac:dyDescent="0.2">
      <c r="R69">
        <v>60</v>
      </c>
      <c r="S69">
        <f t="shared" si="57"/>
        <v>2208.8753521500003</v>
      </c>
      <c r="T69">
        <f t="shared" si="61"/>
        <v>4252.0744108387553</v>
      </c>
      <c r="U69">
        <f t="shared" si="62"/>
        <v>2369.8486281304185</v>
      </c>
      <c r="V69">
        <f t="shared" si="63"/>
        <v>2409.0833098861413</v>
      </c>
    </row>
    <row r="70" spans="18:22" x14ac:dyDescent="0.2">
      <c r="R70">
        <v>61</v>
      </c>
      <c r="S70">
        <f t="shared" si="57"/>
        <v>2238.8753521500003</v>
      </c>
      <c r="T70">
        <f t="shared" si="61"/>
        <v>4282.0744108387553</v>
      </c>
      <c r="U70">
        <f t="shared" si="62"/>
        <v>2399.8486281304185</v>
      </c>
      <c r="V70">
        <f t="shared" si="63"/>
        <v>2439.0833098861413</v>
      </c>
    </row>
    <row r="71" spans="18:22" x14ac:dyDescent="0.2">
      <c r="R71">
        <v>62</v>
      </c>
      <c r="S71">
        <f t="shared" si="57"/>
        <v>2268.8753521500003</v>
      </c>
      <c r="T71">
        <f t="shared" si="61"/>
        <v>4312.0744108387553</v>
      </c>
      <c r="U71">
        <f t="shared" si="62"/>
        <v>2429.8486281304185</v>
      </c>
      <c r="V71">
        <f t="shared" si="63"/>
        <v>2469.0833098861413</v>
      </c>
    </row>
    <row r="72" spans="18:22" x14ac:dyDescent="0.2">
      <c r="R72">
        <v>63</v>
      </c>
      <c r="S72">
        <f t="shared" si="57"/>
        <v>2298.8753521500003</v>
      </c>
      <c r="T72">
        <f t="shared" si="61"/>
        <v>4342.0744108387553</v>
      </c>
      <c r="U72">
        <f t="shared" si="62"/>
        <v>2459.8486281304185</v>
      </c>
      <c r="V72">
        <f t="shared" si="63"/>
        <v>2499.0833098861413</v>
      </c>
    </row>
    <row r="73" spans="18:22" x14ac:dyDescent="0.2">
      <c r="R73">
        <v>64</v>
      </c>
      <c r="S73">
        <f t="shared" ref="S73" si="64">$G$10+R73*30</f>
        <v>2328.8753521500003</v>
      </c>
      <c r="T73">
        <f t="shared" si="61"/>
        <v>4372.0744108387553</v>
      </c>
      <c r="U73">
        <f t="shared" si="62"/>
        <v>2489.8486281304185</v>
      </c>
      <c r="V73" s="83">
        <f t="shared" si="63"/>
        <v>2529.0833098861413</v>
      </c>
    </row>
    <row r="74" spans="18:22" x14ac:dyDescent="0.2">
      <c r="R74">
        <v>65</v>
      </c>
      <c r="S74">
        <f t="shared" ref="S74:S138" si="65">$G$10+R74*30</f>
        <v>2358.8753521500003</v>
      </c>
      <c r="T74">
        <f t="shared" si="61"/>
        <v>4402.0744108387553</v>
      </c>
      <c r="U74">
        <f t="shared" si="62"/>
        <v>2519.8486281304185</v>
      </c>
      <c r="V74" s="83">
        <f t="shared" si="63"/>
        <v>2559.0833098861413</v>
      </c>
    </row>
    <row r="75" spans="18:22" x14ac:dyDescent="0.2">
      <c r="R75">
        <v>66</v>
      </c>
      <c r="S75">
        <f t="shared" si="65"/>
        <v>2388.8753521500003</v>
      </c>
      <c r="T75">
        <f t="shared" si="61"/>
        <v>4432.0744108387553</v>
      </c>
      <c r="U75" s="83">
        <f t="shared" si="62"/>
        <v>2549.8486281304185</v>
      </c>
      <c r="V75">
        <f t="shared" si="63"/>
        <v>2589.0833098861413</v>
      </c>
    </row>
    <row r="76" spans="18:22" x14ac:dyDescent="0.2">
      <c r="R76">
        <v>67</v>
      </c>
      <c r="S76">
        <f t="shared" si="65"/>
        <v>2418.8753521500003</v>
      </c>
      <c r="T76">
        <f t="shared" si="61"/>
        <v>4462.0744108387553</v>
      </c>
      <c r="U76" s="83">
        <f t="shared" si="62"/>
        <v>2579.8486281304185</v>
      </c>
      <c r="V76">
        <f t="shared" si="63"/>
        <v>2619.0833098861413</v>
      </c>
    </row>
    <row r="77" spans="18:22" x14ac:dyDescent="0.2">
      <c r="R77">
        <v>68</v>
      </c>
      <c r="S77">
        <f t="shared" si="65"/>
        <v>2448.8753521500003</v>
      </c>
      <c r="T77">
        <f t="shared" si="61"/>
        <v>4492.0744108387553</v>
      </c>
      <c r="U77">
        <f t="shared" si="62"/>
        <v>2609.8486281304185</v>
      </c>
      <c r="V77">
        <f t="shared" si="63"/>
        <v>2649.0833098861413</v>
      </c>
    </row>
    <row r="78" spans="18:22" x14ac:dyDescent="0.2">
      <c r="R78">
        <v>69</v>
      </c>
      <c r="S78">
        <f t="shared" si="65"/>
        <v>2478.8753521500003</v>
      </c>
      <c r="T78">
        <f t="shared" si="61"/>
        <v>4522.0744108387553</v>
      </c>
      <c r="U78">
        <f t="shared" si="62"/>
        <v>2639.8486281304185</v>
      </c>
      <c r="V78">
        <f t="shared" si="63"/>
        <v>2679.0833098861413</v>
      </c>
    </row>
    <row r="79" spans="18:22" x14ac:dyDescent="0.2">
      <c r="R79">
        <v>70</v>
      </c>
      <c r="S79">
        <f t="shared" si="65"/>
        <v>2508.8753521500003</v>
      </c>
      <c r="T79">
        <f t="shared" si="61"/>
        <v>4552.0744108387553</v>
      </c>
      <c r="U79">
        <f t="shared" si="62"/>
        <v>2669.8486281304185</v>
      </c>
      <c r="V79">
        <f t="shared" si="63"/>
        <v>2709.0833098861413</v>
      </c>
    </row>
    <row r="80" spans="18:22" x14ac:dyDescent="0.2">
      <c r="R80">
        <v>71</v>
      </c>
      <c r="S80" s="83">
        <f t="shared" si="65"/>
        <v>2538.8753521500003</v>
      </c>
      <c r="T80">
        <f t="shared" si="61"/>
        <v>4582.0744108387553</v>
      </c>
      <c r="U80">
        <f t="shared" si="62"/>
        <v>2699.8486281304185</v>
      </c>
      <c r="V80">
        <f t="shared" si="63"/>
        <v>2739.0833098861413</v>
      </c>
    </row>
    <row r="81" spans="18:22" x14ac:dyDescent="0.2">
      <c r="R81">
        <v>72</v>
      </c>
      <c r="S81" s="83">
        <f t="shared" si="65"/>
        <v>2568.8753521500003</v>
      </c>
      <c r="T81">
        <f t="shared" si="61"/>
        <v>4612.0744108387553</v>
      </c>
      <c r="U81">
        <f t="shared" si="62"/>
        <v>2729.8486281304185</v>
      </c>
      <c r="V81">
        <f t="shared" si="63"/>
        <v>2769.0833098861413</v>
      </c>
    </row>
    <row r="82" spans="18:22" x14ac:dyDescent="0.2">
      <c r="R82">
        <v>73</v>
      </c>
      <c r="S82">
        <f t="shared" si="65"/>
        <v>2598.8753521500003</v>
      </c>
      <c r="T82">
        <f t="shared" si="61"/>
        <v>4642.0744108387553</v>
      </c>
      <c r="U82">
        <f t="shared" si="62"/>
        <v>2759.8486281304185</v>
      </c>
      <c r="V82">
        <f t="shared" si="63"/>
        <v>2799.0833098861413</v>
      </c>
    </row>
    <row r="83" spans="18:22" x14ac:dyDescent="0.2">
      <c r="R83">
        <v>74</v>
      </c>
      <c r="S83">
        <f t="shared" si="65"/>
        <v>2628.8753521500003</v>
      </c>
      <c r="T83">
        <f t="shared" si="61"/>
        <v>4672.0744108387553</v>
      </c>
      <c r="U83">
        <f t="shared" si="62"/>
        <v>2789.8486281304185</v>
      </c>
      <c r="V83">
        <f t="shared" si="63"/>
        <v>2829.0833098861413</v>
      </c>
    </row>
    <row r="84" spans="18:22" x14ac:dyDescent="0.2">
      <c r="R84">
        <v>75</v>
      </c>
      <c r="S84">
        <f t="shared" si="65"/>
        <v>2658.8753521500003</v>
      </c>
      <c r="T84">
        <f t="shared" si="61"/>
        <v>4702.0744108387553</v>
      </c>
      <c r="U84">
        <f t="shared" si="62"/>
        <v>2819.8486281304185</v>
      </c>
      <c r="V84">
        <f t="shared" si="63"/>
        <v>2859.0833098861413</v>
      </c>
    </row>
    <row r="85" spans="18:22" x14ac:dyDescent="0.2">
      <c r="R85">
        <v>76</v>
      </c>
      <c r="S85">
        <f t="shared" si="65"/>
        <v>2688.8753521500003</v>
      </c>
      <c r="T85">
        <f t="shared" si="61"/>
        <v>4732.0744108387553</v>
      </c>
      <c r="U85">
        <f t="shared" si="62"/>
        <v>2849.8486281304185</v>
      </c>
      <c r="V85">
        <f t="shared" si="63"/>
        <v>2889.0833098861413</v>
      </c>
    </row>
    <row r="86" spans="18:22" x14ac:dyDescent="0.2">
      <c r="R86">
        <v>77</v>
      </c>
      <c r="S86">
        <f t="shared" si="65"/>
        <v>2718.8753521500003</v>
      </c>
      <c r="T86">
        <f t="shared" si="61"/>
        <v>4762.0744108387553</v>
      </c>
      <c r="U86">
        <f t="shared" si="62"/>
        <v>2879.8486281304185</v>
      </c>
      <c r="V86">
        <f t="shared" si="63"/>
        <v>2919.0833098861413</v>
      </c>
    </row>
    <row r="87" spans="18:22" x14ac:dyDescent="0.2">
      <c r="R87">
        <v>78</v>
      </c>
      <c r="S87">
        <f t="shared" si="65"/>
        <v>2748.8753521500003</v>
      </c>
      <c r="T87">
        <f t="shared" si="61"/>
        <v>4792.0744108387553</v>
      </c>
      <c r="U87">
        <f t="shared" si="62"/>
        <v>2909.8486281304185</v>
      </c>
      <c r="V87">
        <f t="shared" si="63"/>
        <v>2949.0833098861413</v>
      </c>
    </row>
    <row r="88" spans="18:22" x14ac:dyDescent="0.2">
      <c r="R88">
        <v>79</v>
      </c>
      <c r="S88">
        <f t="shared" si="65"/>
        <v>2778.8753521500003</v>
      </c>
      <c r="T88">
        <f t="shared" si="61"/>
        <v>4822.0744108387553</v>
      </c>
      <c r="U88">
        <f t="shared" si="62"/>
        <v>2939.8486281304185</v>
      </c>
      <c r="V88">
        <f t="shared" si="63"/>
        <v>2979.0833098861413</v>
      </c>
    </row>
    <row r="89" spans="18:22" x14ac:dyDescent="0.2">
      <c r="R89">
        <v>80</v>
      </c>
      <c r="S89">
        <f t="shared" si="65"/>
        <v>2808.8753521500003</v>
      </c>
      <c r="T89">
        <f t="shared" si="61"/>
        <v>4852.0744108387553</v>
      </c>
      <c r="U89">
        <f t="shared" si="62"/>
        <v>2969.8486281304185</v>
      </c>
      <c r="V89">
        <f t="shared" si="63"/>
        <v>3009.0833098861413</v>
      </c>
    </row>
    <row r="90" spans="18:22" x14ac:dyDescent="0.2">
      <c r="R90">
        <v>81</v>
      </c>
      <c r="S90">
        <f t="shared" si="65"/>
        <v>2838.8753521500003</v>
      </c>
      <c r="T90">
        <f t="shared" si="61"/>
        <v>4882.0744108387553</v>
      </c>
      <c r="U90">
        <f t="shared" si="62"/>
        <v>2999.8486281304185</v>
      </c>
      <c r="V90">
        <f t="shared" si="63"/>
        <v>3039.0833098861413</v>
      </c>
    </row>
    <row r="91" spans="18:22" x14ac:dyDescent="0.2">
      <c r="R91">
        <v>82</v>
      </c>
      <c r="S91">
        <f t="shared" si="65"/>
        <v>2868.8753521500003</v>
      </c>
      <c r="T91">
        <f t="shared" si="61"/>
        <v>4912.0744108387553</v>
      </c>
      <c r="U91">
        <f t="shared" si="62"/>
        <v>3029.8486281304185</v>
      </c>
      <c r="V91">
        <f t="shared" si="63"/>
        <v>3069.0833098861413</v>
      </c>
    </row>
    <row r="92" spans="18:22" x14ac:dyDescent="0.2">
      <c r="R92">
        <v>83</v>
      </c>
      <c r="S92">
        <f t="shared" si="65"/>
        <v>2898.8753521500003</v>
      </c>
      <c r="T92">
        <f t="shared" si="61"/>
        <v>4942.0744108387553</v>
      </c>
      <c r="U92">
        <f t="shared" si="62"/>
        <v>3059.8486281304185</v>
      </c>
      <c r="V92">
        <f t="shared" si="63"/>
        <v>3099.0833098861413</v>
      </c>
    </row>
    <row r="93" spans="18:22" x14ac:dyDescent="0.2">
      <c r="R93">
        <v>84</v>
      </c>
      <c r="S93">
        <f t="shared" si="65"/>
        <v>2928.8753521500003</v>
      </c>
      <c r="T93">
        <f t="shared" si="61"/>
        <v>4972.0744108387553</v>
      </c>
      <c r="U93">
        <f t="shared" si="62"/>
        <v>3089.8486281304185</v>
      </c>
      <c r="V93">
        <f t="shared" si="63"/>
        <v>3129.0833098861413</v>
      </c>
    </row>
    <row r="94" spans="18:22" x14ac:dyDescent="0.2">
      <c r="R94">
        <v>85</v>
      </c>
      <c r="S94">
        <f t="shared" si="65"/>
        <v>2958.8753521500003</v>
      </c>
      <c r="T94">
        <f t="shared" si="61"/>
        <v>5002.0744108387553</v>
      </c>
      <c r="U94">
        <f t="shared" si="62"/>
        <v>3119.8486281304185</v>
      </c>
      <c r="V94">
        <f t="shared" si="63"/>
        <v>3159.0833098861413</v>
      </c>
    </row>
    <row r="95" spans="18:22" x14ac:dyDescent="0.2">
      <c r="R95">
        <v>86</v>
      </c>
      <c r="S95">
        <f t="shared" si="65"/>
        <v>2988.8753521500003</v>
      </c>
      <c r="T95">
        <f t="shared" si="61"/>
        <v>5032.0744108387553</v>
      </c>
      <c r="U95">
        <f t="shared" si="62"/>
        <v>3149.8486281304185</v>
      </c>
      <c r="V95">
        <f t="shared" si="63"/>
        <v>3189.0833098861413</v>
      </c>
    </row>
    <row r="96" spans="18:22" x14ac:dyDescent="0.2">
      <c r="R96">
        <v>87</v>
      </c>
      <c r="S96">
        <f t="shared" si="65"/>
        <v>3018.8753521500003</v>
      </c>
      <c r="T96">
        <f t="shared" si="61"/>
        <v>5062.0744108387553</v>
      </c>
      <c r="U96">
        <f t="shared" si="62"/>
        <v>3179.8486281304185</v>
      </c>
      <c r="V96">
        <f t="shared" si="63"/>
        <v>3219.0833098861413</v>
      </c>
    </row>
    <row r="97" spans="18:22" x14ac:dyDescent="0.2">
      <c r="R97">
        <v>88</v>
      </c>
      <c r="S97">
        <f t="shared" si="65"/>
        <v>3048.8753521500003</v>
      </c>
      <c r="T97">
        <f t="shared" si="61"/>
        <v>5092.0744108387553</v>
      </c>
      <c r="U97">
        <f t="shared" si="62"/>
        <v>3209.8486281304185</v>
      </c>
      <c r="V97">
        <f t="shared" si="63"/>
        <v>3249.0833098861413</v>
      </c>
    </row>
    <row r="98" spans="18:22" x14ac:dyDescent="0.2">
      <c r="R98">
        <v>89</v>
      </c>
      <c r="S98">
        <f t="shared" si="65"/>
        <v>3078.8753521500003</v>
      </c>
      <c r="T98">
        <f t="shared" si="61"/>
        <v>5122.0744108387553</v>
      </c>
      <c r="U98">
        <f t="shared" si="62"/>
        <v>3239.8486281304185</v>
      </c>
      <c r="V98">
        <f t="shared" si="63"/>
        <v>3279.0833098861413</v>
      </c>
    </row>
    <row r="99" spans="18:22" x14ac:dyDescent="0.2">
      <c r="R99">
        <v>90</v>
      </c>
      <c r="S99">
        <f t="shared" si="65"/>
        <v>3108.8753521500003</v>
      </c>
      <c r="T99">
        <f t="shared" si="61"/>
        <v>5152.0744108387553</v>
      </c>
      <c r="U99">
        <f t="shared" si="62"/>
        <v>3269.8486281304185</v>
      </c>
      <c r="V99">
        <f t="shared" si="63"/>
        <v>3309.0833098861413</v>
      </c>
    </row>
    <row r="100" spans="18:22" x14ac:dyDescent="0.2">
      <c r="R100">
        <v>91</v>
      </c>
      <c r="S100">
        <f t="shared" si="65"/>
        <v>3138.8753521500003</v>
      </c>
      <c r="T100">
        <f t="shared" si="61"/>
        <v>5182.0744108387553</v>
      </c>
      <c r="U100">
        <f t="shared" si="62"/>
        <v>3299.8486281304185</v>
      </c>
      <c r="V100">
        <f t="shared" si="63"/>
        <v>3339.0833098861413</v>
      </c>
    </row>
    <row r="101" spans="18:22" x14ac:dyDescent="0.2">
      <c r="R101">
        <v>92</v>
      </c>
      <c r="S101">
        <f t="shared" si="65"/>
        <v>3168.8753521500003</v>
      </c>
      <c r="T101">
        <f t="shared" si="61"/>
        <v>5212.0744108387553</v>
      </c>
      <c r="U101">
        <f t="shared" si="62"/>
        <v>3329.8486281304185</v>
      </c>
      <c r="V101">
        <f t="shared" si="63"/>
        <v>3369.0833098861413</v>
      </c>
    </row>
    <row r="102" spans="18:22" x14ac:dyDescent="0.2">
      <c r="R102">
        <v>93</v>
      </c>
      <c r="S102">
        <f t="shared" si="65"/>
        <v>3198.8753521500003</v>
      </c>
      <c r="T102">
        <f t="shared" si="61"/>
        <v>5242.0744108387553</v>
      </c>
      <c r="U102">
        <f t="shared" si="62"/>
        <v>3359.8486281304185</v>
      </c>
      <c r="V102">
        <f t="shared" si="63"/>
        <v>3399.0833098861413</v>
      </c>
    </row>
    <row r="103" spans="18:22" x14ac:dyDescent="0.2">
      <c r="R103">
        <v>94</v>
      </c>
      <c r="S103">
        <f t="shared" si="65"/>
        <v>3228.8753521500003</v>
      </c>
      <c r="T103">
        <f t="shared" si="61"/>
        <v>5272.0744108387553</v>
      </c>
      <c r="U103">
        <f t="shared" si="62"/>
        <v>3389.8486281304185</v>
      </c>
      <c r="V103">
        <f t="shared" si="63"/>
        <v>3429.0833098861413</v>
      </c>
    </row>
    <row r="104" spans="18:22" x14ac:dyDescent="0.2">
      <c r="R104">
        <v>95</v>
      </c>
      <c r="S104">
        <f t="shared" si="65"/>
        <v>3258.8753521500003</v>
      </c>
      <c r="T104">
        <f t="shared" si="61"/>
        <v>5302.0744108387553</v>
      </c>
      <c r="U104">
        <f t="shared" si="62"/>
        <v>3419.8486281304185</v>
      </c>
      <c r="V104">
        <f t="shared" si="63"/>
        <v>3459.0833098861413</v>
      </c>
    </row>
    <row r="105" spans="18:22" x14ac:dyDescent="0.2">
      <c r="R105">
        <v>96</v>
      </c>
      <c r="S105">
        <f t="shared" si="65"/>
        <v>3288.8753521500003</v>
      </c>
      <c r="T105">
        <f t="shared" si="61"/>
        <v>5332.0744108387553</v>
      </c>
      <c r="U105">
        <f t="shared" si="62"/>
        <v>3449.8486281304185</v>
      </c>
      <c r="V105">
        <f t="shared" si="63"/>
        <v>3489.0833098861413</v>
      </c>
    </row>
    <row r="106" spans="18:22" x14ac:dyDescent="0.2">
      <c r="R106">
        <v>97</v>
      </c>
      <c r="S106">
        <f t="shared" si="65"/>
        <v>3318.8753521500003</v>
      </c>
      <c r="T106">
        <f t="shared" si="61"/>
        <v>5362.0744108387553</v>
      </c>
      <c r="U106">
        <f t="shared" si="62"/>
        <v>3479.8486281304185</v>
      </c>
      <c r="V106">
        <f t="shared" si="63"/>
        <v>3519.0833098861413</v>
      </c>
    </row>
    <row r="107" spans="18:22" x14ac:dyDescent="0.2">
      <c r="R107">
        <v>98</v>
      </c>
      <c r="S107">
        <f t="shared" si="65"/>
        <v>3348.8753521500003</v>
      </c>
      <c r="T107">
        <f t="shared" si="61"/>
        <v>5392.0744108387553</v>
      </c>
      <c r="U107">
        <f t="shared" si="62"/>
        <v>3509.8486281304185</v>
      </c>
      <c r="V107">
        <f t="shared" si="63"/>
        <v>3549.0833098861413</v>
      </c>
    </row>
    <row r="108" spans="18:22" x14ac:dyDescent="0.2">
      <c r="R108">
        <v>99</v>
      </c>
      <c r="S108">
        <f t="shared" si="65"/>
        <v>3378.8753521500003</v>
      </c>
      <c r="T108">
        <f t="shared" si="61"/>
        <v>5422.0744108387553</v>
      </c>
      <c r="U108">
        <f t="shared" si="62"/>
        <v>3539.8486281304185</v>
      </c>
      <c r="V108">
        <f t="shared" si="63"/>
        <v>3579.0833098861413</v>
      </c>
    </row>
    <row r="109" spans="18:22" x14ac:dyDescent="0.2">
      <c r="R109">
        <v>100</v>
      </c>
      <c r="S109">
        <f t="shared" si="65"/>
        <v>3408.8753521500003</v>
      </c>
      <c r="T109">
        <f t="shared" si="61"/>
        <v>5452.0744108387553</v>
      </c>
      <c r="U109">
        <f t="shared" si="62"/>
        <v>3569.8486281304185</v>
      </c>
      <c r="V109">
        <f t="shared" si="63"/>
        <v>3609.0833098861413</v>
      </c>
    </row>
    <row r="110" spans="18:22" x14ac:dyDescent="0.2">
      <c r="R110">
        <v>101</v>
      </c>
      <c r="S110">
        <f t="shared" si="65"/>
        <v>3438.8753521500003</v>
      </c>
      <c r="T110">
        <f t="shared" si="61"/>
        <v>5482.0744108387553</v>
      </c>
      <c r="U110">
        <f t="shared" si="62"/>
        <v>3599.8486281304185</v>
      </c>
      <c r="V110">
        <f t="shared" si="63"/>
        <v>3639.0833098861413</v>
      </c>
    </row>
    <row r="111" spans="18:22" x14ac:dyDescent="0.2">
      <c r="R111">
        <v>102</v>
      </c>
      <c r="S111">
        <f t="shared" si="65"/>
        <v>3468.8753521500003</v>
      </c>
      <c r="T111">
        <f t="shared" si="61"/>
        <v>5512.0744108387553</v>
      </c>
      <c r="U111">
        <f t="shared" si="62"/>
        <v>3629.8486281304185</v>
      </c>
      <c r="V111">
        <f t="shared" si="63"/>
        <v>3669.0833098861413</v>
      </c>
    </row>
    <row r="112" spans="18:22" x14ac:dyDescent="0.2">
      <c r="R112">
        <v>103</v>
      </c>
      <c r="S112">
        <f t="shared" si="65"/>
        <v>3498.8753521500003</v>
      </c>
      <c r="T112">
        <f t="shared" si="61"/>
        <v>5542.0744108387553</v>
      </c>
      <c r="U112">
        <f t="shared" si="62"/>
        <v>3659.8486281304185</v>
      </c>
      <c r="V112">
        <f t="shared" si="63"/>
        <v>3699.0833098861413</v>
      </c>
    </row>
    <row r="113" spans="18:22" x14ac:dyDescent="0.2">
      <c r="R113">
        <v>104</v>
      </c>
      <c r="S113">
        <f t="shared" si="65"/>
        <v>3528.8753521500003</v>
      </c>
      <c r="T113">
        <f t="shared" si="61"/>
        <v>5572.0744108387553</v>
      </c>
      <c r="U113">
        <f t="shared" si="62"/>
        <v>3689.8486281304185</v>
      </c>
      <c r="V113">
        <f t="shared" si="63"/>
        <v>3729.0833098861413</v>
      </c>
    </row>
    <row r="114" spans="18:22" x14ac:dyDescent="0.2">
      <c r="R114">
        <v>105</v>
      </c>
      <c r="S114">
        <f t="shared" si="65"/>
        <v>3558.8753521500003</v>
      </c>
      <c r="T114">
        <f t="shared" si="61"/>
        <v>5602.0744108387553</v>
      </c>
      <c r="U114">
        <f t="shared" si="62"/>
        <v>3719.8486281304185</v>
      </c>
      <c r="V114">
        <f t="shared" si="63"/>
        <v>3759.0833098861413</v>
      </c>
    </row>
    <row r="115" spans="18:22" x14ac:dyDescent="0.2">
      <c r="R115">
        <v>106</v>
      </c>
      <c r="S115">
        <f t="shared" si="65"/>
        <v>3588.8753521500003</v>
      </c>
      <c r="T115">
        <f t="shared" si="61"/>
        <v>5632.0744108387553</v>
      </c>
      <c r="U115">
        <f t="shared" si="62"/>
        <v>3749.8486281304185</v>
      </c>
      <c r="V115">
        <f t="shared" si="63"/>
        <v>3789.0833098861413</v>
      </c>
    </row>
    <row r="116" spans="18:22" x14ac:dyDescent="0.2">
      <c r="R116">
        <v>107</v>
      </c>
      <c r="S116">
        <f t="shared" si="65"/>
        <v>3618.8753521500003</v>
      </c>
      <c r="T116">
        <f t="shared" si="61"/>
        <v>5662.0744108387553</v>
      </c>
      <c r="U116">
        <f t="shared" si="62"/>
        <v>3779.8486281304185</v>
      </c>
      <c r="V116">
        <f t="shared" si="63"/>
        <v>3819.0833098861413</v>
      </c>
    </row>
    <row r="117" spans="18:22" x14ac:dyDescent="0.2">
      <c r="R117">
        <v>108</v>
      </c>
      <c r="S117">
        <f t="shared" si="65"/>
        <v>3648.8753521500003</v>
      </c>
      <c r="T117">
        <f t="shared" si="61"/>
        <v>5692.0744108387553</v>
      </c>
      <c r="U117">
        <f t="shared" si="62"/>
        <v>3809.8486281304185</v>
      </c>
      <c r="V117">
        <f t="shared" si="63"/>
        <v>3849.0833098861413</v>
      </c>
    </row>
    <row r="118" spans="18:22" x14ac:dyDescent="0.2">
      <c r="R118">
        <v>109</v>
      </c>
      <c r="S118">
        <f t="shared" si="65"/>
        <v>3678.8753521500003</v>
      </c>
      <c r="T118">
        <f t="shared" si="61"/>
        <v>5722.0744108387553</v>
      </c>
      <c r="U118">
        <f t="shared" si="62"/>
        <v>3839.8486281304185</v>
      </c>
      <c r="V118">
        <f t="shared" si="63"/>
        <v>3879.0833098861413</v>
      </c>
    </row>
    <row r="119" spans="18:22" x14ac:dyDescent="0.2">
      <c r="R119">
        <v>110</v>
      </c>
      <c r="S119">
        <f t="shared" si="65"/>
        <v>3708.8753521500003</v>
      </c>
      <c r="T119">
        <f t="shared" si="61"/>
        <v>5752.0744108387553</v>
      </c>
      <c r="U119">
        <f t="shared" si="62"/>
        <v>3869.8486281304185</v>
      </c>
      <c r="V119">
        <f t="shared" si="63"/>
        <v>3909.0833098861413</v>
      </c>
    </row>
    <row r="120" spans="18:22" x14ac:dyDescent="0.2">
      <c r="R120">
        <v>111</v>
      </c>
      <c r="S120">
        <f t="shared" si="65"/>
        <v>3738.8753521500003</v>
      </c>
      <c r="T120">
        <f t="shared" si="61"/>
        <v>5782.0744108387553</v>
      </c>
      <c r="U120">
        <f t="shared" si="62"/>
        <v>3899.8486281304185</v>
      </c>
      <c r="V120">
        <f t="shared" si="63"/>
        <v>3939.0833098861413</v>
      </c>
    </row>
    <row r="121" spans="18:22" x14ac:dyDescent="0.2">
      <c r="R121">
        <v>112</v>
      </c>
      <c r="S121">
        <f t="shared" si="65"/>
        <v>3768.8753521500003</v>
      </c>
      <c r="T121">
        <f t="shared" si="61"/>
        <v>5812.0744108387553</v>
      </c>
      <c r="U121">
        <f t="shared" si="62"/>
        <v>3929.8486281304185</v>
      </c>
      <c r="V121">
        <f t="shared" si="63"/>
        <v>3969.0833098861413</v>
      </c>
    </row>
    <row r="122" spans="18:22" x14ac:dyDescent="0.2">
      <c r="R122">
        <v>113</v>
      </c>
      <c r="S122">
        <f t="shared" si="65"/>
        <v>3798.8753521500003</v>
      </c>
      <c r="T122">
        <f t="shared" si="61"/>
        <v>5842.0744108387553</v>
      </c>
      <c r="U122">
        <f t="shared" si="62"/>
        <v>3959.8486281304185</v>
      </c>
      <c r="V122">
        <f t="shared" si="63"/>
        <v>3999.0833098861413</v>
      </c>
    </row>
    <row r="123" spans="18:22" x14ac:dyDescent="0.2">
      <c r="R123">
        <v>114</v>
      </c>
      <c r="S123">
        <f t="shared" si="65"/>
        <v>3828.8753521500003</v>
      </c>
      <c r="T123">
        <f t="shared" si="61"/>
        <v>5872.0744108387553</v>
      </c>
      <c r="U123">
        <f t="shared" si="62"/>
        <v>3989.8486281304185</v>
      </c>
      <c r="V123">
        <f t="shared" si="63"/>
        <v>4029.0833098861413</v>
      </c>
    </row>
    <row r="124" spans="18:22" x14ac:dyDescent="0.2">
      <c r="R124">
        <v>115</v>
      </c>
      <c r="S124">
        <f t="shared" si="65"/>
        <v>3858.8753521500003</v>
      </c>
      <c r="T124">
        <f t="shared" ref="T124:T137" si="66">$G$22+R124*30</f>
        <v>5902.0744108387553</v>
      </c>
      <c r="U124">
        <f t="shared" ref="U124:U137" si="67">$G$40+R124*30</f>
        <v>4019.8486281304185</v>
      </c>
      <c r="V124">
        <f t="shared" ref="V124:V137" si="68">$G$53+R124*30</f>
        <v>4059.0833098861413</v>
      </c>
    </row>
    <row r="125" spans="18:22" x14ac:dyDescent="0.2">
      <c r="R125">
        <v>116</v>
      </c>
      <c r="S125">
        <f t="shared" si="65"/>
        <v>3888.8753521500003</v>
      </c>
      <c r="T125">
        <f t="shared" si="66"/>
        <v>5932.0744108387553</v>
      </c>
      <c r="U125">
        <f t="shared" si="67"/>
        <v>4049.8486281304185</v>
      </c>
      <c r="V125">
        <f t="shared" si="68"/>
        <v>4089.0833098861413</v>
      </c>
    </row>
    <row r="126" spans="18:22" x14ac:dyDescent="0.2">
      <c r="R126">
        <v>117</v>
      </c>
      <c r="S126">
        <f t="shared" si="65"/>
        <v>3918.8753521500003</v>
      </c>
      <c r="T126">
        <f t="shared" si="66"/>
        <v>5962.0744108387553</v>
      </c>
      <c r="U126">
        <f t="shared" si="67"/>
        <v>4079.8486281304185</v>
      </c>
      <c r="V126">
        <f t="shared" si="68"/>
        <v>4119.0833098861413</v>
      </c>
    </row>
    <row r="127" spans="18:22" x14ac:dyDescent="0.2">
      <c r="R127">
        <v>118</v>
      </c>
      <c r="S127">
        <f t="shared" si="65"/>
        <v>3948.8753521500003</v>
      </c>
      <c r="T127">
        <f t="shared" si="66"/>
        <v>5992.0744108387553</v>
      </c>
      <c r="U127">
        <f t="shared" si="67"/>
        <v>4109.8486281304185</v>
      </c>
      <c r="V127">
        <f t="shared" si="68"/>
        <v>4149.0833098861413</v>
      </c>
    </row>
    <row r="128" spans="18:22" x14ac:dyDescent="0.2">
      <c r="R128">
        <v>119</v>
      </c>
      <c r="S128">
        <f t="shared" si="65"/>
        <v>3978.8753521500003</v>
      </c>
      <c r="T128">
        <f t="shared" si="66"/>
        <v>6022.0744108387553</v>
      </c>
      <c r="U128">
        <f t="shared" si="67"/>
        <v>4139.8486281304185</v>
      </c>
      <c r="V128">
        <f t="shared" si="68"/>
        <v>4179.0833098861413</v>
      </c>
    </row>
    <row r="129" spans="18:24" x14ac:dyDescent="0.2">
      <c r="R129">
        <v>120</v>
      </c>
      <c r="S129">
        <f t="shared" si="65"/>
        <v>4008.8753521500003</v>
      </c>
      <c r="T129">
        <f t="shared" si="66"/>
        <v>6052.0744108387553</v>
      </c>
      <c r="U129">
        <f t="shared" si="67"/>
        <v>4169.8486281304185</v>
      </c>
      <c r="V129">
        <f t="shared" si="68"/>
        <v>4209.0833098861413</v>
      </c>
    </row>
    <row r="130" spans="18:24" x14ac:dyDescent="0.2">
      <c r="R130">
        <v>121</v>
      </c>
      <c r="S130">
        <f t="shared" si="65"/>
        <v>4038.8753521500003</v>
      </c>
      <c r="T130">
        <f t="shared" si="66"/>
        <v>6082.0744108387553</v>
      </c>
      <c r="U130">
        <f t="shared" si="67"/>
        <v>4199.8486281304185</v>
      </c>
      <c r="V130">
        <f t="shared" si="68"/>
        <v>4239.0833098861413</v>
      </c>
    </row>
    <row r="131" spans="18:24" x14ac:dyDescent="0.2">
      <c r="R131">
        <v>122</v>
      </c>
      <c r="S131">
        <f t="shared" si="65"/>
        <v>4068.8753521500003</v>
      </c>
      <c r="T131">
        <f t="shared" si="66"/>
        <v>6112.0744108387553</v>
      </c>
      <c r="U131">
        <f t="shared" si="67"/>
        <v>4229.8486281304185</v>
      </c>
      <c r="V131">
        <f t="shared" si="68"/>
        <v>4269.0833098861413</v>
      </c>
    </row>
    <row r="132" spans="18:24" x14ac:dyDescent="0.2">
      <c r="R132">
        <v>123</v>
      </c>
      <c r="S132">
        <f t="shared" si="65"/>
        <v>4098.8753521500003</v>
      </c>
      <c r="T132">
        <f t="shared" si="66"/>
        <v>6142.0744108387553</v>
      </c>
      <c r="U132">
        <f t="shared" si="67"/>
        <v>4259.8486281304185</v>
      </c>
      <c r="V132">
        <f t="shared" si="68"/>
        <v>4299.0833098861413</v>
      </c>
    </row>
    <row r="133" spans="18:24" x14ac:dyDescent="0.2">
      <c r="R133">
        <v>124</v>
      </c>
      <c r="S133">
        <f t="shared" si="65"/>
        <v>4128.8753521500003</v>
      </c>
      <c r="T133">
        <f t="shared" si="66"/>
        <v>6172.0744108387553</v>
      </c>
      <c r="U133">
        <f t="shared" si="67"/>
        <v>4289.8486281304185</v>
      </c>
      <c r="V133">
        <f t="shared" si="68"/>
        <v>4329.0833098861413</v>
      </c>
    </row>
    <row r="134" spans="18:24" x14ac:dyDescent="0.2">
      <c r="R134">
        <v>125</v>
      </c>
      <c r="S134">
        <f t="shared" si="65"/>
        <v>4158.8753521500003</v>
      </c>
      <c r="T134">
        <f t="shared" si="66"/>
        <v>6202.0744108387553</v>
      </c>
      <c r="U134">
        <f t="shared" si="67"/>
        <v>4319.8486281304185</v>
      </c>
      <c r="V134">
        <f t="shared" si="68"/>
        <v>4359.0833098861413</v>
      </c>
    </row>
    <row r="135" spans="18:24" x14ac:dyDescent="0.2">
      <c r="R135">
        <v>126</v>
      </c>
      <c r="S135">
        <f t="shared" si="65"/>
        <v>4188.8753521500003</v>
      </c>
      <c r="T135">
        <f t="shared" si="66"/>
        <v>6232.0744108387553</v>
      </c>
      <c r="U135">
        <f t="shared" si="67"/>
        <v>4349.8486281304185</v>
      </c>
      <c r="V135">
        <f t="shared" si="68"/>
        <v>4389.0833098861413</v>
      </c>
    </row>
    <row r="136" spans="18:24" x14ac:dyDescent="0.2">
      <c r="R136">
        <v>127</v>
      </c>
      <c r="S136">
        <f t="shared" si="65"/>
        <v>4218.8753521500003</v>
      </c>
      <c r="T136">
        <f t="shared" si="66"/>
        <v>6262.0744108387553</v>
      </c>
      <c r="U136">
        <f t="shared" si="67"/>
        <v>4379.8486281304185</v>
      </c>
      <c r="V136">
        <f t="shared" si="68"/>
        <v>4419.0833098861413</v>
      </c>
    </row>
    <row r="137" spans="18:24" x14ac:dyDescent="0.2">
      <c r="R137">
        <v>128</v>
      </c>
      <c r="S137">
        <f t="shared" si="65"/>
        <v>4248.8753521500003</v>
      </c>
      <c r="T137">
        <f t="shared" si="66"/>
        <v>6292.0744108387553</v>
      </c>
      <c r="U137">
        <f t="shared" si="67"/>
        <v>4409.8486281304185</v>
      </c>
      <c r="V137">
        <f t="shared" si="68"/>
        <v>4449.0833098861413</v>
      </c>
    </row>
    <row r="138" spans="18:24" x14ac:dyDescent="0.2">
      <c r="R138">
        <v>128.78715</v>
      </c>
      <c r="S138">
        <f t="shared" si="65"/>
        <v>4272.4898521499999</v>
      </c>
      <c r="T138">
        <f t="shared" ref="T138" si="69">$G$22+R138*30</f>
        <v>6315.688910838755</v>
      </c>
      <c r="U138">
        <f t="shared" ref="U138" si="70">$G$40+R138*30</f>
        <v>4433.4631281304182</v>
      </c>
      <c r="V138">
        <f t="shared" ref="V138" si="71">$G$53+R138*30</f>
        <v>4472.6978098861409</v>
      </c>
      <c r="W138">
        <v>0</v>
      </c>
      <c r="X138">
        <v>8000</v>
      </c>
    </row>
    <row r="139" spans="18:24" x14ac:dyDescent="0.2">
      <c r="R139">
        <v>129</v>
      </c>
      <c r="S139">
        <f t="shared" ref="S139:S202" si="72">$G$10+R139*30</f>
        <v>4278.8753521500003</v>
      </c>
      <c r="T139">
        <f t="shared" ref="T139:T170" si="73">$G$22+R139*30</f>
        <v>6322.0744108387553</v>
      </c>
      <c r="U139">
        <f t="shared" ref="U139:U170" si="74">$G$40+R139*30</f>
        <v>4439.8486281304185</v>
      </c>
      <c r="V139">
        <f t="shared" ref="V139:V170" si="75">$G$53+R139*30</f>
        <v>4479.0833098861413</v>
      </c>
    </row>
    <row r="140" spans="18:24" x14ac:dyDescent="0.2">
      <c r="R140">
        <v>130</v>
      </c>
      <c r="S140">
        <f t="shared" si="72"/>
        <v>4308.8753521500003</v>
      </c>
      <c r="T140">
        <f t="shared" si="73"/>
        <v>6352.0744108387553</v>
      </c>
      <c r="U140">
        <f t="shared" si="74"/>
        <v>4469.8486281304185</v>
      </c>
      <c r="V140">
        <f t="shared" si="75"/>
        <v>4509.0833098861413</v>
      </c>
    </row>
    <row r="141" spans="18:24" x14ac:dyDescent="0.2">
      <c r="R141">
        <v>131</v>
      </c>
      <c r="S141">
        <f t="shared" si="72"/>
        <v>4338.8753521500003</v>
      </c>
      <c r="T141">
        <f t="shared" si="73"/>
        <v>6382.0744108387553</v>
      </c>
      <c r="U141">
        <f t="shared" si="74"/>
        <v>4499.8486281304185</v>
      </c>
      <c r="V141">
        <f t="shared" si="75"/>
        <v>4539.0833098861413</v>
      </c>
    </row>
    <row r="142" spans="18:24" x14ac:dyDescent="0.2">
      <c r="R142">
        <v>132</v>
      </c>
      <c r="S142">
        <f t="shared" si="72"/>
        <v>4368.8753521500003</v>
      </c>
      <c r="T142">
        <f t="shared" si="73"/>
        <v>6412.0744108387553</v>
      </c>
      <c r="U142">
        <f t="shared" si="74"/>
        <v>4529.8486281304185</v>
      </c>
      <c r="V142">
        <f t="shared" si="75"/>
        <v>4569.0833098861413</v>
      </c>
    </row>
    <row r="143" spans="18:24" x14ac:dyDescent="0.2">
      <c r="R143">
        <v>133</v>
      </c>
      <c r="S143">
        <f t="shared" si="72"/>
        <v>4398.8753521500003</v>
      </c>
      <c r="T143">
        <f t="shared" si="73"/>
        <v>6442.0744108387553</v>
      </c>
      <c r="U143">
        <f t="shared" si="74"/>
        <v>4559.8486281304185</v>
      </c>
      <c r="V143">
        <f t="shared" si="75"/>
        <v>4599.0833098861413</v>
      </c>
    </row>
    <row r="144" spans="18:24" x14ac:dyDescent="0.2">
      <c r="R144">
        <v>134</v>
      </c>
      <c r="S144">
        <f t="shared" si="72"/>
        <v>4428.8753521500003</v>
      </c>
      <c r="T144">
        <f t="shared" si="73"/>
        <v>6472.0744108387553</v>
      </c>
      <c r="U144">
        <f t="shared" si="74"/>
        <v>4589.8486281304185</v>
      </c>
      <c r="V144">
        <f t="shared" si="75"/>
        <v>4629.0833098861413</v>
      </c>
    </row>
    <row r="145" spans="18:22" x14ac:dyDescent="0.2">
      <c r="R145">
        <v>135</v>
      </c>
      <c r="S145">
        <f t="shared" si="72"/>
        <v>4458.8753521500003</v>
      </c>
      <c r="T145">
        <f t="shared" si="73"/>
        <v>6502.0744108387553</v>
      </c>
      <c r="U145">
        <f t="shared" si="74"/>
        <v>4619.8486281304185</v>
      </c>
      <c r="V145">
        <f t="shared" si="75"/>
        <v>4659.0833098861413</v>
      </c>
    </row>
    <row r="146" spans="18:22" x14ac:dyDescent="0.2">
      <c r="R146">
        <v>136</v>
      </c>
      <c r="S146">
        <f t="shared" si="72"/>
        <v>4488.8753521500003</v>
      </c>
      <c r="T146">
        <f t="shared" si="73"/>
        <v>6532.0744108387553</v>
      </c>
      <c r="U146">
        <f t="shared" si="74"/>
        <v>4649.8486281304185</v>
      </c>
      <c r="V146">
        <f t="shared" si="75"/>
        <v>4689.0833098861413</v>
      </c>
    </row>
    <row r="147" spans="18:22" x14ac:dyDescent="0.2">
      <c r="R147">
        <v>137</v>
      </c>
      <c r="S147">
        <f t="shared" si="72"/>
        <v>4518.8753521500003</v>
      </c>
      <c r="T147">
        <f t="shared" si="73"/>
        <v>6562.0744108387553</v>
      </c>
      <c r="U147">
        <f t="shared" si="74"/>
        <v>4679.8486281304185</v>
      </c>
      <c r="V147">
        <f t="shared" si="75"/>
        <v>4719.0833098861413</v>
      </c>
    </row>
    <row r="148" spans="18:22" x14ac:dyDescent="0.2">
      <c r="R148">
        <v>138</v>
      </c>
      <c r="S148">
        <f t="shared" si="72"/>
        <v>4548.8753521500003</v>
      </c>
      <c r="T148">
        <f t="shared" si="73"/>
        <v>6592.0744108387553</v>
      </c>
      <c r="U148">
        <f t="shared" si="74"/>
        <v>4709.8486281304185</v>
      </c>
      <c r="V148">
        <f t="shared" si="75"/>
        <v>4749.0833098861413</v>
      </c>
    </row>
    <row r="149" spans="18:22" x14ac:dyDescent="0.2">
      <c r="R149">
        <v>139</v>
      </c>
      <c r="S149">
        <f t="shared" si="72"/>
        <v>4578.8753521500003</v>
      </c>
      <c r="T149">
        <f t="shared" si="73"/>
        <v>6622.0744108387553</v>
      </c>
      <c r="U149">
        <f t="shared" si="74"/>
        <v>4739.8486281304185</v>
      </c>
      <c r="V149">
        <f t="shared" si="75"/>
        <v>4779.0833098861413</v>
      </c>
    </row>
    <row r="150" spans="18:22" x14ac:dyDescent="0.2">
      <c r="R150">
        <v>140</v>
      </c>
      <c r="S150">
        <f t="shared" si="72"/>
        <v>4608.8753521500003</v>
      </c>
      <c r="T150">
        <f t="shared" si="73"/>
        <v>6652.0744108387553</v>
      </c>
      <c r="U150">
        <f t="shared" si="74"/>
        <v>4769.8486281304185</v>
      </c>
      <c r="V150">
        <f t="shared" si="75"/>
        <v>4809.0833098861413</v>
      </c>
    </row>
    <row r="151" spans="18:22" x14ac:dyDescent="0.2">
      <c r="R151">
        <v>141</v>
      </c>
      <c r="S151">
        <f t="shared" si="72"/>
        <v>4638.8753521500003</v>
      </c>
      <c r="T151">
        <f t="shared" si="73"/>
        <v>6682.0744108387553</v>
      </c>
      <c r="U151">
        <f t="shared" si="74"/>
        <v>4799.8486281304185</v>
      </c>
      <c r="V151">
        <f t="shared" si="75"/>
        <v>4839.0833098861413</v>
      </c>
    </row>
    <row r="152" spans="18:22" x14ac:dyDescent="0.2">
      <c r="R152">
        <v>142</v>
      </c>
      <c r="S152">
        <f t="shared" si="72"/>
        <v>4668.8753521500003</v>
      </c>
      <c r="T152">
        <f t="shared" si="73"/>
        <v>6712.0744108387553</v>
      </c>
      <c r="U152">
        <f t="shared" si="74"/>
        <v>4829.8486281304185</v>
      </c>
      <c r="V152">
        <f t="shared" si="75"/>
        <v>4869.0833098861413</v>
      </c>
    </row>
    <row r="153" spans="18:22" x14ac:dyDescent="0.2">
      <c r="R153">
        <v>143</v>
      </c>
      <c r="S153">
        <f t="shared" si="72"/>
        <v>4698.8753521500003</v>
      </c>
      <c r="T153">
        <f t="shared" si="73"/>
        <v>6742.0744108387553</v>
      </c>
      <c r="U153">
        <f t="shared" si="74"/>
        <v>4859.8486281304185</v>
      </c>
      <c r="V153">
        <f t="shared" si="75"/>
        <v>4899.0833098861413</v>
      </c>
    </row>
    <row r="154" spans="18:22" x14ac:dyDescent="0.2">
      <c r="R154">
        <v>144</v>
      </c>
      <c r="S154">
        <f t="shared" si="72"/>
        <v>4728.8753521500003</v>
      </c>
      <c r="T154">
        <f t="shared" si="73"/>
        <v>6772.0744108387553</v>
      </c>
      <c r="U154">
        <f t="shared" si="74"/>
        <v>4889.8486281304185</v>
      </c>
      <c r="V154">
        <f t="shared" si="75"/>
        <v>4929.0833098861413</v>
      </c>
    </row>
    <row r="155" spans="18:22" x14ac:dyDescent="0.2">
      <c r="R155">
        <v>145</v>
      </c>
      <c r="S155">
        <f t="shared" si="72"/>
        <v>4758.8753521500003</v>
      </c>
      <c r="T155">
        <f t="shared" si="73"/>
        <v>6802.0744108387553</v>
      </c>
      <c r="U155">
        <f t="shared" si="74"/>
        <v>4919.8486281304185</v>
      </c>
      <c r="V155">
        <f t="shared" si="75"/>
        <v>4959.0833098861413</v>
      </c>
    </row>
    <row r="156" spans="18:22" x14ac:dyDescent="0.2">
      <c r="R156">
        <v>146</v>
      </c>
      <c r="S156">
        <f t="shared" si="72"/>
        <v>4788.8753521500003</v>
      </c>
      <c r="T156">
        <f t="shared" si="73"/>
        <v>6832.0744108387553</v>
      </c>
      <c r="U156">
        <f t="shared" si="74"/>
        <v>4949.8486281304185</v>
      </c>
      <c r="V156">
        <f t="shared" si="75"/>
        <v>4989.0833098861413</v>
      </c>
    </row>
    <row r="157" spans="18:22" x14ac:dyDescent="0.2">
      <c r="R157">
        <v>147</v>
      </c>
      <c r="S157">
        <f t="shared" si="72"/>
        <v>4818.8753521500003</v>
      </c>
      <c r="T157">
        <f t="shared" si="73"/>
        <v>6862.0744108387553</v>
      </c>
      <c r="U157">
        <f t="shared" si="74"/>
        <v>4979.8486281304185</v>
      </c>
      <c r="V157">
        <f t="shared" si="75"/>
        <v>5019.0833098861413</v>
      </c>
    </row>
    <row r="158" spans="18:22" x14ac:dyDescent="0.2">
      <c r="R158">
        <v>148</v>
      </c>
      <c r="S158">
        <f t="shared" si="72"/>
        <v>4848.8753521500003</v>
      </c>
      <c r="T158">
        <f t="shared" si="73"/>
        <v>6892.0744108387553</v>
      </c>
      <c r="U158">
        <f t="shared" si="74"/>
        <v>5009.8486281304185</v>
      </c>
      <c r="V158">
        <f t="shared" si="75"/>
        <v>5049.0833098861413</v>
      </c>
    </row>
    <row r="159" spans="18:22" x14ac:dyDescent="0.2">
      <c r="R159">
        <v>149</v>
      </c>
      <c r="S159">
        <f t="shared" si="72"/>
        <v>4878.8753521500003</v>
      </c>
      <c r="T159">
        <f t="shared" si="73"/>
        <v>6922.0744108387553</v>
      </c>
      <c r="U159">
        <f t="shared" si="74"/>
        <v>5039.8486281304185</v>
      </c>
      <c r="V159">
        <f t="shared" si="75"/>
        <v>5079.0833098861413</v>
      </c>
    </row>
    <row r="160" spans="18:22" x14ac:dyDescent="0.2">
      <c r="R160">
        <v>150</v>
      </c>
      <c r="S160">
        <f t="shared" si="72"/>
        <v>4908.8753521500003</v>
      </c>
      <c r="T160">
        <f t="shared" si="73"/>
        <v>6952.0744108387553</v>
      </c>
      <c r="U160">
        <f t="shared" si="74"/>
        <v>5069.8486281304185</v>
      </c>
      <c r="V160">
        <f t="shared" si="75"/>
        <v>5109.0833098861413</v>
      </c>
    </row>
    <row r="161" spans="18:22" x14ac:dyDescent="0.2">
      <c r="R161">
        <v>151</v>
      </c>
      <c r="S161">
        <f t="shared" si="72"/>
        <v>4938.8753521500003</v>
      </c>
      <c r="T161">
        <f t="shared" si="73"/>
        <v>6982.0744108387553</v>
      </c>
      <c r="U161">
        <f t="shared" si="74"/>
        <v>5099.8486281304185</v>
      </c>
      <c r="V161">
        <f t="shared" si="75"/>
        <v>5139.0833098861413</v>
      </c>
    </row>
    <row r="162" spans="18:22" x14ac:dyDescent="0.2">
      <c r="R162">
        <v>152</v>
      </c>
      <c r="S162">
        <f t="shared" si="72"/>
        <v>4968.8753521500003</v>
      </c>
      <c r="T162">
        <f t="shared" si="73"/>
        <v>7012.0744108387553</v>
      </c>
      <c r="U162">
        <f t="shared" si="74"/>
        <v>5129.8486281304185</v>
      </c>
      <c r="V162">
        <f t="shared" si="75"/>
        <v>5169.0833098861413</v>
      </c>
    </row>
    <row r="163" spans="18:22" x14ac:dyDescent="0.2">
      <c r="R163">
        <v>153</v>
      </c>
      <c r="S163">
        <f t="shared" si="72"/>
        <v>4998.8753521500003</v>
      </c>
      <c r="T163">
        <f t="shared" si="73"/>
        <v>7042.0744108387553</v>
      </c>
      <c r="U163">
        <f t="shared" si="74"/>
        <v>5159.8486281304185</v>
      </c>
      <c r="V163">
        <f t="shared" si="75"/>
        <v>5199.0833098861413</v>
      </c>
    </row>
    <row r="164" spans="18:22" x14ac:dyDescent="0.2">
      <c r="R164">
        <v>154</v>
      </c>
      <c r="S164">
        <f t="shared" si="72"/>
        <v>5028.8753521500003</v>
      </c>
      <c r="T164">
        <f t="shared" si="73"/>
        <v>7072.0744108387553</v>
      </c>
      <c r="U164">
        <f t="shared" si="74"/>
        <v>5189.8486281304185</v>
      </c>
      <c r="V164">
        <f t="shared" si="75"/>
        <v>5229.0833098861413</v>
      </c>
    </row>
    <row r="165" spans="18:22" x14ac:dyDescent="0.2">
      <c r="R165">
        <v>155</v>
      </c>
      <c r="S165">
        <f t="shared" si="72"/>
        <v>5058.8753521500003</v>
      </c>
      <c r="T165">
        <f t="shared" si="73"/>
        <v>7102.0744108387553</v>
      </c>
      <c r="U165">
        <f t="shared" si="74"/>
        <v>5219.8486281304185</v>
      </c>
      <c r="V165">
        <f t="shared" si="75"/>
        <v>5259.0833098861413</v>
      </c>
    </row>
    <row r="166" spans="18:22" x14ac:dyDescent="0.2">
      <c r="R166">
        <v>156</v>
      </c>
      <c r="S166">
        <f t="shared" si="72"/>
        <v>5088.8753521500003</v>
      </c>
      <c r="T166">
        <f t="shared" si="73"/>
        <v>7132.0744108387553</v>
      </c>
      <c r="U166">
        <f t="shared" si="74"/>
        <v>5249.8486281304185</v>
      </c>
      <c r="V166">
        <f t="shared" si="75"/>
        <v>5289.0833098861413</v>
      </c>
    </row>
    <row r="167" spans="18:22" x14ac:dyDescent="0.2">
      <c r="R167">
        <v>157</v>
      </c>
      <c r="S167">
        <f t="shared" si="72"/>
        <v>5118.8753521500003</v>
      </c>
      <c r="T167">
        <f t="shared" si="73"/>
        <v>7162.0744108387553</v>
      </c>
      <c r="U167">
        <f t="shared" si="74"/>
        <v>5279.8486281304185</v>
      </c>
      <c r="V167">
        <f t="shared" si="75"/>
        <v>5319.0833098861413</v>
      </c>
    </row>
    <row r="168" spans="18:22" x14ac:dyDescent="0.2">
      <c r="R168">
        <v>158</v>
      </c>
      <c r="S168">
        <f t="shared" si="72"/>
        <v>5148.8753521500003</v>
      </c>
      <c r="T168">
        <f t="shared" si="73"/>
        <v>7192.0744108387553</v>
      </c>
      <c r="U168">
        <f t="shared" si="74"/>
        <v>5309.8486281304185</v>
      </c>
      <c r="V168">
        <f t="shared" si="75"/>
        <v>5349.0833098861413</v>
      </c>
    </row>
    <row r="169" spans="18:22" x14ac:dyDescent="0.2">
      <c r="R169">
        <v>159</v>
      </c>
      <c r="S169">
        <f t="shared" si="72"/>
        <v>5178.8753521500003</v>
      </c>
      <c r="T169">
        <f t="shared" si="73"/>
        <v>7222.0744108387553</v>
      </c>
      <c r="U169">
        <f t="shared" si="74"/>
        <v>5339.8486281304185</v>
      </c>
      <c r="V169">
        <f t="shared" si="75"/>
        <v>5379.0833098861413</v>
      </c>
    </row>
    <row r="170" spans="18:22" x14ac:dyDescent="0.2">
      <c r="R170">
        <v>160</v>
      </c>
      <c r="S170">
        <f t="shared" si="72"/>
        <v>5208.8753521500003</v>
      </c>
      <c r="T170">
        <f t="shared" si="73"/>
        <v>7252.0744108387553</v>
      </c>
      <c r="U170">
        <f t="shared" si="74"/>
        <v>5369.8486281304185</v>
      </c>
      <c r="V170">
        <f t="shared" si="75"/>
        <v>5409.0833098861413</v>
      </c>
    </row>
    <row r="171" spans="18:22" x14ac:dyDescent="0.2">
      <c r="R171">
        <v>161</v>
      </c>
      <c r="S171">
        <f t="shared" si="72"/>
        <v>5238.8753521500003</v>
      </c>
      <c r="T171">
        <f t="shared" ref="T171:T202" si="76">$G$22+R171*30</f>
        <v>7282.0744108387553</v>
      </c>
      <c r="U171">
        <f t="shared" ref="U171:U202" si="77">$G$40+R171*30</f>
        <v>5399.8486281304185</v>
      </c>
      <c r="V171">
        <f t="shared" ref="V171:V202" si="78">$G$53+R171*30</f>
        <v>5439.0833098861413</v>
      </c>
    </row>
    <row r="172" spans="18:22" x14ac:dyDescent="0.2">
      <c r="R172">
        <v>162</v>
      </c>
      <c r="S172">
        <f t="shared" si="72"/>
        <v>5268.8753521500003</v>
      </c>
      <c r="T172">
        <f t="shared" si="76"/>
        <v>7312.0744108387553</v>
      </c>
      <c r="U172">
        <f t="shared" si="77"/>
        <v>5429.8486281304185</v>
      </c>
      <c r="V172">
        <f t="shared" si="78"/>
        <v>5469.0833098861413</v>
      </c>
    </row>
    <row r="173" spans="18:22" x14ac:dyDescent="0.2">
      <c r="R173">
        <v>163</v>
      </c>
      <c r="S173">
        <f t="shared" si="72"/>
        <v>5298.8753521500003</v>
      </c>
      <c r="T173">
        <f t="shared" si="76"/>
        <v>7342.0744108387553</v>
      </c>
      <c r="U173">
        <f t="shared" si="77"/>
        <v>5459.8486281304185</v>
      </c>
      <c r="V173">
        <f t="shared" si="78"/>
        <v>5499.0833098861413</v>
      </c>
    </row>
    <row r="174" spans="18:22" x14ac:dyDescent="0.2">
      <c r="R174">
        <v>164</v>
      </c>
      <c r="S174">
        <f t="shared" si="72"/>
        <v>5328.8753521500003</v>
      </c>
      <c r="T174">
        <f t="shared" si="76"/>
        <v>7372.0744108387553</v>
      </c>
      <c r="U174">
        <f t="shared" si="77"/>
        <v>5489.8486281304185</v>
      </c>
      <c r="V174">
        <f t="shared" si="78"/>
        <v>5529.0833098861413</v>
      </c>
    </row>
    <row r="175" spans="18:22" x14ac:dyDescent="0.2">
      <c r="R175">
        <v>165</v>
      </c>
      <c r="S175">
        <f t="shared" si="72"/>
        <v>5358.8753521500003</v>
      </c>
      <c r="T175">
        <f t="shared" si="76"/>
        <v>7402.0744108387553</v>
      </c>
      <c r="U175">
        <f t="shared" si="77"/>
        <v>5519.8486281304185</v>
      </c>
      <c r="V175">
        <f t="shared" si="78"/>
        <v>5559.0833098861413</v>
      </c>
    </row>
    <row r="176" spans="18:22" x14ac:dyDescent="0.2">
      <c r="R176">
        <v>166</v>
      </c>
      <c r="S176">
        <f t="shared" si="72"/>
        <v>5388.8753521500003</v>
      </c>
      <c r="T176">
        <f t="shared" si="76"/>
        <v>7432.0744108387553</v>
      </c>
      <c r="U176">
        <f t="shared" si="77"/>
        <v>5549.8486281304185</v>
      </c>
      <c r="V176">
        <f t="shared" si="78"/>
        <v>5589.0833098861413</v>
      </c>
    </row>
    <row r="177" spans="18:22" x14ac:dyDescent="0.2">
      <c r="R177">
        <v>167</v>
      </c>
      <c r="S177">
        <f t="shared" si="72"/>
        <v>5418.8753521500003</v>
      </c>
      <c r="T177">
        <f t="shared" si="76"/>
        <v>7462.0744108387553</v>
      </c>
      <c r="U177">
        <f t="shared" si="77"/>
        <v>5579.8486281304185</v>
      </c>
      <c r="V177">
        <f t="shared" si="78"/>
        <v>5619.0833098861413</v>
      </c>
    </row>
    <row r="178" spans="18:22" x14ac:dyDescent="0.2">
      <c r="R178">
        <v>168</v>
      </c>
      <c r="S178">
        <f t="shared" si="72"/>
        <v>5448.8753521500003</v>
      </c>
      <c r="T178">
        <f t="shared" si="76"/>
        <v>7492.0744108387553</v>
      </c>
      <c r="U178">
        <f t="shared" si="77"/>
        <v>5609.8486281304185</v>
      </c>
      <c r="V178">
        <f t="shared" si="78"/>
        <v>5649.0833098861413</v>
      </c>
    </row>
    <row r="179" spans="18:22" x14ac:dyDescent="0.2">
      <c r="R179">
        <v>169</v>
      </c>
      <c r="S179">
        <f t="shared" si="72"/>
        <v>5478.8753521500003</v>
      </c>
      <c r="T179">
        <f t="shared" si="76"/>
        <v>7522.0744108387553</v>
      </c>
      <c r="U179">
        <f t="shared" si="77"/>
        <v>5639.8486281304185</v>
      </c>
      <c r="V179">
        <f t="shared" si="78"/>
        <v>5679.0833098861413</v>
      </c>
    </row>
    <row r="180" spans="18:22" x14ac:dyDescent="0.2">
      <c r="R180">
        <v>170</v>
      </c>
      <c r="S180">
        <f t="shared" si="72"/>
        <v>5508.8753521500003</v>
      </c>
      <c r="T180">
        <f t="shared" si="76"/>
        <v>7552.0744108387553</v>
      </c>
      <c r="U180">
        <f t="shared" si="77"/>
        <v>5669.8486281304185</v>
      </c>
      <c r="V180">
        <f t="shared" si="78"/>
        <v>5709.0833098861413</v>
      </c>
    </row>
    <row r="181" spans="18:22" x14ac:dyDescent="0.2">
      <c r="R181">
        <v>171</v>
      </c>
      <c r="S181">
        <f t="shared" si="72"/>
        <v>5538.8753521500003</v>
      </c>
      <c r="T181">
        <f t="shared" si="76"/>
        <v>7582.0744108387553</v>
      </c>
      <c r="U181">
        <f t="shared" si="77"/>
        <v>5699.8486281304185</v>
      </c>
      <c r="V181">
        <f t="shared" si="78"/>
        <v>5739.0833098861413</v>
      </c>
    </row>
    <row r="182" spans="18:22" x14ac:dyDescent="0.2">
      <c r="R182">
        <v>172</v>
      </c>
      <c r="S182">
        <f t="shared" si="72"/>
        <v>5568.8753521500003</v>
      </c>
      <c r="T182">
        <f t="shared" si="76"/>
        <v>7612.0744108387553</v>
      </c>
      <c r="U182">
        <f t="shared" si="77"/>
        <v>5729.8486281304185</v>
      </c>
      <c r="V182">
        <f t="shared" si="78"/>
        <v>5769.0833098861413</v>
      </c>
    </row>
    <row r="183" spans="18:22" x14ac:dyDescent="0.2">
      <c r="R183">
        <v>173</v>
      </c>
      <c r="S183">
        <f t="shared" si="72"/>
        <v>5598.8753521500003</v>
      </c>
      <c r="T183">
        <f t="shared" si="76"/>
        <v>7642.0744108387553</v>
      </c>
      <c r="U183">
        <f t="shared" si="77"/>
        <v>5759.8486281304185</v>
      </c>
      <c r="V183">
        <f t="shared" si="78"/>
        <v>5799.0833098861413</v>
      </c>
    </row>
    <row r="184" spans="18:22" x14ac:dyDescent="0.2">
      <c r="R184">
        <v>174</v>
      </c>
      <c r="S184">
        <f t="shared" si="72"/>
        <v>5628.8753521500003</v>
      </c>
      <c r="T184">
        <f t="shared" si="76"/>
        <v>7672.0744108387553</v>
      </c>
      <c r="U184">
        <f t="shared" si="77"/>
        <v>5789.8486281304185</v>
      </c>
      <c r="V184">
        <f t="shared" si="78"/>
        <v>5829.0833098861413</v>
      </c>
    </row>
    <row r="185" spans="18:22" x14ac:dyDescent="0.2">
      <c r="R185">
        <v>175</v>
      </c>
      <c r="S185">
        <f t="shared" si="72"/>
        <v>5658.8753521500003</v>
      </c>
      <c r="T185">
        <f t="shared" si="76"/>
        <v>7702.0744108387553</v>
      </c>
      <c r="U185">
        <f t="shared" si="77"/>
        <v>5819.8486281304185</v>
      </c>
      <c r="V185">
        <f t="shared" si="78"/>
        <v>5859.0833098861413</v>
      </c>
    </row>
    <row r="186" spans="18:22" x14ac:dyDescent="0.2">
      <c r="R186">
        <v>176</v>
      </c>
      <c r="S186">
        <f t="shared" si="72"/>
        <v>5688.8753521500003</v>
      </c>
      <c r="T186">
        <f t="shared" si="76"/>
        <v>7732.0744108387553</v>
      </c>
      <c r="U186">
        <f t="shared" si="77"/>
        <v>5849.8486281304185</v>
      </c>
      <c r="V186">
        <f t="shared" si="78"/>
        <v>5889.0833098861413</v>
      </c>
    </row>
    <row r="187" spans="18:22" x14ac:dyDescent="0.2">
      <c r="R187">
        <v>177</v>
      </c>
      <c r="S187">
        <f t="shared" si="72"/>
        <v>5718.8753521500003</v>
      </c>
      <c r="T187">
        <f t="shared" si="76"/>
        <v>7762.0744108387553</v>
      </c>
      <c r="U187">
        <f t="shared" si="77"/>
        <v>5879.8486281304185</v>
      </c>
      <c r="V187">
        <f t="shared" si="78"/>
        <v>5919.0833098861413</v>
      </c>
    </row>
    <row r="188" spans="18:22" x14ac:dyDescent="0.2">
      <c r="R188">
        <v>178</v>
      </c>
      <c r="S188">
        <f t="shared" si="72"/>
        <v>5748.8753521500003</v>
      </c>
      <c r="T188">
        <f t="shared" si="76"/>
        <v>7792.0744108387553</v>
      </c>
      <c r="U188">
        <f t="shared" si="77"/>
        <v>5909.8486281304185</v>
      </c>
      <c r="V188">
        <f t="shared" si="78"/>
        <v>5949.0833098861413</v>
      </c>
    </row>
    <row r="189" spans="18:22" x14ac:dyDescent="0.2">
      <c r="R189">
        <v>179</v>
      </c>
      <c r="S189">
        <f t="shared" si="72"/>
        <v>5778.8753521500003</v>
      </c>
      <c r="T189">
        <f t="shared" si="76"/>
        <v>7822.0744108387553</v>
      </c>
      <c r="U189">
        <f t="shared" si="77"/>
        <v>5939.8486281304185</v>
      </c>
      <c r="V189">
        <f t="shared" si="78"/>
        <v>5979.0833098861413</v>
      </c>
    </row>
    <row r="190" spans="18:22" x14ac:dyDescent="0.2">
      <c r="R190">
        <v>180</v>
      </c>
      <c r="S190">
        <f t="shared" si="72"/>
        <v>5808.8753521500003</v>
      </c>
      <c r="T190">
        <f t="shared" si="76"/>
        <v>7852.0744108387553</v>
      </c>
      <c r="U190">
        <f t="shared" si="77"/>
        <v>5969.8486281304185</v>
      </c>
      <c r="V190">
        <f t="shared" si="78"/>
        <v>6009.0833098861413</v>
      </c>
    </row>
    <row r="191" spans="18:22" x14ac:dyDescent="0.2">
      <c r="R191">
        <v>181</v>
      </c>
      <c r="S191">
        <f t="shared" si="72"/>
        <v>5838.8753521500003</v>
      </c>
      <c r="T191">
        <f t="shared" si="76"/>
        <v>7882.0744108387553</v>
      </c>
      <c r="U191">
        <f t="shared" si="77"/>
        <v>5999.8486281304185</v>
      </c>
      <c r="V191">
        <f t="shared" si="78"/>
        <v>6039.0833098861413</v>
      </c>
    </row>
    <row r="192" spans="18:22" x14ac:dyDescent="0.2">
      <c r="R192">
        <v>182</v>
      </c>
      <c r="S192">
        <f t="shared" si="72"/>
        <v>5868.8753521500003</v>
      </c>
      <c r="T192">
        <f t="shared" si="76"/>
        <v>7912.0744108387553</v>
      </c>
      <c r="U192">
        <f t="shared" si="77"/>
        <v>6029.8486281304185</v>
      </c>
      <c r="V192">
        <f t="shared" si="78"/>
        <v>6069.0833098861413</v>
      </c>
    </row>
    <row r="193" spans="18:22" x14ac:dyDescent="0.2">
      <c r="R193">
        <v>183</v>
      </c>
      <c r="S193">
        <f t="shared" si="72"/>
        <v>5898.8753521500003</v>
      </c>
      <c r="T193">
        <f t="shared" si="76"/>
        <v>7942.0744108387553</v>
      </c>
      <c r="U193">
        <f t="shared" si="77"/>
        <v>6059.8486281304185</v>
      </c>
      <c r="V193">
        <f t="shared" si="78"/>
        <v>6099.0833098861413</v>
      </c>
    </row>
    <row r="194" spans="18:22" x14ac:dyDescent="0.2">
      <c r="R194">
        <v>184</v>
      </c>
      <c r="S194">
        <f t="shared" si="72"/>
        <v>5928.8753521500003</v>
      </c>
      <c r="T194">
        <f t="shared" si="76"/>
        <v>7972.0744108387553</v>
      </c>
      <c r="U194">
        <f t="shared" si="77"/>
        <v>6089.8486281304185</v>
      </c>
      <c r="V194">
        <f t="shared" si="78"/>
        <v>6129.0833098861413</v>
      </c>
    </row>
    <row r="195" spans="18:22" x14ac:dyDescent="0.2">
      <c r="R195">
        <v>185</v>
      </c>
      <c r="S195">
        <f t="shared" si="72"/>
        <v>5958.8753521500003</v>
      </c>
      <c r="T195">
        <f t="shared" si="76"/>
        <v>8002.0744108387553</v>
      </c>
      <c r="U195">
        <f t="shared" si="77"/>
        <v>6119.8486281304185</v>
      </c>
      <c r="V195">
        <f t="shared" si="78"/>
        <v>6159.0833098861413</v>
      </c>
    </row>
    <row r="196" spans="18:22" x14ac:dyDescent="0.2">
      <c r="R196">
        <v>186</v>
      </c>
      <c r="S196">
        <f t="shared" si="72"/>
        <v>5988.8753521500003</v>
      </c>
      <c r="T196">
        <f t="shared" si="76"/>
        <v>8032.0744108387553</v>
      </c>
      <c r="U196">
        <f t="shared" si="77"/>
        <v>6149.8486281304185</v>
      </c>
      <c r="V196">
        <f t="shared" si="78"/>
        <v>6189.0833098861413</v>
      </c>
    </row>
    <row r="197" spans="18:22" x14ac:dyDescent="0.2">
      <c r="R197">
        <v>187</v>
      </c>
      <c r="S197">
        <f t="shared" si="72"/>
        <v>6018.8753521500003</v>
      </c>
      <c r="T197">
        <f t="shared" si="76"/>
        <v>8062.0744108387553</v>
      </c>
      <c r="U197">
        <f t="shared" si="77"/>
        <v>6179.8486281304185</v>
      </c>
      <c r="V197">
        <f t="shared" si="78"/>
        <v>6219.0833098861413</v>
      </c>
    </row>
    <row r="198" spans="18:22" x14ac:dyDescent="0.2">
      <c r="R198">
        <v>188</v>
      </c>
      <c r="S198">
        <f t="shared" si="72"/>
        <v>6048.8753521500003</v>
      </c>
      <c r="T198">
        <f t="shared" si="76"/>
        <v>8092.0744108387553</v>
      </c>
      <c r="U198">
        <f t="shared" si="77"/>
        <v>6209.8486281304185</v>
      </c>
      <c r="V198">
        <f t="shared" si="78"/>
        <v>6249.0833098861413</v>
      </c>
    </row>
    <row r="199" spans="18:22" x14ac:dyDescent="0.2">
      <c r="R199">
        <v>189</v>
      </c>
      <c r="S199">
        <f t="shared" si="72"/>
        <v>6078.8753521500003</v>
      </c>
      <c r="T199">
        <f t="shared" si="76"/>
        <v>8122.0744108387553</v>
      </c>
      <c r="U199">
        <f t="shared" si="77"/>
        <v>6239.8486281304185</v>
      </c>
      <c r="V199">
        <f t="shared" si="78"/>
        <v>6279.0833098861413</v>
      </c>
    </row>
    <row r="200" spans="18:22" x14ac:dyDescent="0.2">
      <c r="R200">
        <v>190</v>
      </c>
      <c r="S200">
        <f t="shared" si="72"/>
        <v>6108.8753521500003</v>
      </c>
      <c r="T200">
        <f t="shared" si="76"/>
        <v>8152.0744108387553</v>
      </c>
      <c r="U200">
        <f t="shared" si="77"/>
        <v>6269.8486281304185</v>
      </c>
      <c r="V200">
        <f t="shared" si="78"/>
        <v>6309.0833098861413</v>
      </c>
    </row>
    <row r="201" spans="18:22" x14ac:dyDescent="0.2">
      <c r="R201">
        <v>191</v>
      </c>
      <c r="S201">
        <f t="shared" si="72"/>
        <v>6138.8753521500003</v>
      </c>
      <c r="T201">
        <f t="shared" si="76"/>
        <v>8182.0744108387553</v>
      </c>
      <c r="U201">
        <f t="shared" si="77"/>
        <v>6299.8486281304185</v>
      </c>
      <c r="V201">
        <f t="shared" si="78"/>
        <v>6339.0833098861413</v>
      </c>
    </row>
    <row r="202" spans="18:22" x14ac:dyDescent="0.2">
      <c r="R202">
        <v>192</v>
      </c>
      <c r="S202">
        <f t="shared" si="72"/>
        <v>6168.8753521500003</v>
      </c>
      <c r="T202">
        <f t="shared" si="76"/>
        <v>8212.0744108387553</v>
      </c>
      <c r="U202">
        <f t="shared" si="77"/>
        <v>6329.8486281304185</v>
      </c>
      <c r="V202">
        <f t="shared" si="78"/>
        <v>6369.0833098861413</v>
      </c>
    </row>
    <row r="203" spans="18:22" x14ac:dyDescent="0.2">
      <c r="R203">
        <v>193</v>
      </c>
      <c r="S203">
        <f t="shared" ref="S203:S210" si="79">$G$10+R203*30</f>
        <v>6198.8753521500003</v>
      </c>
      <c r="T203">
        <f t="shared" ref="T203:T210" si="80">$G$22+R203*30</f>
        <v>8242.0744108387553</v>
      </c>
      <c r="U203">
        <f t="shared" ref="U203:U210" si="81">$G$40+R203*30</f>
        <v>6359.8486281304185</v>
      </c>
      <c r="V203">
        <f t="shared" ref="V203:V210" si="82">$G$53+R203*30</f>
        <v>6399.0833098861413</v>
      </c>
    </row>
    <row r="204" spans="18:22" x14ac:dyDescent="0.2">
      <c r="R204">
        <v>194</v>
      </c>
      <c r="S204">
        <f t="shared" si="79"/>
        <v>6228.8753521500003</v>
      </c>
      <c r="T204">
        <f t="shared" si="80"/>
        <v>8272.0744108387553</v>
      </c>
      <c r="U204">
        <f t="shared" si="81"/>
        <v>6389.8486281304185</v>
      </c>
      <c r="V204">
        <f t="shared" si="82"/>
        <v>6429.0833098861413</v>
      </c>
    </row>
    <row r="205" spans="18:22" x14ac:dyDescent="0.2">
      <c r="R205">
        <v>195</v>
      </c>
      <c r="S205">
        <f t="shared" si="79"/>
        <v>6258.8753521500003</v>
      </c>
      <c r="T205">
        <f t="shared" si="80"/>
        <v>8302.0744108387553</v>
      </c>
      <c r="U205">
        <f t="shared" si="81"/>
        <v>6419.8486281304185</v>
      </c>
      <c r="V205">
        <f t="shared" si="82"/>
        <v>6459.0833098861413</v>
      </c>
    </row>
    <row r="206" spans="18:22" x14ac:dyDescent="0.2">
      <c r="R206">
        <v>196</v>
      </c>
      <c r="S206">
        <f t="shared" si="79"/>
        <v>6288.8753521500003</v>
      </c>
      <c r="T206">
        <f t="shared" si="80"/>
        <v>8332.0744108387553</v>
      </c>
      <c r="U206">
        <f t="shared" si="81"/>
        <v>6449.8486281304185</v>
      </c>
      <c r="V206">
        <f t="shared" si="82"/>
        <v>6489.0833098861413</v>
      </c>
    </row>
    <row r="207" spans="18:22" x14ac:dyDescent="0.2">
      <c r="R207">
        <v>197</v>
      </c>
      <c r="S207">
        <f t="shared" si="79"/>
        <v>6318.8753521500003</v>
      </c>
      <c r="T207">
        <f t="shared" si="80"/>
        <v>8362.0744108387553</v>
      </c>
      <c r="U207">
        <f t="shared" si="81"/>
        <v>6479.8486281304185</v>
      </c>
      <c r="V207">
        <f t="shared" si="82"/>
        <v>6519.0833098861413</v>
      </c>
    </row>
    <row r="208" spans="18:22" x14ac:dyDescent="0.2">
      <c r="R208">
        <v>198</v>
      </c>
      <c r="S208">
        <f t="shared" si="79"/>
        <v>6348.8753521500003</v>
      </c>
      <c r="T208">
        <f t="shared" si="80"/>
        <v>8392.0744108387553</v>
      </c>
      <c r="U208">
        <f t="shared" si="81"/>
        <v>6509.8486281304185</v>
      </c>
      <c r="V208">
        <f t="shared" si="82"/>
        <v>6549.0833098861413</v>
      </c>
    </row>
    <row r="209" spans="18:22" x14ac:dyDescent="0.2">
      <c r="R209">
        <v>199</v>
      </c>
      <c r="S209">
        <f t="shared" si="79"/>
        <v>6378.8753521500003</v>
      </c>
      <c r="T209">
        <f t="shared" si="80"/>
        <v>8422.0744108387553</v>
      </c>
      <c r="U209">
        <f t="shared" si="81"/>
        <v>6539.8486281304185</v>
      </c>
      <c r="V209">
        <f t="shared" si="82"/>
        <v>6579.0833098861413</v>
      </c>
    </row>
    <row r="210" spans="18:22" x14ac:dyDescent="0.2">
      <c r="R210">
        <v>200</v>
      </c>
      <c r="S210">
        <f t="shared" si="79"/>
        <v>6408.8753521500003</v>
      </c>
      <c r="T210">
        <f t="shared" si="80"/>
        <v>8452.0744108387553</v>
      </c>
      <c r="U210">
        <f t="shared" si="81"/>
        <v>6569.8486281304185</v>
      </c>
      <c r="V210">
        <f t="shared" si="82"/>
        <v>6609.0833098861413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1CF1F-6B22-47C2-9CBE-A9A9F2816A79}">
  <dimension ref="A2:AH39"/>
  <sheetViews>
    <sheetView workbookViewId="0">
      <selection activeCell="I21" sqref="I21"/>
    </sheetView>
  </sheetViews>
  <sheetFormatPr defaultRowHeight="14.25" x14ac:dyDescent="0.2"/>
  <cols>
    <col min="12" max="12" width="9" style="10"/>
    <col min="23" max="23" width="9" style="10"/>
    <col min="34" max="34" width="9" style="10"/>
  </cols>
  <sheetData>
    <row r="2" spans="1:34" ht="15" thickBot="1" x14ac:dyDescent="0.25"/>
    <row r="3" spans="1:34" s="34" customFormat="1" ht="15" thickBot="1" x14ac:dyDescent="0.25">
      <c r="A3" s="33"/>
      <c r="B3" s="108" t="s">
        <v>764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  <c r="M3" s="108" t="s">
        <v>766</v>
      </c>
      <c r="N3" s="108"/>
      <c r="O3" s="108"/>
      <c r="P3" s="108"/>
      <c r="Q3" s="108"/>
      <c r="R3" s="108"/>
      <c r="S3" s="108"/>
      <c r="T3" s="108"/>
      <c r="U3" s="108"/>
      <c r="V3" s="108"/>
      <c r="W3" s="109"/>
      <c r="X3" s="108" t="s">
        <v>767</v>
      </c>
      <c r="Y3" s="108"/>
      <c r="Z3" s="108"/>
      <c r="AA3" s="108"/>
      <c r="AB3" s="108"/>
      <c r="AC3" s="108"/>
      <c r="AD3" s="108"/>
      <c r="AE3" s="108"/>
      <c r="AF3" s="108"/>
      <c r="AG3" s="108"/>
      <c r="AH3" s="109"/>
    </row>
    <row r="4" spans="1:34" s="34" customFormat="1" ht="15" thickBot="1" x14ac:dyDescent="0.25">
      <c r="A4" s="33"/>
      <c r="B4" s="108" t="s">
        <v>761</v>
      </c>
      <c r="C4" s="108"/>
      <c r="D4" s="108"/>
      <c r="E4" s="108"/>
      <c r="F4" s="108"/>
      <c r="G4" s="108"/>
      <c r="H4" s="108"/>
      <c r="I4" s="108"/>
      <c r="J4" s="108"/>
      <c r="K4" s="108"/>
      <c r="L4" s="109"/>
      <c r="M4" s="108" t="s">
        <v>761</v>
      </c>
      <c r="N4" s="108"/>
      <c r="O4" s="108"/>
      <c r="P4" s="108"/>
      <c r="Q4" s="108"/>
      <c r="R4" s="108"/>
      <c r="S4" s="108"/>
      <c r="T4" s="108"/>
      <c r="U4" s="108"/>
      <c r="V4" s="108"/>
      <c r="W4" s="109"/>
      <c r="X4" s="108" t="s">
        <v>761</v>
      </c>
      <c r="Y4" s="108"/>
      <c r="Z4" s="108"/>
      <c r="AA4" s="108"/>
      <c r="AB4" s="108"/>
      <c r="AC4" s="108"/>
      <c r="AD4" s="108"/>
      <c r="AE4" s="108"/>
      <c r="AF4" s="108"/>
      <c r="AG4" s="108"/>
      <c r="AH4" s="109"/>
    </row>
    <row r="6" spans="1:34" x14ac:dyDescent="0.2">
      <c r="B6" t="s">
        <v>649</v>
      </c>
      <c r="F6" t="s">
        <v>224</v>
      </c>
      <c r="I6" t="s">
        <v>407</v>
      </c>
      <c r="N6" t="s">
        <v>649</v>
      </c>
      <c r="Q6" t="s">
        <v>224</v>
      </c>
      <c r="T6" t="s">
        <v>407</v>
      </c>
      <c r="Y6" t="s">
        <v>649</v>
      </c>
      <c r="AB6" t="s">
        <v>224</v>
      </c>
      <c r="AE6" t="s">
        <v>407</v>
      </c>
    </row>
    <row r="7" spans="1:34" x14ac:dyDescent="0.2">
      <c r="B7" t="s">
        <v>12</v>
      </c>
      <c r="C7" t="s">
        <v>51</v>
      </c>
      <c r="D7" t="s">
        <v>39</v>
      </c>
      <c r="N7" t="s">
        <v>12</v>
      </c>
      <c r="O7" t="s">
        <v>52</v>
      </c>
      <c r="Y7" t="s">
        <v>12</v>
      </c>
      <c r="Z7" t="s">
        <v>52</v>
      </c>
    </row>
    <row r="8" spans="1:34" x14ac:dyDescent="0.2">
      <c r="B8">
        <v>15</v>
      </c>
      <c r="C8">
        <v>493.6</v>
      </c>
      <c r="D8">
        <v>3346</v>
      </c>
      <c r="F8" t="s">
        <v>51</v>
      </c>
      <c r="G8">
        <v>5790</v>
      </c>
      <c r="I8" t="s">
        <v>51</v>
      </c>
      <c r="J8">
        <v>1080.407526374689</v>
      </c>
      <c r="N8">
        <v>15</v>
      </c>
      <c r="O8">
        <f>3.86*10^4</f>
        <v>38600</v>
      </c>
      <c r="Q8" t="s">
        <v>290</v>
      </c>
      <c r="R8">
        <v>68900</v>
      </c>
      <c r="T8" t="s">
        <v>51</v>
      </c>
      <c r="U8">
        <v>3779.464772641847</v>
      </c>
      <c r="Y8">
        <v>15</v>
      </c>
      <c r="Z8">
        <v>295370</v>
      </c>
      <c r="AB8" t="s">
        <v>51</v>
      </c>
      <c r="AC8">
        <v>112799.99999999999</v>
      </c>
      <c r="AE8" t="s">
        <v>51</v>
      </c>
      <c r="AF8">
        <v>19023.828568862544</v>
      </c>
    </row>
    <row r="9" spans="1:34" x14ac:dyDescent="0.2">
      <c r="B9">
        <v>20</v>
      </c>
      <c r="C9">
        <v>533.27</v>
      </c>
      <c r="D9">
        <f>6.4808*B9+3255.9</f>
        <v>3385.5160000000001</v>
      </c>
      <c r="F9" t="s">
        <v>39</v>
      </c>
      <c r="G9">
        <v>12600</v>
      </c>
      <c r="I9" t="s">
        <v>39</v>
      </c>
      <c r="J9">
        <v>9402</v>
      </c>
      <c r="N9">
        <v>20</v>
      </c>
      <c r="O9">
        <f>3.89*10^4</f>
        <v>38900</v>
      </c>
      <c r="T9" t="s">
        <v>39</v>
      </c>
      <c r="U9">
        <v>65766</v>
      </c>
      <c r="Y9">
        <v>20</v>
      </c>
      <c r="Z9">
        <v>298610</v>
      </c>
      <c r="AB9" t="s">
        <v>39</v>
      </c>
      <c r="AC9">
        <v>185500</v>
      </c>
      <c r="AE9" t="s">
        <v>39</v>
      </c>
      <c r="AF9">
        <v>624000</v>
      </c>
    </row>
    <row r="10" spans="1:34" x14ac:dyDescent="0.2">
      <c r="B10">
        <v>30</v>
      </c>
      <c r="C10">
        <f>6.4847*B10+403.5</f>
        <v>598.04099999999994</v>
      </c>
      <c r="D10">
        <f>6.4808*B10+3255.9</f>
        <v>3450.3240000000001</v>
      </c>
      <c r="N10">
        <v>30</v>
      </c>
      <c r="O10">
        <f>63.611*N10+37633</f>
        <v>39541.33</v>
      </c>
      <c r="Y10">
        <v>30</v>
      </c>
      <c r="Z10">
        <v>305000</v>
      </c>
    </row>
    <row r="11" spans="1:34" x14ac:dyDescent="0.2">
      <c r="B11">
        <v>40</v>
      </c>
      <c r="C11">
        <f>6.4847*B11+403.5</f>
        <v>662.88800000000003</v>
      </c>
      <c r="D11">
        <f>6.4808*B11+3255.9</f>
        <v>3515.1320000000001</v>
      </c>
      <c r="N11">
        <v>40</v>
      </c>
      <c r="O11">
        <f>63.611*N11+37633</f>
        <v>40177.440000000002</v>
      </c>
      <c r="Y11">
        <v>40</v>
      </c>
      <c r="Z11">
        <v>312000</v>
      </c>
    </row>
    <row r="12" spans="1:34" x14ac:dyDescent="0.2">
      <c r="B12">
        <v>50</v>
      </c>
      <c r="C12">
        <v>739.8</v>
      </c>
      <c r="D12">
        <v>3592</v>
      </c>
      <c r="I12" t="s">
        <v>367</v>
      </c>
      <c r="J12">
        <v>2548.4</v>
      </c>
      <c r="N12">
        <v>50</v>
      </c>
      <c r="O12">
        <f>4.08*10^4</f>
        <v>40800</v>
      </c>
      <c r="T12" t="s">
        <v>367</v>
      </c>
      <c r="U12">
        <v>21250</v>
      </c>
      <c r="Y12">
        <v>50</v>
      </c>
      <c r="Z12">
        <v>318000</v>
      </c>
      <c r="AE12" t="s">
        <v>367</v>
      </c>
      <c r="AF12">
        <v>282540</v>
      </c>
    </row>
    <row r="13" spans="1:34" x14ac:dyDescent="0.2">
      <c r="B13">
        <v>60</v>
      </c>
      <c r="C13">
        <f>6.4847*B13+403.5</f>
        <v>792.58199999999999</v>
      </c>
      <c r="D13">
        <f>6.4808*B13+3255.9</f>
        <v>3644.748</v>
      </c>
      <c r="N13">
        <v>60</v>
      </c>
      <c r="O13">
        <f>63.611*N13+37633</f>
        <v>41449.660000000003</v>
      </c>
      <c r="Y13">
        <v>60</v>
      </c>
      <c r="Z13">
        <v>325000</v>
      </c>
    </row>
    <row r="14" spans="1:34" x14ac:dyDescent="0.2">
      <c r="B14">
        <v>70</v>
      </c>
      <c r="C14">
        <f>6.4847*B14+403.5</f>
        <v>857.42900000000009</v>
      </c>
      <c r="D14">
        <f>6.4808*B14+3255.9</f>
        <v>3709.556</v>
      </c>
      <c r="N14">
        <v>70</v>
      </c>
      <c r="O14">
        <f>63.611*N14+37633</f>
        <v>42085.77</v>
      </c>
      <c r="Y14">
        <v>70</v>
      </c>
      <c r="Z14">
        <v>331000</v>
      </c>
    </row>
    <row r="15" spans="1:34" x14ac:dyDescent="0.2">
      <c r="B15">
        <v>80</v>
      </c>
      <c r="C15">
        <f>6.4847*B15+403.5</f>
        <v>922.27600000000007</v>
      </c>
      <c r="D15">
        <f>6.4808*B15+3255.9</f>
        <v>3774.364</v>
      </c>
      <c r="I15" t="s">
        <v>236</v>
      </c>
      <c r="J15">
        <v>1113.2</v>
      </c>
      <c r="N15">
        <v>80</v>
      </c>
      <c r="O15">
        <f>63.611*N15+37633</f>
        <v>42721.88</v>
      </c>
      <c r="T15" t="s">
        <v>236</v>
      </c>
      <c r="U15">
        <v>6560.6</v>
      </c>
      <c r="Y15">
        <v>80</v>
      </c>
      <c r="Z15">
        <v>337000</v>
      </c>
      <c r="AE15" t="s">
        <v>236</v>
      </c>
      <c r="AF15">
        <v>39429</v>
      </c>
    </row>
    <row r="16" spans="1:34" x14ac:dyDescent="0.2">
      <c r="B16">
        <v>90</v>
      </c>
      <c r="C16">
        <f>6.4847*B16+403.5</f>
        <v>987.12300000000005</v>
      </c>
      <c r="D16">
        <f>6.4808*B16+3255.9</f>
        <v>3839.172</v>
      </c>
      <c r="N16">
        <v>90</v>
      </c>
      <c r="O16">
        <f>63.611*N16+37633</f>
        <v>43357.99</v>
      </c>
      <c r="Y16">
        <v>90</v>
      </c>
      <c r="Z16">
        <v>344000</v>
      </c>
    </row>
    <row r="17" spans="1:34" x14ac:dyDescent="0.2">
      <c r="B17">
        <v>100</v>
      </c>
      <c r="C17">
        <v>1047</v>
      </c>
      <c r="D17">
        <v>3899</v>
      </c>
      <c r="N17">
        <v>100</v>
      </c>
      <c r="O17">
        <f>4.4*10^4</f>
        <v>44000</v>
      </c>
      <c r="Y17">
        <v>100</v>
      </c>
      <c r="Z17">
        <v>350000</v>
      </c>
    </row>
    <row r="23" spans="1:34" ht="15" thickBot="1" x14ac:dyDescent="0.25"/>
    <row r="24" spans="1:34" s="34" customFormat="1" ht="15" thickBot="1" x14ac:dyDescent="0.25">
      <c r="A24" s="33"/>
      <c r="B24" s="108" t="s">
        <v>103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9"/>
      <c r="M24" s="108" t="s">
        <v>103</v>
      </c>
      <c r="N24" s="108"/>
      <c r="O24" s="108"/>
      <c r="P24" s="108"/>
      <c r="Q24" s="108"/>
      <c r="R24" s="108"/>
      <c r="S24" s="108"/>
      <c r="T24" s="108"/>
      <c r="U24" s="108"/>
      <c r="V24" s="108"/>
      <c r="W24" s="109"/>
      <c r="X24" s="108" t="s">
        <v>103</v>
      </c>
      <c r="Y24" s="108"/>
      <c r="Z24" s="108"/>
      <c r="AA24" s="108"/>
      <c r="AB24" s="108"/>
      <c r="AC24" s="108"/>
      <c r="AD24" s="108"/>
      <c r="AE24" s="108"/>
      <c r="AF24" s="108"/>
      <c r="AG24" s="108"/>
      <c r="AH24" s="109"/>
    </row>
    <row r="26" spans="1:34" x14ac:dyDescent="0.2">
      <c r="B26" t="s">
        <v>89</v>
      </c>
      <c r="C26" t="s">
        <v>649</v>
      </c>
      <c r="D26" t="s">
        <v>224</v>
      </c>
      <c r="E26" t="s">
        <v>405</v>
      </c>
      <c r="F26" t="s">
        <v>406</v>
      </c>
      <c r="N26" t="s">
        <v>89</v>
      </c>
      <c r="O26" t="s">
        <v>649</v>
      </c>
      <c r="P26" t="s">
        <v>224</v>
      </c>
      <c r="Q26" t="s">
        <v>405</v>
      </c>
      <c r="R26" t="s">
        <v>406</v>
      </c>
      <c r="Y26" t="s">
        <v>89</v>
      </c>
      <c r="Z26" t="s">
        <v>649</v>
      </c>
      <c r="AA26" t="s">
        <v>224</v>
      </c>
      <c r="AB26" t="s">
        <v>405</v>
      </c>
      <c r="AC26" t="s">
        <v>406</v>
      </c>
    </row>
    <row r="27" spans="1:34" x14ac:dyDescent="0.2">
      <c r="B27">
        <v>10</v>
      </c>
      <c r="C27">
        <v>1328.382318852</v>
      </c>
      <c r="D27">
        <v>317.66154639592816</v>
      </c>
      <c r="E27">
        <v>97.371012448344047</v>
      </c>
      <c r="F27">
        <v>157.16497355688151</v>
      </c>
      <c r="N27">
        <v>100</v>
      </c>
      <c r="O27">
        <v>12911.62824084</v>
      </c>
      <c r="P27">
        <v>4020.2479368071267</v>
      </c>
      <c r="Q27">
        <v>948.77402037361412</v>
      </c>
      <c r="R27">
        <v>1316.3682778865295</v>
      </c>
      <c r="Y27">
        <v>1000</v>
      </c>
      <c r="Z27">
        <v>129187.24956659201</v>
      </c>
      <c r="AA27">
        <v>13555.872761335057</v>
      </c>
      <c r="AB27">
        <v>9523.2302112046418</v>
      </c>
      <c r="AC27">
        <v>11329.249672973039</v>
      </c>
    </row>
    <row r="29" spans="1:34" x14ac:dyDescent="0.2">
      <c r="C29">
        <f>C27*30</f>
        <v>39851.469565560001</v>
      </c>
      <c r="D29">
        <f t="shared" ref="D29:F29" si="0">D27*30</f>
        <v>9529.8463918778452</v>
      </c>
      <c r="E29">
        <f t="shared" si="0"/>
        <v>2921.1303734503213</v>
      </c>
      <c r="F29">
        <f t="shared" si="0"/>
        <v>4714.9492067064448</v>
      </c>
      <c r="O29">
        <f>O27*30</f>
        <v>387348.84722520004</v>
      </c>
      <c r="P29">
        <f t="shared" ref="P29:R29" si="1">P27*30</f>
        <v>120607.4381042138</v>
      </c>
      <c r="Q29">
        <f t="shared" si="1"/>
        <v>28463.220611208424</v>
      </c>
      <c r="R29">
        <f t="shared" si="1"/>
        <v>39491.048336595886</v>
      </c>
      <c r="Z29">
        <f>Z27*30</f>
        <v>3875617.4869977604</v>
      </c>
      <c r="AA29">
        <f t="shared" ref="AA29:AC29" si="2">AA27*30</f>
        <v>406676.18284005171</v>
      </c>
      <c r="AB29">
        <f t="shared" si="2"/>
        <v>285696.90633613925</v>
      </c>
      <c r="AC29">
        <f t="shared" si="2"/>
        <v>339877.49018919119</v>
      </c>
    </row>
    <row r="30" spans="1:34" ht="15" thickBot="1" x14ac:dyDescent="0.25"/>
    <row r="31" spans="1:34" s="34" customFormat="1" ht="15" thickBot="1" x14ac:dyDescent="0.25">
      <c r="A31" s="33"/>
      <c r="B31" s="108" t="s">
        <v>290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9"/>
      <c r="M31" s="108" t="s">
        <v>290</v>
      </c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108" t="s">
        <v>290</v>
      </c>
      <c r="Y31" s="108"/>
      <c r="Z31" s="108"/>
      <c r="AA31" s="108"/>
      <c r="AB31" s="108"/>
      <c r="AC31" s="108"/>
      <c r="AD31" s="108"/>
      <c r="AE31" s="108"/>
      <c r="AF31" s="108"/>
      <c r="AG31" s="108"/>
      <c r="AH31" s="109"/>
    </row>
    <row r="34" spans="2:33" x14ac:dyDescent="0.2">
      <c r="C34" s="86" t="s">
        <v>51</v>
      </c>
      <c r="D34" s="86"/>
      <c r="E34" s="86"/>
      <c r="F34" s="86"/>
      <c r="G34" s="86" t="s">
        <v>39</v>
      </c>
      <c r="H34" s="86"/>
      <c r="I34" s="86"/>
      <c r="J34" s="86"/>
      <c r="O34" s="86" t="s">
        <v>51</v>
      </c>
      <c r="P34" s="86"/>
      <c r="Q34" s="86"/>
      <c r="R34" s="86"/>
      <c r="S34" s="86" t="s">
        <v>39</v>
      </c>
      <c r="T34" s="86"/>
      <c r="U34" s="86"/>
      <c r="V34" s="86"/>
      <c r="Z34" s="86" t="s">
        <v>51</v>
      </c>
      <c r="AA34" s="86"/>
      <c r="AB34" s="86"/>
      <c r="AC34" s="86"/>
      <c r="AD34" s="86" t="s">
        <v>39</v>
      </c>
      <c r="AE34" s="86"/>
      <c r="AF34" s="86"/>
      <c r="AG34" s="86"/>
    </row>
    <row r="35" spans="2:33" x14ac:dyDescent="0.2">
      <c r="B35" t="s">
        <v>12</v>
      </c>
      <c r="C35">
        <v>15</v>
      </c>
      <c r="D35">
        <v>50</v>
      </c>
      <c r="E35">
        <v>100</v>
      </c>
      <c r="F35" t="s">
        <v>368</v>
      </c>
      <c r="G35">
        <v>15</v>
      </c>
      <c r="H35">
        <v>50</v>
      </c>
      <c r="I35">
        <v>100</v>
      </c>
      <c r="J35" t="s">
        <v>368</v>
      </c>
      <c r="N35" t="s">
        <v>12</v>
      </c>
      <c r="O35">
        <v>15</v>
      </c>
      <c r="P35">
        <v>50</v>
      </c>
      <c r="Q35">
        <v>100</v>
      </c>
      <c r="R35" t="s">
        <v>368</v>
      </c>
      <c r="S35">
        <v>15</v>
      </c>
      <c r="T35">
        <v>50</v>
      </c>
      <c r="U35">
        <v>100</v>
      </c>
      <c r="V35" t="s">
        <v>368</v>
      </c>
      <c r="Y35" t="s">
        <v>12</v>
      </c>
      <c r="Z35">
        <v>15</v>
      </c>
      <c r="AA35">
        <v>50</v>
      </c>
      <c r="AB35">
        <v>100</v>
      </c>
      <c r="AC35" t="s">
        <v>368</v>
      </c>
      <c r="AD35">
        <v>15</v>
      </c>
      <c r="AE35">
        <v>50</v>
      </c>
      <c r="AF35">
        <v>100</v>
      </c>
      <c r="AG35" t="s">
        <v>368</v>
      </c>
    </row>
    <row r="36" spans="2:33" x14ac:dyDescent="0.2">
      <c r="B36" t="s">
        <v>649</v>
      </c>
      <c r="C36">
        <f>C29+C8</f>
        <v>40345.069565559999</v>
      </c>
      <c r="D36">
        <f>C29+C12</f>
        <v>40591.269565560004</v>
      </c>
      <c r="E36">
        <f>C17+C29</f>
        <v>40898.469565560001</v>
      </c>
      <c r="G36">
        <f>D8+C29</f>
        <v>43197.469565560001</v>
      </c>
      <c r="H36">
        <f>D12+C29</f>
        <v>43443.469565560001</v>
      </c>
      <c r="I36">
        <f>D17+C29</f>
        <v>43750.469565560001</v>
      </c>
      <c r="N36" t="s">
        <v>649</v>
      </c>
      <c r="S36">
        <f>O29+O8</f>
        <v>425948.84722520004</v>
      </c>
      <c r="T36">
        <f>O12+O29</f>
        <v>428148.84722520004</v>
      </c>
      <c r="U36">
        <f>O17+O29</f>
        <v>431348.84722520004</v>
      </c>
      <c r="Y36" t="s">
        <v>649</v>
      </c>
      <c r="Z36">
        <f>Z8+Z29</f>
        <v>4170987.4869977604</v>
      </c>
      <c r="AA36">
        <f>Z12+Z29</f>
        <v>4193617.4869977604</v>
      </c>
      <c r="AB36">
        <f>Z17+Z29</f>
        <v>4225617.4869977608</v>
      </c>
    </row>
    <row r="37" spans="2:33" x14ac:dyDescent="0.2">
      <c r="B37" t="s">
        <v>224</v>
      </c>
      <c r="F37">
        <f>D29+G8</f>
        <v>15319.846391877845</v>
      </c>
      <c r="J37">
        <f>G9+D29</f>
        <v>22129.846391877843</v>
      </c>
      <c r="N37" t="s">
        <v>224</v>
      </c>
      <c r="V37">
        <f>R8+P29</f>
        <v>189507.4381042138</v>
      </c>
      <c r="Y37" t="s">
        <v>224</v>
      </c>
      <c r="AC37">
        <f>AA29+AC8</f>
        <v>519476.18284005171</v>
      </c>
      <c r="AG37">
        <f>AC9+AA29</f>
        <v>592176.18284005171</v>
      </c>
    </row>
    <row r="38" spans="2:33" x14ac:dyDescent="0.2">
      <c r="B38" t="s">
        <v>405</v>
      </c>
      <c r="F38">
        <f>J8+J12+E29</f>
        <v>6549.9378998250104</v>
      </c>
      <c r="J38">
        <f>E29+J9+J12</f>
        <v>14871.530373450321</v>
      </c>
      <c r="N38" t="s">
        <v>405</v>
      </c>
      <c r="R38">
        <f>U8+U12+Q29</f>
        <v>53492.685383850272</v>
      </c>
      <c r="V38">
        <f>U9+U12+Q29</f>
        <v>115479.22061120842</v>
      </c>
      <c r="Y38" t="s">
        <v>405</v>
      </c>
      <c r="AC38">
        <f>AB29+AF8+AF12</f>
        <v>587260.73490500171</v>
      </c>
      <c r="AG38">
        <f>AF9+AF12+AB29</f>
        <v>1192236.9063361392</v>
      </c>
    </row>
    <row r="39" spans="2:33" x14ac:dyDescent="0.2">
      <c r="B39" t="s">
        <v>406</v>
      </c>
      <c r="F39">
        <f>J8+J15+F29</f>
        <v>6908.5567330811336</v>
      </c>
      <c r="J39">
        <f>J9+J15+F29</f>
        <v>15230.149206706446</v>
      </c>
      <c r="N39" t="s">
        <v>406</v>
      </c>
      <c r="R39">
        <f>U8+U15+R29</f>
        <v>49831.113109237733</v>
      </c>
      <c r="V39">
        <f>U9+U15+R29</f>
        <v>111817.64833659588</v>
      </c>
      <c r="Y39" t="s">
        <v>406</v>
      </c>
      <c r="AC39">
        <f>AF15+AF8+AC29</f>
        <v>398330.31875805371</v>
      </c>
      <c r="AG39">
        <f>AF9+AF15+AC29</f>
        <v>1003306.4901891912</v>
      </c>
    </row>
  </sheetData>
  <mergeCells count="18">
    <mergeCell ref="AD34:AG34"/>
    <mergeCell ref="B24:L24"/>
    <mergeCell ref="M24:W24"/>
    <mergeCell ref="X24:AH24"/>
    <mergeCell ref="B31:L31"/>
    <mergeCell ref="M31:W31"/>
    <mergeCell ref="X31:AH31"/>
    <mergeCell ref="C34:F34"/>
    <mergeCell ref="G34:J34"/>
    <mergeCell ref="O34:R34"/>
    <mergeCell ref="S34:V34"/>
    <mergeCell ref="Z34:AC34"/>
    <mergeCell ref="B3:L3"/>
    <mergeCell ref="M3:W3"/>
    <mergeCell ref="X3:AH3"/>
    <mergeCell ref="B4:L4"/>
    <mergeCell ref="M4:W4"/>
    <mergeCell ref="X4:AH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FFEC1-087B-469B-BAE8-BF4FCB1A117A}">
  <dimension ref="A1"/>
  <sheetViews>
    <sheetView workbookViewId="0">
      <selection activeCell="H31" sqref="H31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8C809-A2C8-4888-A61E-A349810BD561}">
  <sheetPr>
    <tabColor rgb="FFFF0000"/>
  </sheetPr>
  <dimension ref="B2:M97"/>
  <sheetViews>
    <sheetView workbookViewId="0">
      <selection activeCell="C45" sqref="C45"/>
    </sheetView>
  </sheetViews>
  <sheetFormatPr defaultRowHeight="14.25" x14ac:dyDescent="0.2"/>
  <cols>
    <col min="3" max="3" width="9.875" bestFit="1" customWidth="1"/>
  </cols>
  <sheetData>
    <row r="2" spans="2:4" x14ac:dyDescent="0.2">
      <c r="B2" t="s">
        <v>21</v>
      </c>
    </row>
    <row r="3" spans="2:4" x14ac:dyDescent="0.2">
      <c r="B3" t="s">
        <v>22</v>
      </c>
    </row>
    <row r="4" spans="2:4" x14ac:dyDescent="0.2">
      <c r="B4">
        <v>2500</v>
      </c>
    </row>
    <row r="6" spans="2:4" x14ac:dyDescent="0.2">
      <c r="B6" t="s">
        <v>18</v>
      </c>
    </row>
    <row r="7" spans="2:4" x14ac:dyDescent="0.2">
      <c r="B7" t="s">
        <v>19</v>
      </c>
    </row>
    <row r="8" spans="2:4" x14ac:dyDescent="0.2">
      <c r="B8">
        <v>58.95</v>
      </c>
      <c r="C8" t="s">
        <v>20</v>
      </c>
      <c r="D8" s="7" t="s">
        <v>27</v>
      </c>
    </row>
    <row r="11" spans="2:4" x14ac:dyDescent="0.2">
      <c r="B11" t="s">
        <v>25</v>
      </c>
    </row>
    <row r="12" spans="2:4" x14ac:dyDescent="0.2">
      <c r="B12">
        <v>0.79</v>
      </c>
      <c r="C12" t="s">
        <v>24</v>
      </c>
      <c r="D12" t="s">
        <v>26</v>
      </c>
    </row>
    <row r="15" spans="2:4" x14ac:dyDescent="0.2">
      <c r="B15" t="s">
        <v>29</v>
      </c>
    </row>
    <row r="16" spans="2:4" x14ac:dyDescent="0.2">
      <c r="B16">
        <v>1525</v>
      </c>
      <c r="C16" t="s">
        <v>22</v>
      </c>
    </row>
    <row r="17" spans="2:13" x14ac:dyDescent="0.2">
      <c r="B17" t="s">
        <v>252</v>
      </c>
    </row>
    <row r="18" spans="2:13" x14ac:dyDescent="0.2">
      <c r="B18">
        <f>1600</f>
        <v>1600</v>
      </c>
      <c r="C18" t="s">
        <v>22</v>
      </c>
    </row>
    <row r="19" spans="2:13" x14ac:dyDescent="0.2">
      <c r="B19" t="s">
        <v>55</v>
      </c>
    </row>
    <row r="20" spans="2:13" x14ac:dyDescent="0.2">
      <c r="B20" t="s">
        <v>56</v>
      </c>
      <c r="C20">
        <v>1</v>
      </c>
      <c r="D20" t="s">
        <v>59</v>
      </c>
    </row>
    <row r="21" spans="2:13" x14ac:dyDescent="0.2">
      <c r="C21">
        <f>C20/1000</f>
        <v>1E-3</v>
      </c>
      <c r="D21" t="s">
        <v>60</v>
      </c>
    </row>
    <row r="22" spans="2:13" x14ac:dyDescent="0.2">
      <c r="B22" t="s">
        <v>57</v>
      </c>
      <c r="C22">
        <v>0.92</v>
      </c>
      <c r="D22" t="s">
        <v>58</v>
      </c>
    </row>
    <row r="23" spans="2:13" x14ac:dyDescent="0.2">
      <c r="C23">
        <f>C22*10^6/10^3</f>
        <v>920</v>
      </c>
      <c r="D23" t="s">
        <v>22</v>
      </c>
    </row>
    <row r="25" spans="2:13" x14ac:dyDescent="0.2">
      <c r="B25" t="s">
        <v>206</v>
      </c>
    </row>
    <row r="26" spans="2:13" x14ac:dyDescent="0.2">
      <c r="B26" t="s">
        <v>56</v>
      </c>
      <c r="C26">
        <v>1</v>
      </c>
      <c r="D26" t="s">
        <v>59</v>
      </c>
    </row>
    <row r="27" spans="2:13" x14ac:dyDescent="0.2">
      <c r="C27">
        <f>C26/1000</f>
        <v>1E-3</v>
      </c>
      <c r="D27" t="s">
        <v>60</v>
      </c>
    </row>
    <row r="28" spans="2:13" x14ac:dyDescent="0.2">
      <c r="B28" t="s">
        <v>57</v>
      </c>
      <c r="C28">
        <v>1.2</v>
      </c>
      <c r="D28" t="s">
        <v>58</v>
      </c>
      <c r="E28" t="s">
        <v>237</v>
      </c>
    </row>
    <row r="29" spans="2:13" x14ac:dyDescent="0.2">
      <c r="C29">
        <f>C28*10^6/10^3</f>
        <v>1200</v>
      </c>
      <c r="D29" t="s">
        <v>22</v>
      </c>
    </row>
    <row r="31" spans="2:13" x14ac:dyDescent="0.2">
      <c r="B31" t="s">
        <v>208</v>
      </c>
      <c r="C31" t="s">
        <v>209</v>
      </c>
      <c r="G31" t="s">
        <v>216</v>
      </c>
      <c r="J31" t="s">
        <v>217</v>
      </c>
    </row>
    <row r="32" spans="2:13" x14ac:dyDescent="0.2">
      <c r="B32" t="s">
        <v>194</v>
      </c>
      <c r="C32" s="3">
        <f>ROUND(M32,1)</f>
        <v>5.7</v>
      </c>
      <c r="D32" t="s">
        <v>210</v>
      </c>
      <c r="G32">
        <f>(PI()/4)*(G35^2-G34^2)</f>
        <v>4.1989349310635185E-3</v>
      </c>
      <c r="H32" t="s">
        <v>70</v>
      </c>
      <c r="J32">
        <v>1350</v>
      </c>
      <c r="K32" t="s">
        <v>22</v>
      </c>
      <c r="M32">
        <f>G32*J32</f>
        <v>5.6685621569357503</v>
      </c>
    </row>
    <row r="33" spans="2:13" x14ac:dyDescent="0.2">
      <c r="B33" t="s">
        <v>195</v>
      </c>
      <c r="C33">
        <v>0.1915</v>
      </c>
      <c r="D33" t="s">
        <v>211</v>
      </c>
    </row>
    <row r="34" spans="2:13" x14ac:dyDescent="0.2">
      <c r="B34" t="s">
        <v>196</v>
      </c>
      <c r="C34">
        <v>0.91500000000000004</v>
      </c>
      <c r="D34" t="s">
        <v>211</v>
      </c>
      <c r="F34" t="s">
        <v>218</v>
      </c>
      <c r="G34">
        <v>0.76200000000000001</v>
      </c>
    </row>
    <row r="35" spans="2:13" x14ac:dyDescent="0.2">
      <c r="B35" t="s">
        <v>197</v>
      </c>
      <c r="C35">
        <v>0.6</v>
      </c>
      <c r="D35" t="s">
        <v>211</v>
      </c>
      <c r="F35" t="s">
        <v>219</v>
      </c>
      <c r="G35">
        <f>G34+0.0035</f>
        <v>0.76549999999999996</v>
      </c>
    </row>
    <row r="36" spans="2:13" x14ac:dyDescent="0.2">
      <c r="B36" t="s">
        <v>198</v>
      </c>
      <c r="C36">
        <v>0.48</v>
      </c>
      <c r="D36" t="s">
        <v>211</v>
      </c>
    </row>
    <row r="38" spans="2:13" ht="15" x14ac:dyDescent="0.25">
      <c r="B38" s="30" t="s">
        <v>186</v>
      </c>
    </row>
    <row r="39" spans="2:13" x14ac:dyDescent="0.2">
      <c r="B39" t="s">
        <v>212</v>
      </c>
      <c r="C39">
        <v>1.46</v>
      </c>
      <c r="D39" t="s">
        <v>213</v>
      </c>
    </row>
    <row r="40" spans="2:13" x14ac:dyDescent="0.2">
      <c r="B40" t="s">
        <v>214</v>
      </c>
      <c r="C40">
        <v>0.17</v>
      </c>
      <c r="D40" t="s">
        <v>215</v>
      </c>
    </row>
    <row r="42" spans="2:13" x14ac:dyDescent="0.2">
      <c r="B42" t="s">
        <v>220</v>
      </c>
      <c r="C42">
        <f>0.87/15</f>
        <v>5.8000000000000003E-2</v>
      </c>
      <c r="D42" t="s">
        <v>210</v>
      </c>
    </row>
    <row r="44" spans="2:13" x14ac:dyDescent="0.2">
      <c r="B44" t="s">
        <v>254</v>
      </c>
    </row>
    <row r="45" spans="2:13" x14ac:dyDescent="0.2">
      <c r="B45" t="s">
        <v>253</v>
      </c>
      <c r="C45">
        <f>920/40</f>
        <v>23</v>
      </c>
      <c r="D45" t="s">
        <v>20</v>
      </c>
    </row>
    <row r="47" spans="2:13" x14ac:dyDescent="0.2">
      <c r="B47" t="s">
        <v>257</v>
      </c>
    </row>
    <row r="48" spans="2:13" x14ac:dyDescent="0.2">
      <c r="B48" t="s">
        <v>194</v>
      </c>
      <c r="C48" s="3">
        <f>ROUND(M48,1)</f>
        <v>0.2</v>
      </c>
      <c r="D48" t="s">
        <v>210</v>
      </c>
      <c r="G48">
        <f>(PI()/4)*(G51^2-G50^2)</f>
        <v>1.4926492095368503E-4</v>
      </c>
      <c r="H48" t="s">
        <v>70</v>
      </c>
      <c r="J48">
        <v>1350</v>
      </c>
      <c r="K48" t="s">
        <v>22</v>
      </c>
      <c r="M48">
        <f>G48*J48</f>
        <v>0.20150764328747478</v>
      </c>
    </row>
    <row r="50" spans="2:7" x14ac:dyDescent="0.2">
      <c r="B50" t="s">
        <v>196</v>
      </c>
      <c r="C50">
        <v>7.1999999999999995E-2</v>
      </c>
      <c r="D50" t="s">
        <v>211</v>
      </c>
      <c r="F50" t="s">
        <v>218</v>
      </c>
      <c r="G50">
        <v>2.5399999999999999E-2</v>
      </c>
    </row>
    <row r="51" spans="2:7" x14ac:dyDescent="0.2">
      <c r="B51" t="s">
        <v>197</v>
      </c>
      <c r="C51">
        <v>0.06</v>
      </c>
      <c r="D51" t="s">
        <v>211</v>
      </c>
      <c r="F51" t="s">
        <v>219</v>
      </c>
      <c r="G51">
        <f>G50+0.0035</f>
        <v>2.8899999999999999E-2</v>
      </c>
    </row>
    <row r="54" spans="2:7" x14ac:dyDescent="0.2">
      <c r="B54" t="s">
        <v>269</v>
      </c>
      <c r="D54" t="s">
        <v>270</v>
      </c>
    </row>
    <row r="56" spans="2:7" x14ac:dyDescent="0.2">
      <c r="B56" t="s">
        <v>271</v>
      </c>
    </row>
    <row r="57" spans="2:7" x14ac:dyDescent="0.2">
      <c r="B57" t="s">
        <v>272</v>
      </c>
      <c r="C57">
        <v>12</v>
      </c>
      <c r="D57" t="s">
        <v>59</v>
      </c>
    </row>
    <row r="58" spans="2:7" x14ac:dyDescent="0.2">
      <c r="B58" t="s">
        <v>273</v>
      </c>
      <c r="C58">
        <v>7750</v>
      </c>
      <c r="D58" t="s">
        <v>22</v>
      </c>
    </row>
    <row r="61" spans="2:7" x14ac:dyDescent="0.2">
      <c r="B61" t="str">
        <f>B56</f>
        <v>Mass per m</v>
      </c>
      <c r="C61">
        <f>(PI()*(C57/(2*1000))^2)*C58</f>
        <v>0.87650435035155227</v>
      </c>
      <c r="D61" t="s">
        <v>210</v>
      </c>
    </row>
    <row r="64" spans="2:7" x14ac:dyDescent="0.2">
      <c r="B64" t="s">
        <v>274</v>
      </c>
      <c r="C64">
        <v>59</v>
      </c>
      <c r="D64" t="s">
        <v>20</v>
      </c>
      <c r="E64" t="s">
        <v>275</v>
      </c>
    </row>
    <row r="66" spans="2:7" x14ac:dyDescent="0.2">
      <c r="B66" t="s">
        <v>409</v>
      </c>
    </row>
    <row r="68" spans="2:7" x14ac:dyDescent="0.2">
      <c r="B68" t="s">
        <v>410</v>
      </c>
    </row>
    <row r="70" spans="2:7" x14ac:dyDescent="0.2">
      <c r="C70" t="s">
        <v>155</v>
      </c>
      <c r="D70" t="s">
        <v>411</v>
      </c>
      <c r="E70" t="s">
        <v>156</v>
      </c>
    </row>
    <row r="71" spans="2:7" x14ac:dyDescent="0.2">
      <c r="B71" t="s">
        <v>412</v>
      </c>
      <c r="C71">
        <v>0</v>
      </c>
      <c r="D71">
        <v>2.5000000000000001E-2</v>
      </c>
      <c r="E71">
        <v>0.05</v>
      </c>
      <c r="G71" t="s">
        <v>413</v>
      </c>
    </row>
    <row r="73" spans="2:7" x14ac:dyDescent="0.2">
      <c r="B73" t="s">
        <v>414</v>
      </c>
    </row>
    <row r="74" spans="2:7" x14ac:dyDescent="0.2">
      <c r="C74" t="s">
        <v>155</v>
      </c>
      <c r="D74" t="s">
        <v>411</v>
      </c>
      <c r="E74" t="s">
        <v>156</v>
      </c>
    </row>
    <row r="75" spans="2:7" x14ac:dyDescent="0.2">
      <c r="B75" t="s">
        <v>415</v>
      </c>
      <c r="C75">
        <v>5.0000000000000001E-4</v>
      </c>
      <c r="D75">
        <v>2.5000000000000001E-3</v>
      </c>
      <c r="E75">
        <v>5.0000000000000001E-3</v>
      </c>
    </row>
    <row r="78" spans="2:7" x14ac:dyDescent="0.2">
      <c r="B78" t="s">
        <v>173</v>
      </c>
      <c r="C78">
        <v>0.221</v>
      </c>
      <c r="D78" t="s">
        <v>179</v>
      </c>
    </row>
    <row r="79" spans="2:7" x14ac:dyDescent="0.2">
      <c r="B79" t="s">
        <v>174</v>
      </c>
      <c r="C79">
        <v>0.219</v>
      </c>
      <c r="D79" t="s">
        <v>179</v>
      </c>
    </row>
    <row r="80" spans="2:7" x14ac:dyDescent="0.2">
      <c r="B80" t="s">
        <v>175</v>
      </c>
      <c r="C80">
        <v>0.22</v>
      </c>
      <c r="D80" t="s">
        <v>179</v>
      </c>
    </row>
    <row r="81" spans="2:4" x14ac:dyDescent="0.2">
      <c r="B81" t="s">
        <v>176</v>
      </c>
      <c r="C81">
        <v>0.219</v>
      </c>
      <c r="D81" t="s">
        <v>179</v>
      </c>
    </row>
    <row r="82" spans="2:4" x14ac:dyDescent="0.2">
      <c r="C82">
        <v>0.21975</v>
      </c>
    </row>
    <row r="84" spans="2:4" x14ac:dyDescent="0.2">
      <c r="B84" t="s">
        <v>520</v>
      </c>
    </row>
    <row r="86" spans="2:4" x14ac:dyDescent="0.2">
      <c r="B86" t="s">
        <v>725</v>
      </c>
    </row>
    <row r="87" spans="2:4" x14ac:dyDescent="0.2">
      <c r="C87" t="s">
        <v>0</v>
      </c>
      <c r="D87" t="s">
        <v>731</v>
      </c>
    </row>
    <row r="88" spans="2:4" x14ac:dyDescent="0.2">
      <c r="B88" t="s">
        <v>726</v>
      </c>
      <c r="C88" t="s">
        <v>730</v>
      </c>
      <c r="D88">
        <v>2.2799999999999998</v>
      </c>
    </row>
    <row r="89" spans="2:4" x14ac:dyDescent="0.2">
      <c r="C89" t="s">
        <v>732</v>
      </c>
      <c r="D89">
        <v>1.8</v>
      </c>
    </row>
    <row r="91" spans="2:4" x14ac:dyDescent="0.2">
      <c r="B91" t="s">
        <v>727</v>
      </c>
      <c r="C91" t="s">
        <v>33</v>
      </c>
      <c r="D91">
        <v>1.2</v>
      </c>
    </row>
    <row r="92" spans="2:4" x14ac:dyDescent="0.2">
      <c r="C92" t="s">
        <v>694</v>
      </c>
      <c r="D92" t="s">
        <v>733</v>
      </c>
    </row>
    <row r="94" spans="2:4" x14ac:dyDescent="0.2">
      <c r="B94" t="s">
        <v>728</v>
      </c>
    </row>
    <row r="97" spans="2:2" x14ac:dyDescent="0.2">
      <c r="B97" t="s">
        <v>729</v>
      </c>
    </row>
  </sheetData>
  <hyperlinks>
    <hyperlink ref="D8" r:id="rId1" display="https://www.firstfence.co.uk/1-8m-high-w-section-palisade-security-fencing" xr:uid="{6F57B0BF-1276-40C0-A8AD-42123247854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EC68A-D058-4C70-9109-0AFC57567537}">
  <sheetPr>
    <tabColor rgb="FFFF0000"/>
  </sheetPr>
  <dimension ref="A2:Y43"/>
  <sheetViews>
    <sheetView workbookViewId="0">
      <selection activeCell="H38" sqref="H38"/>
    </sheetView>
  </sheetViews>
  <sheetFormatPr defaultRowHeight="14.25" x14ac:dyDescent="0.2"/>
  <sheetData>
    <row r="2" spans="1:25" x14ac:dyDescent="0.2">
      <c r="B2" t="s">
        <v>89</v>
      </c>
      <c r="C2">
        <v>5</v>
      </c>
      <c r="D2">
        <v>10</v>
      </c>
      <c r="E2">
        <v>20</v>
      </c>
      <c r="F2">
        <v>30</v>
      </c>
      <c r="G2">
        <v>50</v>
      </c>
      <c r="H2">
        <v>75</v>
      </c>
      <c r="I2">
        <v>100</v>
      </c>
      <c r="J2">
        <v>150</v>
      </c>
      <c r="K2">
        <v>200</v>
      </c>
      <c r="L2">
        <v>300</v>
      </c>
      <c r="M2">
        <v>400</v>
      </c>
      <c r="N2">
        <v>500</v>
      </c>
      <c r="O2">
        <v>600</v>
      </c>
      <c r="P2">
        <v>800</v>
      </c>
      <c r="Q2">
        <v>1000</v>
      </c>
    </row>
    <row r="3" spans="1:25" x14ac:dyDescent="0.2">
      <c r="B3" t="str">
        <f>'AHF '!B107</f>
        <v>Flowrate (m3/d)</v>
      </c>
      <c r="C3">
        <f>'AHF '!C107</f>
        <v>1.875</v>
      </c>
      <c r="D3">
        <f>'AHF '!D107</f>
        <v>3.75</v>
      </c>
      <c r="E3">
        <f>'AHF '!E107</f>
        <v>7.5</v>
      </c>
      <c r="F3">
        <f>'AHF '!F107</f>
        <v>11.25</v>
      </c>
      <c r="G3">
        <f>'AHF '!G107</f>
        <v>18.75</v>
      </c>
      <c r="H3">
        <f>'AHF '!H107</f>
        <v>28.125</v>
      </c>
      <c r="I3">
        <f>'AHF '!I107</f>
        <v>37.5</v>
      </c>
      <c r="J3">
        <f>'AHF '!J107</f>
        <v>56.25</v>
      </c>
      <c r="K3">
        <f>'AHF '!K107</f>
        <v>75</v>
      </c>
      <c r="L3">
        <f>'AHF '!L107</f>
        <v>112.5</v>
      </c>
      <c r="M3">
        <f>'AHF '!M107</f>
        <v>150</v>
      </c>
      <c r="N3">
        <f>'AHF '!N107</f>
        <v>187.5</v>
      </c>
      <c r="O3">
        <f>'AHF '!O107</f>
        <v>225</v>
      </c>
      <c r="P3">
        <f>'AHF '!P107</f>
        <v>300</v>
      </c>
      <c r="Q3">
        <f>'AHF '!Q107</f>
        <v>375</v>
      </c>
    </row>
    <row r="4" spans="1:25" x14ac:dyDescent="0.2">
      <c r="A4" t="s">
        <v>437</v>
      </c>
    </row>
    <row r="5" spans="1:25" x14ac:dyDescent="0.2">
      <c r="B5" t="str">
        <f>'AHF '!B109</f>
        <v>TN loading (g/d)</v>
      </c>
      <c r="C5">
        <f>'AHF '!C109</f>
        <v>75</v>
      </c>
      <c r="D5">
        <f>'AHF '!D109</f>
        <v>150</v>
      </c>
      <c r="E5">
        <f>'AHF '!E109</f>
        <v>300</v>
      </c>
      <c r="F5">
        <f>'AHF '!F109</f>
        <v>450</v>
      </c>
      <c r="G5">
        <f>'AHF '!G109</f>
        <v>750</v>
      </c>
      <c r="H5">
        <f>'AHF '!H109</f>
        <v>1125</v>
      </c>
      <c r="I5">
        <f>'AHF '!I109</f>
        <v>1500</v>
      </c>
      <c r="J5">
        <f>'AHF '!J109</f>
        <v>2250</v>
      </c>
      <c r="K5">
        <f>'AHF '!K109</f>
        <v>3000</v>
      </c>
      <c r="L5">
        <f>'AHF '!L109</f>
        <v>4500</v>
      </c>
      <c r="M5">
        <f>'AHF '!M109</f>
        <v>6000</v>
      </c>
      <c r="N5">
        <f>'AHF '!N109</f>
        <v>7500</v>
      </c>
      <c r="O5">
        <f>'AHF '!O109</f>
        <v>9000</v>
      </c>
      <c r="P5">
        <f>'AHF '!P109</f>
        <v>12000</v>
      </c>
      <c r="Q5">
        <f>'AHF '!Q109</f>
        <v>15000</v>
      </c>
    </row>
    <row r="6" spans="1:25" x14ac:dyDescent="0.2">
      <c r="B6" t="s">
        <v>440</v>
      </c>
    </row>
    <row r="7" spans="1:25" x14ac:dyDescent="0.2">
      <c r="B7" t="s">
        <v>438</v>
      </c>
    </row>
    <row r="8" spans="1:25" x14ac:dyDescent="0.2">
      <c r="B8" t="s">
        <v>439</v>
      </c>
    </row>
    <row r="9" spans="1:25" x14ac:dyDescent="0.2">
      <c r="B9" t="s">
        <v>441</v>
      </c>
      <c r="V9" t="s">
        <v>455</v>
      </c>
      <c r="W9" t="s">
        <v>456</v>
      </c>
      <c r="X9" t="s">
        <v>457</v>
      </c>
      <c r="Y9" t="s">
        <v>447</v>
      </c>
    </row>
    <row r="10" spans="1:25" x14ac:dyDescent="0.2">
      <c r="V10" t="s">
        <v>367</v>
      </c>
      <c r="W10">
        <v>44.6</v>
      </c>
      <c r="X10" t="s">
        <v>368</v>
      </c>
      <c r="Y10" t="s">
        <v>458</v>
      </c>
    </row>
    <row r="11" spans="1:25" x14ac:dyDescent="0.2">
      <c r="V11" t="s">
        <v>367</v>
      </c>
      <c r="W11">
        <v>43</v>
      </c>
      <c r="X11" t="s">
        <v>368</v>
      </c>
      <c r="Y11" t="s">
        <v>459</v>
      </c>
    </row>
    <row r="12" spans="1:25" x14ac:dyDescent="0.2">
      <c r="A12" t="s">
        <v>425</v>
      </c>
      <c r="V12" t="s">
        <v>367</v>
      </c>
      <c r="W12">
        <v>48</v>
      </c>
      <c r="X12" s="4">
        <f>44/24</f>
        <v>1.8333333333333333</v>
      </c>
      <c r="Y12" t="s">
        <v>460</v>
      </c>
    </row>
    <row r="13" spans="1:25" x14ac:dyDescent="0.2">
      <c r="A13" t="s">
        <v>442</v>
      </c>
      <c r="D13" t="s">
        <v>444</v>
      </c>
      <c r="W13" s="5"/>
    </row>
    <row r="14" spans="1:25" x14ac:dyDescent="0.2">
      <c r="C14" t="s">
        <v>443</v>
      </c>
      <c r="D14">
        <v>15</v>
      </c>
      <c r="E14" t="s">
        <v>365</v>
      </c>
      <c r="V14" t="s">
        <v>236</v>
      </c>
      <c r="W14" s="3">
        <f>((34-22.5)/34)*100</f>
        <v>33.82352941176471</v>
      </c>
      <c r="X14" t="s">
        <v>368</v>
      </c>
      <c r="Y14" t="s">
        <v>461</v>
      </c>
    </row>
    <row r="15" spans="1:25" x14ac:dyDescent="0.2">
      <c r="C15" t="s">
        <v>428</v>
      </c>
      <c r="D15">
        <v>25</v>
      </c>
      <c r="E15" t="s">
        <v>365</v>
      </c>
      <c r="V15" s="11" t="s">
        <v>236</v>
      </c>
      <c r="W15" s="11">
        <v>15.7</v>
      </c>
      <c r="X15" s="11"/>
      <c r="Y15" s="11" t="s">
        <v>462</v>
      </c>
    </row>
    <row r="16" spans="1:25" x14ac:dyDescent="0.2">
      <c r="C16" t="s">
        <v>427</v>
      </c>
      <c r="D16">
        <v>100</v>
      </c>
      <c r="E16" t="s">
        <v>365</v>
      </c>
      <c r="V16" s="11" t="s">
        <v>236</v>
      </c>
      <c r="W16" s="11">
        <v>9.6999999999999993</v>
      </c>
      <c r="X16" s="11"/>
      <c r="Y16" s="11" t="s">
        <v>462</v>
      </c>
    </row>
    <row r="19" spans="1:17" x14ac:dyDescent="0.2">
      <c r="A19" t="s">
        <v>367</v>
      </c>
    </row>
    <row r="20" spans="1:17" x14ac:dyDescent="0.2">
      <c r="C20" t="s">
        <v>445</v>
      </c>
      <c r="E20" t="s">
        <v>447</v>
      </c>
    </row>
    <row r="21" spans="1:17" x14ac:dyDescent="0.2">
      <c r="C21" t="s">
        <v>446</v>
      </c>
      <c r="D21">
        <v>44.6</v>
      </c>
      <c r="E21" t="s">
        <v>458</v>
      </c>
    </row>
    <row r="22" spans="1:17" x14ac:dyDescent="0.2">
      <c r="C22" t="s">
        <v>448</v>
      </c>
    </row>
    <row r="24" spans="1:17" x14ac:dyDescent="0.2">
      <c r="A24" t="s">
        <v>452</v>
      </c>
    </row>
    <row r="25" spans="1:17" x14ac:dyDescent="0.2">
      <c r="B25" t="s">
        <v>449</v>
      </c>
      <c r="C25">
        <f>(1-$D$21/100)*C5</f>
        <v>41.550000000000004</v>
      </c>
      <c r="D25">
        <f t="shared" ref="D25:P25" si="0">(1-$D$21/100)*D5</f>
        <v>83.100000000000009</v>
      </c>
      <c r="E25">
        <f t="shared" si="0"/>
        <v>166.20000000000002</v>
      </c>
      <c r="F25">
        <f t="shared" si="0"/>
        <v>249.3</v>
      </c>
      <c r="G25">
        <f t="shared" si="0"/>
        <v>415.50000000000006</v>
      </c>
      <c r="H25">
        <f t="shared" si="0"/>
        <v>623.25</v>
      </c>
      <c r="I25">
        <f t="shared" si="0"/>
        <v>831.00000000000011</v>
      </c>
      <c r="J25">
        <f t="shared" si="0"/>
        <v>1246.5</v>
      </c>
      <c r="K25">
        <f t="shared" si="0"/>
        <v>1662.0000000000002</v>
      </c>
      <c r="L25">
        <f t="shared" si="0"/>
        <v>2493</v>
      </c>
      <c r="M25">
        <f t="shared" si="0"/>
        <v>3324.0000000000005</v>
      </c>
      <c r="N25">
        <f t="shared" si="0"/>
        <v>4155</v>
      </c>
      <c r="O25">
        <f t="shared" si="0"/>
        <v>4986</v>
      </c>
      <c r="P25">
        <f t="shared" si="0"/>
        <v>6648.0000000000009</v>
      </c>
      <c r="Q25">
        <f>(1-$D$21/100)*Q5</f>
        <v>8310</v>
      </c>
    </row>
    <row r="26" spans="1:17" x14ac:dyDescent="0.2">
      <c r="B26" t="s">
        <v>450</v>
      </c>
      <c r="C26">
        <f>$D$14*C3</f>
        <v>28.125</v>
      </c>
      <c r="D26">
        <f t="shared" ref="D26:Q26" si="1">$D$14*D3</f>
        <v>56.25</v>
      </c>
      <c r="E26">
        <f t="shared" si="1"/>
        <v>112.5</v>
      </c>
      <c r="F26">
        <f t="shared" si="1"/>
        <v>168.75</v>
      </c>
      <c r="G26">
        <f t="shared" si="1"/>
        <v>281.25</v>
      </c>
      <c r="H26">
        <f t="shared" si="1"/>
        <v>421.875</v>
      </c>
      <c r="I26">
        <f t="shared" si="1"/>
        <v>562.5</v>
      </c>
      <c r="J26">
        <f t="shared" si="1"/>
        <v>843.75</v>
      </c>
      <c r="K26">
        <f t="shared" si="1"/>
        <v>1125</v>
      </c>
      <c r="L26">
        <f t="shared" si="1"/>
        <v>1687.5</v>
      </c>
      <c r="M26">
        <f t="shared" si="1"/>
        <v>2250</v>
      </c>
      <c r="N26">
        <f t="shared" si="1"/>
        <v>2812.5</v>
      </c>
      <c r="O26">
        <f t="shared" si="1"/>
        <v>3375</v>
      </c>
      <c r="P26">
        <f t="shared" si="1"/>
        <v>4500</v>
      </c>
      <c r="Q26">
        <f t="shared" si="1"/>
        <v>5625</v>
      </c>
    </row>
    <row r="27" spans="1:17" x14ac:dyDescent="0.2">
      <c r="B27" t="s">
        <v>451</v>
      </c>
      <c r="C27">
        <f>$D$15*C3</f>
        <v>46.875</v>
      </c>
      <c r="D27">
        <f t="shared" ref="D27:Q27" si="2">$D$15*D3</f>
        <v>93.75</v>
      </c>
      <c r="E27">
        <f t="shared" si="2"/>
        <v>187.5</v>
      </c>
      <c r="F27">
        <f t="shared" si="2"/>
        <v>281.25</v>
      </c>
      <c r="G27">
        <f t="shared" si="2"/>
        <v>468.75</v>
      </c>
      <c r="H27">
        <f t="shared" si="2"/>
        <v>703.125</v>
      </c>
      <c r="I27">
        <f t="shared" si="2"/>
        <v>937.5</v>
      </c>
      <c r="J27">
        <f t="shared" si="2"/>
        <v>1406.25</v>
      </c>
      <c r="K27">
        <f t="shared" si="2"/>
        <v>1875</v>
      </c>
      <c r="L27">
        <f t="shared" si="2"/>
        <v>2812.5</v>
      </c>
      <c r="M27">
        <f t="shared" si="2"/>
        <v>3750</v>
      </c>
      <c r="N27">
        <f t="shared" si="2"/>
        <v>4687.5</v>
      </c>
      <c r="O27">
        <f t="shared" si="2"/>
        <v>5625</v>
      </c>
      <c r="P27">
        <f t="shared" si="2"/>
        <v>7500</v>
      </c>
      <c r="Q27">
        <f t="shared" si="2"/>
        <v>9375</v>
      </c>
    </row>
    <row r="28" spans="1:17" x14ac:dyDescent="0.2">
      <c r="B28" t="s">
        <v>453</v>
      </c>
    </row>
    <row r="29" spans="1:17" x14ac:dyDescent="0.2">
      <c r="B29" t="s">
        <v>454</v>
      </c>
      <c r="C29">
        <f>C3*$D$16</f>
        <v>187.5</v>
      </c>
      <c r="D29">
        <f t="shared" ref="D29:Q29" si="3">D3*$D$16</f>
        <v>375</v>
      </c>
      <c r="E29">
        <f t="shared" si="3"/>
        <v>750</v>
      </c>
      <c r="F29">
        <f t="shared" si="3"/>
        <v>1125</v>
      </c>
      <c r="G29">
        <f t="shared" si="3"/>
        <v>1875</v>
      </c>
      <c r="H29">
        <f t="shared" si="3"/>
        <v>2812.5</v>
      </c>
      <c r="I29">
        <f t="shared" si="3"/>
        <v>3750</v>
      </c>
      <c r="J29">
        <f t="shared" si="3"/>
        <v>5625</v>
      </c>
      <c r="K29">
        <f t="shared" si="3"/>
        <v>7500</v>
      </c>
      <c r="L29">
        <f t="shared" si="3"/>
        <v>11250</v>
      </c>
      <c r="M29">
        <f t="shared" si="3"/>
        <v>15000</v>
      </c>
      <c r="N29">
        <f t="shared" si="3"/>
        <v>18750</v>
      </c>
      <c r="O29">
        <f t="shared" si="3"/>
        <v>22500</v>
      </c>
      <c r="P29">
        <f t="shared" si="3"/>
        <v>30000</v>
      </c>
      <c r="Q29">
        <f t="shared" si="3"/>
        <v>37500</v>
      </c>
    </row>
    <row r="33" spans="1:17" x14ac:dyDescent="0.2">
      <c r="A33" t="s">
        <v>236</v>
      </c>
    </row>
    <row r="34" spans="1:17" x14ac:dyDescent="0.2">
      <c r="C34" t="s">
        <v>445</v>
      </c>
      <c r="E34" t="s">
        <v>447</v>
      </c>
    </row>
    <row r="35" spans="1:17" x14ac:dyDescent="0.2">
      <c r="C35" t="s">
        <v>446</v>
      </c>
      <c r="D35">
        <v>33.799999999999997</v>
      </c>
      <c r="E35" t="s">
        <v>461</v>
      </c>
    </row>
    <row r="36" spans="1:17" x14ac:dyDescent="0.2">
      <c r="C36" t="s">
        <v>448</v>
      </c>
    </row>
    <row r="38" spans="1:17" x14ac:dyDescent="0.2">
      <c r="A38" t="s">
        <v>452</v>
      </c>
    </row>
    <row r="39" spans="1:17" x14ac:dyDescent="0.2">
      <c r="B39" t="s">
        <v>449</v>
      </c>
      <c r="C39">
        <f>(1-$D$35/100)*C5</f>
        <v>49.650000000000006</v>
      </c>
      <c r="D39">
        <f t="shared" ref="D39:Q39" si="4">(1-$D$35/100)*D5</f>
        <v>99.300000000000011</v>
      </c>
      <c r="E39">
        <f t="shared" si="4"/>
        <v>198.60000000000002</v>
      </c>
      <c r="F39">
        <f t="shared" si="4"/>
        <v>297.90000000000003</v>
      </c>
      <c r="G39">
        <f t="shared" si="4"/>
        <v>496.5</v>
      </c>
      <c r="H39">
        <f t="shared" si="4"/>
        <v>744.75</v>
      </c>
      <c r="I39">
        <f t="shared" si="4"/>
        <v>993</v>
      </c>
      <c r="J39">
        <f t="shared" si="4"/>
        <v>1489.5</v>
      </c>
      <c r="K39">
        <f t="shared" si="4"/>
        <v>1986</v>
      </c>
      <c r="L39">
        <f t="shared" si="4"/>
        <v>2979</v>
      </c>
      <c r="M39">
        <f t="shared" si="4"/>
        <v>3972</v>
      </c>
      <c r="N39">
        <f t="shared" si="4"/>
        <v>4965</v>
      </c>
      <c r="O39">
        <f t="shared" si="4"/>
        <v>5958</v>
      </c>
      <c r="P39">
        <f t="shared" si="4"/>
        <v>7944</v>
      </c>
      <c r="Q39">
        <f t="shared" si="4"/>
        <v>9930</v>
      </c>
    </row>
    <row r="40" spans="1:17" x14ac:dyDescent="0.2">
      <c r="B40" t="s">
        <v>450</v>
      </c>
      <c r="C40">
        <f t="shared" ref="C40:Q40" si="5">C26</f>
        <v>28.125</v>
      </c>
      <c r="D40">
        <f t="shared" si="5"/>
        <v>56.25</v>
      </c>
      <c r="E40">
        <f t="shared" si="5"/>
        <v>112.5</v>
      </c>
      <c r="F40">
        <f t="shared" si="5"/>
        <v>168.75</v>
      </c>
      <c r="G40">
        <f t="shared" si="5"/>
        <v>281.25</v>
      </c>
      <c r="H40">
        <f t="shared" si="5"/>
        <v>421.875</v>
      </c>
      <c r="I40">
        <f t="shared" si="5"/>
        <v>562.5</v>
      </c>
      <c r="J40">
        <f t="shared" si="5"/>
        <v>843.75</v>
      </c>
      <c r="K40">
        <f t="shared" si="5"/>
        <v>1125</v>
      </c>
      <c r="L40">
        <f t="shared" si="5"/>
        <v>1687.5</v>
      </c>
      <c r="M40">
        <f t="shared" si="5"/>
        <v>2250</v>
      </c>
      <c r="N40">
        <f t="shared" si="5"/>
        <v>2812.5</v>
      </c>
      <c r="O40">
        <f t="shared" si="5"/>
        <v>3375</v>
      </c>
      <c r="P40">
        <f t="shared" si="5"/>
        <v>4500</v>
      </c>
      <c r="Q40">
        <f t="shared" si="5"/>
        <v>5625</v>
      </c>
    </row>
    <row r="41" spans="1:17" x14ac:dyDescent="0.2">
      <c r="B41" t="s">
        <v>451</v>
      </c>
      <c r="C41">
        <f t="shared" ref="C41:Q41" si="6">C27</f>
        <v>46.875</v>
      </c>
      <c r="D41">
        <f t="shared" si="6"/>
        <v>93.75</v>
      </c>
      <c r="E41">
        <f t="shared" si="6"/>
        <v>187.5</v>
      </c>
      <c r="F41">
        <f t="shared" si="6"/>
        <v>281.25</v>
      </c>
      <c r="G41">
        <f t="shared" si="6"/>
        <v>468.75</v>
      </c>
      <c r="H41">
        <f t="shared" si="6"/>
        <v>703.125</v>
      </c>
      <c r="I41">
        <f t="shared" si="6"/>
        <v>937.5</v>
      </c>
      <c r="J41">
        <f t="shared" si="6"/>
        <v>1406.25</v>
      </c>
      <c r="K41">
        <f t="shared" si="6"/>
        <v>1875</v>
      </c>
      <c r="L41">
        <f t="shared" si="6"/>
        <v>2812.5</v>
      </c>
      <c r="M41">
        <f t="shared" si="6"/>
        <v>3750</v>
      </c>
      <c r="N41">
        <f t="shared" si="6"/>
        <v>4687.5</v>
      </c>
      <c r="O41">
        <f t="shared" si="6"/>
        <v>5625</v>
      </c>
      <c r="P41">
        <f t="shared" si="6"/>
        <v>7500</v>
      </c>
      <c r="Q41">
        <f t="shared" si="6"/>
        <v>9375</v>
      </c>
    </row>
    <row r="42" spans="1:17" x14ac:dyDescent="0.2">
      <c r="B42" t="s">
        <v>453</v>
      </c>
    </row>
    <row r="43" spans="1:17" x14ac:dyDescent="0.2">
      <c r="B43" t="s">
        <v>454</v>
      </c>
      <c r="C43">
        <f t="shared" ref="C43:Q43" si="7">C29</f>
        <v>187.5</v>
      </c>
      <c r="D43">
        <f t="shared" si="7"/>
        <v>375</v>
      </c>
      <c r="E43">
        <f t="shared" si="7"/>
        <v>750</v>
      </c>
      <c r="F43">
        <f t="shared" si="7"/>
        <v>1125</v>
      </c>
      <c r="G43">
        <f t="shared" si="7"/>
        <v>1875</v>
      </c>
      <c r="H43">
        <f t="shared" si="7"/>
        <v>2812.5</v>
      </c>
      <c r="I43">
        <f t="shared" si="7"/>
        <v>3750</v>
      </c>
      <c r="J43">
        <f t="shared" si="7"/>
        <v>5625</v>
      </c>
      <c r="K43">
        <f t="shared" si="7"/>
        <v>7500</v>
      </c>
      <c r="L43">
        <f t="shared" si="7"/>
        <v>11250</v>
      </c>
      <c r="M43">
        <f t="shared" si="7"/>
        <v>15000</v>
      </c>
      <c r="N43">
        <f t="shared" si="7"/>
        <v>18750</v>
      </c>
      <c r="O43">
        <f t="shared" si="7"/>
        <v>22500</v>
      </c>
      <c r="P43">
        <f t="shared" si="7"/>
        <v>30000</v>
      </c>
      <c r="Q43">
        <f t="shared" si="7"/>
        <v>37500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36A6B-9965-4A36-9D31-CA9CB07244DB}">
  <sheetPr>
    <tabColor rgb="FFFF0000"/>
  </sheetPr>
  <dimension ref="A2:AC54"/>
  <sheetViews>
    <sheetView topLeftCell="A4" zoomScale="70" zoomScaleNormal="70" workbookViewId="0">
      <selection activeCell="K55" sqref="K55"/>
    </sheetView>
  </sheetViews>
  <sheetFormatPr defaultRowHeight="14.25" x14ac:dyDescent="0.2"/>
  <sheetData>
    <row r="2" spans="1:29" x14ac:dyDescent="0.2">
      <c r="C2" t="s">
        <v>168</v>
      </c>
    </row>
    <row r="3" spans="1:29" x14ac:dyDescent="0.2">
      <c r="C3" t="s">
        <v>169</v>
      </c>
      <c r="D3" t="s">
        <v>170</v>
      </c>
      <c r="E3" t="s">
        <v>387</v>
      </c>
    </row>
    <row r="4" spans="1:29" x14ac:dyDescent="0.2">
      <c r="B4" t="s">
        <v>173</v>
      </c>
      <c r="C4">
        <v>0.53300000000000003</v>
      </c>
      <c r="D4">
        <v>0.221</v>
      </c>
      <c r="E4">
        <v>0.17299999999999999</v>
      </c>
      <c r="F4" t="s">
        <v>179</v>
      </c>
      <c r="H4" t="s">
        <v>118</v>
      </c>
    </row>
    <row r="5" spans="1:29" x14ac:dyDescent="0.2">
      <c r="B5" t="s">
        <v>174</v>
      </c>
      <c r="C5">
        <v>0.52700000000000002</v>
      </c>
      <c r="D5">
        <v>0.219</v>
      </c>
      <c r="E5">
        <v>0.16500000000000001</v>
      </c>
      <c r="F5" t="s">
        <v>179</v>
      </c>
      <c r="H5" t="s">
        <v>221</v>
      </c>
    </row>
    <row r="6" spans="1:29" x14ac:dyDescent="0.2">
      <c r="B6" t="s">
        <v>175</v>
      </c>
      <c r="C6">
        <v>0.52800000000000002</v>
      </c>
      <c r="D6">
        <v>0.22</v>
      </c>
      <c r="E6">
        <v>0.17399999999999999</v>
      </c>
      <c r="F6" t="s">
        <v>179</v>
      </c>
    </row>
    <row r="7" spans="1:29" x14ac:dyDescent="0.2">
      <c r="B7" t="s">
        <v>176</v>
      </c>
      <c r="C7">
        <v>0.52900000000000003</v>
      </c>
      <c r="D7">
        <v>0.219</v>
      </c>
      <c r="E7">
        <v>0.17</v>
      </c>
      <c r="F7" t="s">
        <v>179</v>
      </c>
    </row>
    <row r="8" spans="1:29" x14ac:dyDescent="0.2">
      <c r="C8">
        <f>AVERAGE(C4:C7)</f>
        <v>0.52925</v>
      </c>
      <c r="D8">
        <f>AVERAGE(D4:D7)</f>
        <v>0.21975</v>
      </c>
      <c r="E8">
        <f>AVERAGE(E4:E7)</f>
        <v>0.17050000000000001</v>
      </c>
    </row>
    <row r="12" spans="1:29" x14ac:dyDescent="0.2">
      <c r="A12" t="s">
        <v>521</v>
      </c>
    </row>
    <row r="14" spans="1:29" x14ac:dyDescent="0.2">
      <c r="B14" t="s">
        <v>407</v>
      </c>
      <c r="J14" t="s">
        <v>601</v>
      </c>
      <c r="Q14" t="s">
        <v>603</v>
      </c>
      <c r="Y14" t="s">
        <v>224</v>
      </c>
    </row>
    <row r="16" spans="1:29" x14ac:dyDescent="0.2">
      <c r="B16" t="s">
        <v>89</v>
      </c>
      <c r="C16" t="s">
        <v>384</v>
      </c>
      <c r="D16" t="s">
        <v>385</v>
      </c>
      <c r="F16" t="s">
        <v>168</v>
      </c>
      <c r="G16" t="s">
        <v>388</v>
      </c>
      <c r="J16" t="s">
        <v>89</v>
      </c>
      <c r="K16" t="s">
        <v>165</v>
      </c>
      <c r="L16" t="s">
        <v>166</v>
      </c>
      <c r="O16" t="s">
        <v>168</v>
      </c>
      <c r="Q16" t="s">
        <v>89</v>
      </c>
      <c r="R16" t="s">
        <v>165</v>
      </c>
      <c r="S16" t="s">
        <v>166</v>
      </c>
      <c r="U16" t="s">
        <v>602</v>
      </c>
      <c r="V16" t="s">
        <v>168</v>
      </c>
      <c r="Y16" t="s">
        <v>89</v>
      </c>
      <c r="Z16" t="s">
        <v>396</v>
      </c>
      <c r="AA16" t="s">
        <v>385</v>
      </c>
      <c r="AC16" t="s">
        <v>168</v>
      </c>
    </row>
    <row r="17" spans="2:29" x14ac:dyDescent="0.2">
      <c r="B17">
        <v>5</v>
      </c>
      <c r="C17">
        <v>6</v>
      </c>
      <c r="D17">
        <f>C17*0.3</f>
        <v>1.7999999999999998</v>
      </c>
      <c r="F17" t="s">
        <v>169</v>
      </c>
      <c r="G17">
        <v>1</v>
      </c>
      <c r="J17">
        <v>5</v>
      </c>
      <c r="K17">
        <v>2800</v>
      </c>
      <c r="L17">
        <f>K17*0.3</f>
        <v>840</v>
      </c>
      <c r="O17" t="s">
        <v>169</v>
      </c>
      <c r="Q17">
        <v>5</v>
      </c>
      <c r="R17">
        <f>'Septic Tank - British '!AE98</f>
        <v>2.9</v>
      </c>
      <c r="S17">
        <f>('Septic Tank - British '!AF98)*1000</f>
        <v>957</v>
      </c>
      <c r="U17">
        <v>1</v>
      </c>
      <c r="V17" t="s">
        <v>169</v>
      </c>
      <c r="Y17">
        <v>5</v>
      </c>
      <c r="Z17">
        <f>4.731/3</f>
        <v>1.577</v>
      </c>
      <c r="AA17" s="4">
        <f>(Z17*0.3)*1000</f>
        <v>473.09999999999997</v>
      </c>
      <c r="AC17" t="s">
        <v>169</v>
      </c>
    </row>
    <row r="18" spans="2:29" x14ac:dyDescent="0.2">
      <c r="B18">
        <v>10</v>
      </c>
      <c r="C18">
        <v>12</v>
      </c>
      <c r="D18">
        <f t="shared" ref="D18:D31" si="0">C18*0.3</f>
        <v>3.5999999999999996</v>
      </c>
      <c r="F18" t="s">
        <v>170</v>
      </c>
      <c r="G18">
        <v>1</v>
      </c>
      <c r="J18">
        <v>10</v>
      </c>
      <c r="K18">
        <v>3000</v>
      </c>
      <c r="L18">
        <f t="shared" ref="L18:L22" si="1">K18*0.3</f>
        <v>900</v>
      </c>
      <c r="O18" t="s">
        <v>169</v>
      </c>
      <c r="Q18">
        <v>10</v>
      </c>
      <c r="R18">
        <f>'Septic Tank - British '!AE99</f>
        <v>3.8</v>
      </c>
      <c r="S18">
        <f>('Septic Tank - British '!AF99)*1000</f>
        <v>1254</v>
      </c>
      <c r="U18">
        <v>1</v>
      </c>
      <c r="V18" t="s">
        <v>169</v>
      </c>
      <c r="Y18">
        <v>10</v>
      </c>
      <c r="Z18">
        <f>8.806/3</f>
        <v>2.9353333333333329</v>
      </c>
      <c r="AA18" s="4">
        <f t="shared" ref="AA18:AA23" si="2">(Z18*0.3)*1000</f>
        <v>880.5999999999998</v>
      </c>
      <c r="AC18" t="s">
        <v>169</v>
      </c>
    </row>
    <row r="19" spans="2:29" x14ac:dyDescent="0.2">
      <c r="B19">
        <v>20</v>
      </c>
      <c r="C19">
        <v>24</v>
      </c>
      <c r="D19">
        <f t="shared" si="0"/>
        <v>7.1999999999999993</v>
      </c>
      <c r="F19" t="s">
        <v>170</v>
      </c>
      <c r="G19">
        <v>1</v>
      </c>
      <c r="J19">
        <v>20</v>
      </c>
      <c r="K19">
        <v>6500</v>
      </c>
      <c r="L19">
        <f t="shared" si="1"/>
        <v>1950</v>
      </c>
      <c r="O19" t="s">
        <v>169</v>
      </c>
      <c r="Q19">
        <v>20</v>
      </c>
      <c r="R19">
        <f>'Septic Tank - British '!AE100</f>
        <v>5.6</v>
      </c>
      <c r="S19">
        <f>('Septic Tank - British '!AF100)*1000</f>
        <v>1847.9999999999998</v>
      </c>
      <c r="U19">
        <v>1</v>
      </c>
      <c r="V19" t="s">
        <v>169</v>
      </c>
      <c r="Y19">
        <v>20</v>
      </c>
      <c r="Z19">
        <f>14.35/3</f>
        <v>4.7833333333333332</v>
      </c>
      <c r="AA19" s="4">
        <f t="shared" si="2"/>
        <v>1434.9999999999998</v>
      </c>
      <c r="AC19" t="s">
        <v>169</v>
      </c>
    </row>
    <row r="20" spans="2:29" x14ac:dyDescent="0.2">
      <c r="B20">
        <v>30</v>
      </c>
      <c r="C20">
        <v>36</v>
      </c>
      <c r="D20">
        <f t="shared" si="0"/>
        <v>10.799999999999999</v>
      </c>
      <c r="F20" t="s">
        <v>387</v>
      </c>
      <c r="G20">
        <v>1</v>
      </c>
      <c r="J20">
        <v>30</v>
      </c>
      <c r="K20">
        <v>9</v>
      </c>
      <c r="L20">
        <f t="shared" si="1"/>
        <v>2.6999999999999997</v>
      </c>
      <c r="O20" t="s">
        <v>170</v>
      </c>
      <c r="Q20">
        <v>30</v>
      </c>
      <c r="R20">
        <f>'Septic Tank - British '!AE101</f>
        <v>7.4</v>
      </c>
      <c r="S20">
        <f>('Septic Tank - British '!AF101)*1000</f>
        <v>2442</v>
      </c>
      <c r="U20">
        <v>1</v>
      </c>
      <c r="V20" t="s">
        <v>170</v>
      </c>
      <c r="Y20">
        <v>30</v>
      </c>
      <c r="Z20">
        <v>8.9466486792452837</v>
      </c>
      <c r="AA20" s="4">
        <f t="shared" si="2"/>
        <v>2683.9946037735849</v>
      </c>
      <c r="AC20" t="s">
        <v>170</v>
      </c>
    </row>
    <row r="21" spans="2:29" x14ac:dyDescent="0.2">
      <c r="B21">
        <v>50</v>
      </c>
      <c r="C21">
        <v>60</v>
      </c>
      <c r="D21">
        <f t="shared" si="0"/>
        <v>18</v>
      </c>
      <c r="F21" t="s">
        <v>387</v>
      </c>
      <c r="G21">
        <v>1</v>
      </c>
      <c r="J21">
        <v>50</v>
      </c>
      <c r="K21">
        <v>12000</v>
      </c>
      <c r="L21">
        <f t="shared" si="1"/>
        <v>3600</v>
      </c>
      <c r="O21" t="s">
        <v>170</v>
      </c>
      <c r="Q21">
        <v>50</v>
      </c>
      <c r="R21">
        <f>'Septic Tank - British '!AE102</f>
        <v>11</v>
      </c>
      <c r="S21">
        <f>('Septic Tank - British '!AF102)*1000</f>
        <v>3630.0000000000005</v>
      </c>
      <c r="U21">
        <v>1</v>
      </c>
      <c r="V21" t="s">
        <v>170</v>
      </c>
      <c r="Y21">
        <v>50</v>
      </c>
      <c r="Z21">
        <v>14.884123245283021</v>
      </c>
      <c r="AA21" s="4">
        <f t="shared" si="2"/>
        <v>4465.2369735849061</v>
      </c>
      <c r="AC21" t="s">
        <v>170</v>
      </c>
    </row>
    <row r="22" spans="2:29" x14ac:dyDescent="0.2">
      <c r="B22">
        <v>75</v>
      </c>
      <c r="C22">
        <v>90</v>
      </c>
      <c r="D22">
        <f t="shared" si="0"/>
        <v>27</v>
      </c>
      <c r="F22" t="s">
        <v>387</v>
      </c>
      <c r="G22">
        <f>ROUNDUP(D22/18,0)</f>
        <v>2</v>
      </c>
      <c r="J22">
        <v>75</v>
      </c>
      <c r="K22">
        <v>15000</v>
      </c>
      <c r="L22">
        <f t="shared" si="1"/>
        <v>4500</v>
      </c>
      <c r="O22" t="s">
        <v>170</v>
      </c>
      <c r="Q22">
        <v>75</v>
      </c>
      <c r="R22">
        <f>'Septic Tank - British '!AE103</f>
        <v>15.5</v>
      </c>
      <c r="S22">
        <f>('Septic Tank - British '!AF103)*1000</f>
        <v>5115</v>
      </c>
      <c r="U22">
        <v>1</v>
      </c>
      <c r="V22" t="s">
        <v>170</v>
      </c>
      <c r="Y22">
        <v>75</v>
      </c>
      <c r="Z22">
        <v>16.475710145568005</v>
      </c>
      <c r="AA22" s="4">
        <f t="shared" si="2"/>
        <v>4942.713043670401</v>
      </c>
      <c r="AC22" t="s">
        <v>170</v>
      </c>
    </row>
    <row r="23" spans="2:29" x14ac:dyDescent="0.2">
      <c r="B23">
        <v>100</v>
      </c>
      <c r="C23">
        <v>120</v>
      </c>
      <c r="D23">
        <f t="shared" si="0"/>
        <v>36</v>
      </c>
      <c r="F23" t="s">
        <v>387</v>
      </c>
      <c r="G23">
        <f t="shared" ref="G23:G31" si="3">ROUNDUP(D23/18,0)</f>
        <v>2</v>
      </c>
      <c r="J23">
        <v>100</v>
      </c>
      <c r="K23">
        <v>20000</v>
      </c>
      <c r="L23">
        <f>K23*0.3</f>
        <v>6000</v>
      </c>
      <c r="O23" t="s">
        <v>170</v>
      </c>
      <c r="Q23">
        <v>100</v>
      </c>
      <c r="R23">
        <f>'Septic Tank - British '!AE104</f>
        <v>20</v>
      </c>
      <c r="S23">
        <f>('Septic Tank - British '!AF104)*1000</f>
        <v>6600.0000000000009</v>
      </c>
      <c r="U23">
        <v>1</v>
      </c>
      <c r="V23" t="s">
        <v>170</v>
      </c>
      <c r="Y23">
        <v>100</v>
      </c>
      <c r="Z23">
        <v>19.887115310342068</v>
      </c>
      <c r="AA23" s="4">
        <f t="shared" si="2"/>
        <v>5966.1345931026208</v>
      </c>
      <c r="AC23" t="s">
        <v>170</v>
      </c>
    </row>
    <row r="24" spans="2:29" x14ac:dyDescent="0.2">
      <c r="B24">
        <v>150</v>
      </c>
      <c r="J24">
        <v>150</v>
      </c>
      <c r="Q24">
        <v>150</v>
      </c>
      <c r="R24">
        <f>'Septic Tank - British '!AE105</f>
        <v>29</v>
      </c>
      <c r="S24">
        <f>('Septic Tank - British '!AF105)*1000</f>
        <v>9570</v>
      </c>
      <c r="U24">
        <v>1</v>
      </c>
      <c r="V24" t="s">
        <v>170</v>
      </c>
      <c r="Y24">
        <v>150</v>
      </c>
      <c r="AA24" s="4"/>
    </row>
    <row r="25" spans="2:29" x14ac:dyDescent="0.2">
      <c r="B25">
        <v>200</v>
      </c>
      <c r="C25">
        <v>240</v>
      </c>
      <c r="D25">
        <f t="shared" si="0"/>
        <v>72</v>
      </c>
      <c r="F25" t="s">
        <v>387</v>
      </c>
      <c r="G25">
        <f t="shared" si="3"/>
        <v>4</v>
      </c>
      <c r="J25">
        <v>200</v>
      </c>
      <c r="Q25">
        <v>200</v>
      </c>
      <c r="R25">
        <f>'Septic Tank - British '!AE106</f>
        <v>38</v>
      </c>
      <c r="S25">
        <f>('Septic Tank - British '!AF106)*1000</f>
        <v>12540.000000000002</v>
      </c>
      <c r="U25">
        <v>1</v>
      </c>
      <c r="V25" t="s">
        <v>387</v>
      </c>
      <c r="Y25">
        <v>200</v>
      </c>
    </row>
    <row r="26" spans="2:29" x14ac:dyDescent="0.2">
      <c r="B26">
        <v>300</v>
      </c>
      <c r="C26">
        <v>360</v>
      </c>
      <c r="D26">
        <f t="shared" si="0"/>
        <v>108</v>
      </c>
      <c r="F26" t="s">
        <v>387</v>
      </c>
      <c r="G26">
        <f t="shared" si="3"/>
        <v>6</v>
      </c>
      <c r="J26">
        <v>300</v>
      </c>
      <c r="Q26">
        <v>300</v>
      </c>
      <c r="R26">
        <f>'Septic Tank - British '!AE107</f>
        <v>56</v>
      </c>
      <c r="S26">
        <f>('Septic Tank - British '!AF107)*1000</f>
        <v>18480</v>
      </c>
      <c r="U26">
        <v>1</v>
      </c>
      <c r="V26" t="s">
        <v>387</v>
      </c>
      <c r="Y26">
        <v>300</v>
      </c>
    </row>
    <row r="27" spans="2:29" x14ac:dyDescent="0.2">
      <c r="B27">
        <v>400</v>
      </c>
      <c r="C27">
        <v>480</v>
      </c>
      <c r="D27">
        <f t="shared" si="0"/>
        <v>144</v>
      </c>
      <c r="F27" t="s">
        <v>387</v>
      </c>
      <c r="G27">
        <f>ROUNDUP(D27/18,0)</f>
        <v>8</v>
      </c>
      <c r="J27">
        <v>400</v>
      </c>
      <c r="Q27">
        <v>400</v>
      </c>
      <c r="R27">
        <f>'Septic Tank - British '!AE108</f>
        <v>74</v>
      </c>
      <c r="S27">
        <f>('Septic Tank - British '!AF108)*1000</f>
        <v>24420</v>
      </c>
      <c r="U27">
        <f>ROUNDUP(S27/19000,0)</f>
        <v>2</v>
      </c>
      <c r="V27" t="s">
        <v>387</v>
      </c>
      <c r="Y27">
        <v>400</v>
      </c>
    </row>
    <row r="28" spans="2:29" x14ac:dyDescent="0.2">
      <c r="B28">
        <v>500</v>
      </c>
      <c r="C28">
        <v>600</v>
      </c>
      <c r="D28">
        <f t="shared" si="0"/>
        <v>180</v>
      </c>
      <c r="F28" t="s">
        <v>387</v>
      </c>
      <c r="G28">
        <f t="shared" si="3"/>
        <v>10</v>
      </c>
      <c r="J28">
        <v>500</v>
      </c>
      <c r="Q28">
        <v>500</v>
      </c>
      <c r="R28">
        <f>'Septic Tank - British '!AE109</f>
        <v>92</v>
      </c>
      <c r="S28">
        <f>('Septic Tank - British '!AF109)*1000</f>
        <v>30360.000000000004</v>
      </c>
      <c r="U28">
        <f>ROUNDUP(S28/19000,0)</f>
        <v>2</v>
      </c>
      <c r="V28" t="s">
        <v>387</v>
      </c>
      <c r="Y28">
        <v>500</v>
      </c>
    </row>
    <row r="29" spans="2:29" x14ac:dyDescent="0.2">
      <c r="B29">
        <v>600</v>
      </c>
      <c r="C29">
        <v>720</v>
      </c>
      <c r="D29">
        <f t="shared" si="0"/>
        <v>216</v>
      </c>
      <c r="F29" t="s">
        <v>387</v>
      </c>
      <c r="G29">
        <f t="shared" si="3"/>
        <v>12</v>
      </c>
      <c r="J29">
        <v>600</v>
      </c>
      <c r="Q29">
        <v>600</v>
      </c>
      <c r="R29">
        <f>'Septic Tank - British '!AE110</f>
        <v>110</v>
      </c>
      <c r="S29">
        <f>('Septic Tank - British '!AF110)*1000</f>
        <v>36300.000000000007</v>
      </c>
      <c r="U29">
        <f t="shared" ref="U29:U31" si="4">ROUNDUP(S29/19000,0)</f>
        <v>2</v>
      </c>
      <c r="V29" t="s">
        <v>387</v>
      </c>
      <c r="Y29">
        <v>600</v>
      </c>
    </row>
    <row r="30" spans="2:29" x14ac:dyDescent="0.2">
      <c r="B30">
        <v>800</v>
      </c>
      <c r="C30">
        <v>960</v>
      </c>
      <c r="D30">
        <f t="shared" si="0"/>
        <v>288</v>
      </c>
      <c r="F30" t="s">
        <v>387</v>
      </c>
      <c r="G30">
        <f t="shared" si="3"/>
        <v>16</v>
      </c>
      <c r="J30">
        <v>800</v>
      </c>
      <c r="Q30">
        <v>800</v>
      </c>
      <c r="R30">
        <f>'Septic Tank - British '!AE111</f>
        <v>146</v>
      </c>
      <c r="S30">
        <f>('Septic Tank - British '!AF111)*1000</f>
        <v>48180</v>
      </c>
      <c r="U30">
        <f t="shared" si="4"/>
        <v>3</v>
      </c>
      <c r="V30" t="s">
        <v>387</v>
      </c>
      <c r="Y30">
        <v>800</v>
      </c>
    </row>
    <row r="31" spans="2:29" x14ac:dyDescent="0.2">
      <c r="B31">
        <v>1000</v>
      </c>
      <c r="C31">
        <v>1200</v>
      </c>
      <c r="D31">
        <f t="shared" si="0"/>
        <v>360</v>
      </c>
      <c r="F31" t="s">
        <v>387</v>
      </c>
      <c r="G31">
        <f t="shared" si="3"/>
        <v>20</v>
      </c>
      <c r="J31">
        <v>1000</v>
      </c>
      <c r="Q31">
        <v>1000</v>
      </c>
      <c r="R31">
        <f>'Septic Tank - British '!AE112</f>
        <v>182</v>
      </c>
      <c r="S31">
        <f>('Septic Tank - British '!AF112)*1000</f>
        <v>60060</v>
      </c>
      <c r="U31">
        <f t="shared" si="4"/>
        <v>4</v>
      </c>
      <c r="V31" t="s">
        <v>387</v>
      </c>
      <c r="Y31">
        <v>1000</v>
      </c>
    </row>
    <row r="35" spans="2:7" x14ac:dyDescent="0.2">
      <c r="B35">
        <v>7.5</v>
      </c>
      <c r="C35" t="s">
        <v>522</v>
      </c>
      <c r="E35" t="s">
        <v>523</v>
      </c>
      <c r="G35" t="s">
        <v>171</v>
      </c>
    </row>
    <row r="36" spans="2:7" x14ac:dyDescent="0.2">
      <c r="B36">
        <v>15</v>
      </c>
      <c r="C36" t="s">
        <v>527</v>
      </c>
      <c r="D36" t="s">
        <v>528</v>
      </c>
      <c r="E36" t="s">
        <v>529</v>
      </c>
      <c r="G36" t="s">
        <v>526</v>
      </c>
    </row>
    <row r="37" spans="2:7" x14ac:dyDescent="0.2">
      <c r="B37">
        <v>32</v>
      </c>
      <c r="C37" t="s">
        <v>524</v>
      </c>
      <c r="E37" t="s">
        <v>525</v>
      </c>
      <c r="G37" t="s">
        <v>526</v>
      </c>
    </row>
    <row r="40" spans="2:7" x14ac:dyDescent="0.2">
      <c r="B40" t="s">
        <v>530</v>
      </c>
    </row>
    <row r="44" spans="2:7" x14ac:dyDescent="0.2">
      <c r="D44" t="s">
        <v>531</v>
      </c>
    </row>
    <row r="45" spans="2:7" x14ac:dyDescent="0.2">
      <c r="B45" t="s">
        <v>532</v>
      </c>
      <c r="C45" t="s">
        <v>533</v>
      </c>
      <c r="D45" t="s">
        <v>169</v>
      </c>
      <c r="E45" t="s">
        <v>170</v>
      </c>
      <c r="F45" t="s">
        <v>387</v>
      </c>
    </row>
    <row r="46" spans="2:7" x14ac:dyDescent="0.2">
      <c r="B46">
        <v>5</v>
      </c>
      <c r="C46">
        <f>B46*1.6</f>
        <v>8</v>
      </c>
      <c r="D46">
        <f t="shared" ref="D46:D54" si="5">B$35*$C$8*$C46</f>
        <v>31.754999999999999</v>
      </c>
      <c r="E46">
        <f>$B$36*D$8*$C46</f>
        <v>26.37</v>
      </c>
      <c r="F46">
        <f>$B$37*E$8*$C46</f>
        <v>43.648000000000003</v>
      </c>
    </row>
    <row r="47" spans="2:7" x14ac:dyDescent="0.2">
      <c r="B47">
        <v>10</v>
      </c>
      <c r="C47">
        <f t="shared" ref="C47:C54" si="6">B47*1.6</f>
        <v>16</v>
      </c>
      <c r="D47">
        <f t="shared" si="5"/>
        <v>63.51</v>
      </c>
      <c r="E47">
        <f t="shared" ref="E47:E54" si="7">$B$36*D$8*$C47</f>
        <v>52.74</v>
      </c>
      <c r="F47">
        <f t="shared" ref="F47:F54" si="8">$B$37*E$8*$C47</f>
        <v>87.296000000000006</v>
      </c>
    </row>
    <row r="48" spans="2:7" x14ac:dyDescent="0.2">
      <c r="B48">
        <v>20</v>
      </c>
      <c r="C48">
        <f t="shared" si="6"/>
        <v>32</v>
      </c>
      <c r="D48">
        <f t="shared" si="5"/>
        <v>127.02</v>
      </c>
      <c r="E48">
        <f t="shared" si="7"/>
        <v>105.48</v>
      </c>
      <c r="F48">
        <f t="shared" si="8"/>
        <v>174.59200000000001</v>
      </c>
    </row>
    <row r="49" spans="2:6" x14ac:dyDescent="0.2">
      <c r="B49">
        <v>30</v>
      </c>
      <c r="C49">
        <f t="shared" si="6"/>
        <v>48</v>
      </c>
      <c r="D49">
        <f t="shared" si="5"/>
        <v>190.53</v>
      </c>
      <c r="E49">
        <f t="shared" si="7"/>
        <v>158.22</v>
      </c>
      <c r="F49">
        <f t="shared" si="8"/>
        <v>261.88800000000003</v>
      </c>
    </row>
    <row r="50" spans="2:6" x14ac:dyDescent="0.2">
      <c r="B50">
        <v>40</v>
      </c>
      <c r="C50">
        <f t="shared" si="6"/>
        <v>64</v>
      </c>
      <c r="D50">
        <f t="shared" si="5"/>
        <v>254.04</v>
      </c>
      <c r="E50">
        <f t="shared" si="7"/>
        <v>210.96</v>
      </c>
      <c r="F50">
        <f t="shared" si="8"/>
        <v>349.18400000000003</v>
      </c>
    </row>
    <row r="51" spans="2:6" x14ac:dyDescent="0.2">
      <c r="B51">
        <v>50</v>
      </c>
      <c r="C51">
        <f t="shared" si="6"/>
        <v>80</v>
      </c>
      <c r="D51">
        <f t="shared" si="5"/>
        <v>317.55</v>
      </c>
      <c r="E51">
        <f t="shared" si="7"/>
        <v>263.7</v>
      </c>
      <c r="F51">
        <f t="shared" si="8"/>
        <v>436.48</v>
      </c>
    </row>
    <row r="52" spans="2:6" x14ac:dyDescent="0.2">
      <c r="B52">
        <v>60</v>
      </c>
      <c r="C52">
        <f t="shared" si="6"/>
        <v>96</v>
      </c>
      <c r="D52">
        <f t="shared" si="5"/>
        <v>381.06</v>
      </c>
      <c r="E52">
        <f t="shared" si="7"/>
        <v>316.44</v>
      </c>
      <c r="F52">
        <f t="shared" si="8"/>
        <v>523.77600000000007</v>
      </c>
    </row>
    <row r="53" spans="2:6" x14ac:dyDescent="0.2">
      <c r="B53">
        <v>70</v>
      </c>
      <c r="C53">
        <f t="shared" si="6"/>
        <v>112</v>
      </c>
      <c r="D53">
        <f t="shared" si="5"/>
        <v>444.57</v>
      </c>
      <c r="E53">
        <f t="shared" si="7"/>
        <v>369.18</v>
      </c>
      <c r="F53">
        <f t="shared" si="8"/>
        <v>611.072</v>
      </c>
    </row>
    <row r="54" spans="2:6" x14ac:dyDescent="0.2">
      <c r="B54">
        <v>80</v>
      </c>
      <c r="C54">
        <f t="shared" si="6"/>
        <v>128</v>
      </c>
      <c r="D54">
        <f t="shared" si="5"/>
        <v>508.08</v>
      </c>
      <c r="E54">
        <f t="shared" si="7"/>
        <v>421.92</v>
      </c>
      <c r="F54">
        <f t="shared" si="8"/>
        <v>698.36800000000005</v>
      </c>
    </row>
  </sheetData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C4EA2-FAAF-44DF-A69B-6BCAB7AA7AA6}">
  <sheetPr>
    <tabColor rgb="FFFF0000"/>
  </sheetPr>
  <dimension ref="A1:Z94"/>
  <sheetViews>
    <sheetView topLeftCell="H22" workbookViewId="0">
      <selection activeCell="R34" sqref="R34"/>
    </sheetView>
  </sheetViews>
  <sheetFormatPr defaultRowHeight="14.25" x14ac:dyDescent="0.2"/>
  <cols>
    <col min="2" max="2" width="19.75" customWidth="1"/>
    <col min="8" max="8" width="35" customWidth="1"/>
    <col min="9" max="9" width="16.75" style="56" customWidth="1"/>
    <col min="10" max="10" width="20.75" customWidth="1"/>
  </cols>
  <sheetData>
    <row r="1" spans="2:12" ht="15" thickBot="1" x14ac:dyDescent="0.25"/>
    <row r="2" spans="2:12" ht="16.5" thickBot="1" x14ac:dyDescent="0.25">
      <c r="B2" t="s">
        <v>552</v>
      </c>
      <c r="H2" s="58" t="s">
        <v>568</v>
      </c>
      <c r="I2" s="64" t="s">
        <v>569</v>
      </c>
      <c r="J2" s="59" t="s">
        <v>447</v>
      </c>
    </row>
    <row r="3" spans="2:12" ht="15.75" thickBot="1" x14ac:dyDescent="0.25">
      <c r="H3" s="60" t="s">
        <v>61</v>
      </c>
      <c r="I3" s="65"/>
      <c r="J3" s="61"/>
    </row>
    <row r="4" spans="2:12" ht="15.75" thickBot="1" x14ac:dyDescent="0.25">
      <c r="B4" s="57" t="s">
        <v>553</v>
      </c>
      <c r="C4" s="11"/>
      <c r="D4" s="11"/>
      <c r="H4" s="62" t="s">
        <v>570</v>
      </c>
      <c r="I4" s="65">
        <v>5.0000000000000001E-3</v>
      </c>
      <c r="J4" s="63" t="s">
        <v>571</v>
      </c>
    </row>
    <row r="5" spans="2:12" ht="15.75" thickBot="1" x14ac:dyDescent="0.25">
      <c r="B5" s="11"/>
      <c r="C5" s="11"/>
      <c r="D5" s="11"/>
      <c r="H5" s="62" t="s">
        <v>572</v>
      </c>
      <c r="I5" s="65">
        <v>11</v>
      </c>
      <c r="J5" s="61" t="s">
        <v>573</v>
      </c>
    </row>
    <row r="6" spans="2:12" ht="15.75" thickBot="1" x14ac:dyDescent="0.25">
      <c r="B6" s="11" t="s">
        <v>554</v>
      </c>
      <c r="C6" s="11"/>
      <c r="D6" s="11"/>
      <c r="H6" s="60" t="s">
        <v>574</v>
      </c>
      <c r="I6" s="65"/>
      <c r="J6" s="61"/>
    </row>
    <row r="7" spans="2:12" ht="15.75" thickBot="1" x14ac:dyDescent="0.25">
      <c r="B7" s="11" t="s">
        <v>555</v>
      </c>
      <c r="C7" s="11" t="s">
        <v>556</v>
      </c>
      <c r="D7" s="11"/>
      <c r="H7" s="62" t="s">
        <v>570</v>
      </c>
      <c r="I7" s="65">
        <v>0.15</v>
      </c>
      <c r="J7" s="63" t="s">
        <v>571</v>
      </c>
    </row>
    <row r="8" spans="2:12" ht="15.75" thickBot="1" x14ac:dyDescent="0.25">
      <c r="B8" s="11" t="s">
        <v>557</v>
      </c>
      <c r="C8" s="11"/>
      <c r="D8" s="11"/>
      <c r="H8" s="62" t="s">
        <v>572</v>
      </c>
      <c r="I8" s="65">
        <v>-0.3</v>
      </c>
      <c r="J8" s="61" t="s">
        <v>573</v>
      </c>
    </row>
    <row r="9" spans="2:12" ht="15.75" thickBot="1" x14ac:dyDescent="0.25">
      <c r="B9" s="11" t="s">
        <v>558</v>
      </c>
      <c r="C9" s="11" t="s">
        <v>559</v>
      </c>
      <c r="D9" s="11"/>
      <c r="H9" s="60" t="s">
        <v>575</v>
      </c>
      <c r="I9" s="65"/>
      <c r="J9" s="61"/>
    </row>
    <row r="10" spans="2:12" ht="15.75" thickBot="1" x14ac:dyDescent="0.25">
      <c r="B10" s="11"/>
      <c r="C10" s="11"/>
      <c r="D10" s="11"/>
      <c r="H10" s="62" t="s">
        <v>576</v>
      </c>
      <c r="I10" s="65">
        <v>2.5000000000000001E-2</v>
      </c>
      <c r="J10" s="61" t="s">
        <v>577</v>
      </c>
    </row>
    <row r="11" spans="2:12" ht="15.75" thickBot="1" x14ac:dyDescent="0.25">
      <c r="B11" s="11"/>
      <c r="C11" s="11"/>
      <c r="D11" s="11"/>
      <c r="H11" s="62" t="s">
        <v>578</v>
      </c>
      <c r="I11" s="65">
        <v>2.5000000000000001E-3</v>
      </c>
      <c r="J11" s="61" t="s">
        <v>579</v>
      </c>
    </row>
    <row r="12" spans="2:12" ht="15.75" thickBot="1" x14ac:dyDescent="0.25">
      <c r="B12" s="11" t="s">
        <v>560</v>
      </c>
      <c r="C12" s="11"/>
      <c r="D12" s="11"/>
      <c r="H12" s="60" t="s">
        <v>224</v>
      </c>
      <c r="I12" s="65"/>
      <c r="J12" s="61"/>
    </row>
    <row r="13" spans="2:12" ht="19.5" thickBot="1" x14ac:dyDescent="0.25">
      <c r="B13" s="11"/>
      <c r="C13" s="11"/>
      <c r="D13" s="11"/>
      <c r="H13" s="62" t="s">
        <v>580</v>
      </c>
      <c r="I13" s="65">
        <v>2E-3</v>
      </c>
      <c r="J13" s="61" t="s">
        <v>581</v>
      </c>
    </row>
    <row r="14" spans="2:12" ht="18" thickBot="1" x14ac:dyDescent="0.25">
      <c r="B14" s="11" t="s">
        <v>561</v>
      </c>
      <c r="C14" s="11" t="s">
        <v>562</v>
      </c>
      <c r="D14" s="11"/>
      <c r="H14" s="62" t="s">
        <v>582</v>
      </c>
      <c r="I14" s="65">
        <v>57</v>
      </c>
      <c r="J14" s="61" t="s">
        <v>583</v>
      </c>
    </row>
    <row r="15" spans="2:12" ht="15.75" thickBot="1" x14ac:dyDescent="0.25">
      <c r="B15" s="11" t="s">
        <v>563</v>
      </c>
      <c r="C15" s="11" t="s">
        <v>564</v>
      </c>
      <c r="D15" s="11"/>
      <c r="H15" s="60" t="s">
        <v>407</v>
      </c>
      <c r="I15" s="65"/>
      <c r="J15" s="61"/>
    </row>
    <row r="16" spans="2:12" ht="15.75" thickBot="1" x14ac:dyDescent="0.25">
      <c r="B16" s="11"/>
      <c r="C16" s="11"/>
      <c r="D16" s="11"/>
      <c r="H16" s="67" t="s">
        <v>92</v>
      </c>
      <c r="I16" s="68">
        <v>16.02</v>
      </c>
      <c r="J16" s="69" t="s">
        <v>584</v>
      </c>
      <c r="L16" t="s">
        <v>618</v>
      </c>
    </row>
    <row r="17" spans="2:20" ht="15.75" thickBot="1" x14ac:dyDescent="0.25">
      <c r="B17" s="11" t="s">
        <v>563</v>
      </c>
      <c r="C17" s="11" t="s">
        <v>367</v>
      </c>
      <c r="D17" s="11"/>
      <c r="H17" s="67" t="s">
        <v>585</v>
      </c>
      <c r="I17" s="68">
        <v>0.73</v>
      </c>
      <c r="J17" s="69" t="s">
        <v>584</v>
      </c>
      <c r="L17" t="s">
        <v>619</v>
      </c>
    </row>
    <row r="18" spans="2:20" ht="15.75" thickBot="1" x14ac:dyDescent="0.25">
      <c r="B18" s="11"/>
      <c r="C18" s="11" t="s">
        <v>565</v>
      </c>
      <c r="D18" s="11"/>
      <c r="H18" s="60" t="s">
        <v>586</v>
      </c>
      <c r="I18" s="65"/>
      <c r="J18" s="61"/>
    </row>
    <row r="19" spans="2:20" ht="19.5" thickBot="1" x14ac:dyDescent="0.25">
      <c r="B19" s="11">
        <v>0.01</v>
      </c>
      <c r="C19" s="11" t="s">
        <v>566</v>
      </c>
      <c r="D19" s="11"/>
      <c r="H19" s="62" t="s">
        <v>580</v>
      </c>
      <c r="I19" s="65">
        <v>1.8000000000000001E-4</v>
      </c>
      <c r="J19" s="61" t="s">
        <v>587</v>
      </c>
    </row>
    <row r="20" spans="2:20" ht="15.75" thickBot="1" x14ac:dyDescent="0.25">
      <c r="B20" s="11"/>
      <c r="C20" s="11"/>
      <c r="D20" s="11"/>
      <c r="H20" s="62" t="s">
        <v>588</v>
      </c>
      <c r="I20" s="65">
        <v>1.2800000000000001E-2</v>
      </c>
      <c r="J20" s="61" t="s">
        <v>589</v>
      </c>
    </row>
    <row r="21" spans="2:20" ht="15.75" thickBot="1" x14ac:dyDescent="0.25">
      <c r="B21" t="s">
        <v>567</v>
      </c>
      <c r="H21" s="60" t="s">
        <v>590</v>
      </c>
      <c r="I21" s="65"/>
      <c r="J21" s="61"/>
    </row>
    <row r="22" spans="2:20" ht="19.5" thickBot="1" x14ac:dyDescent="0.25">
      <c r="H22" s="62" t="s">
        <v>580</v>
      </c>
      <c r="I22" s="65">
        <v>1.1199999999999999E-3</v>
      </c>
      <c r="J22" s="61" t="s">
        <v>591</v>
      </c>
    </row>
    <row r="23" spans="2:20" ht="18" thickBot="1" x14ac:dyDescent="0.25">
      <c r="H23" s="62" t="s">
        <v>582</v>
      </c>
      <c r="I23" s="65">
        <v>0</v>
      </c>
      <c r="J23" s="61" t="s">
        <v>583</v>
      </c>
    </row>
    <row r="26" spans="2:20" x14ac:dyDescent="0.2">
      <c r="B26" t="s">
        <v>620</v>
      </c>
    </row>
    <row r="27" spans="2:20" x14ac:dyDescent="0.2">
      <c r="P27">
        <f>0.003*L34+0.3*L35</f>
        <v>9.1950000000000003</v>
      </c>
      <c r="Q27">
        <f>P27*2</f>
        <v>18.39</v>
      </c>
      <c r="R27">
        <f>Q27*24*365</f>
        <v>161096.4</v>
      </c>
      <c r="S27">
        <f>R27/1000</f>
        <v>161.09639999999999</v>
      </c>
      <c r="T27">
        <f>S27/1000</f>
        <v>0.1610964</v>
      </c>
    </row>
    <row r="28" spans="2:20" x14ac:dyDescent="0.2">
      <c r="B28">
        <f>2.7799*10^-2</f>
        <v>2.7799000000000001E-2</v>
      </c>
      <c r="C28" t="s">
        <v>70</v>
      </c>
    </row>
    <row r="29" spans="2:20" x14ac:dyDescent="0.2">
      <c r="B29">
        <v>2.3699999999999999E-4</v>
      </c>
      <c r="C29" t="s">
        <v>338</v>
      </c>
    </row>
    <row r="30" spans="2:20" x14ac:dyDescent="0.2">
      <c r="P30">
        <f>5.4*L35+0.424*L34</f>
        <v>263.56</v>
      </c>
      <c r="Q30">
        <f>P30*2</f>
        <v>527.12</v>
      </c>
      <c r="R30">
        <f>Q30*24*365</f>
        <v>4617571.2</v>
      </c>
      <c r="S30">
        <f>R30/1000</f>
        <v>4617.5712000000003</v>
      </c>
      <c r="T30">
        <f>S30/1000</f>
        <v>4.6175712000000004</v>
      </c>
    </row>
    <row r="31" spans="2:20" ht="15" thickBot="1" x14ac:dyDescent="0.25">
      <c r="B31">
        <f>B29/B28</f>
        <v>8.5254865282923843E-3</v>
      </c>
      <c r="C31" t="s">
        <v>621</v>
      </c>
    </row>
    <row r="32" spans="2:20" x14ac:dyDescent="0.2">
      <c r="H32" s="76" t="s">
        <v>641</v>
      </c>
      <c r="I32" s="77"/>
    </row>
    <row r="33" spans="2:26" x14ac:dyDescent="0.2">
      <c r="H33" s="78"/>
      <c r="I33" s="79" t="s">
        <v>642</v>
      </c>
    </row>
    <row r="34" spans="2:26" ht="15" x14ac:dyDescent="0.25">
      <c r="H34" s="38" t="s">
        <v>427</v>
      </c>
      <c r="I34" s="39">
        <v>100</v>
      </c>
      <c r="K34" t="s">
        <v>315</v>
      </c>
      <c r="L34">
        <v>265</v>
      </c>
    </row>
    <row r="35" spans="2:26" ht="15" x14ac:dyDescent="0.25">
      <c r="H35" s="38" t="s">
        <v>428</v>
      </c>
      <c r="I35" s="40">
        <v>25</v>
      </c>
      <c r="K35" t="s">
        <v>377</v>
      </c>
      <c r="L35">
        <v>28</v>
      </c>
    </row>
    <row r="36" spans="2:26" ht="30" customHeight="1" thickBot="1" x14ac:dyDescent="0.3">
      <c r="B36" s="62" t="s">
        <v>576</v>
      </c>
      <c r="C36" s="65">
        <v>2.5000000000000001E-2</v>
      </c>
      <c r="H36" s="41" t="s">
        <v>429</v>
      </c>
      <c r="I36" s="42">
        <v>15</v>
      </c>
    </row>
    <row r="37" spans="2:26" ht="33.75" customHeight="1" thickBot="1" x14ac:dyDescent="0.25">
      <c r="B37" s="62" t="s">
        <v>578</v>
      </c>
      <c r="C37" s="65">
        <v>2.5000000000000001E-3</v>
      </c>
    </row>
    <row r="40" spans="2:26" x14ac:dyDescent="0.2">
      <c r="B40" t="s">
        <v>89</v>
      </c>
      <c r="C40">
        <v>5</v>
      </c>
      <c r="D40">
        <v>10</v>
      </c>
      <c r="E40">
        <v>20</v>
      </c>
      <c r="F40">
        <v>30</v>
      </c>
      <c r="G40">
        <v>50</v>
      </c>
      <c r="H40">
        <v>75</v>
      </c>
      <c r="I40">
        <v>100</v>
      </c>
      <c r="J40">
        <v>150</v>
      </c>
      <c r="K40">
        <v>200</v>
      </c>
      <c r="L40">
        <v>300</v>
      </c>
      <c r="M40">
        <v>400</v>
      </c>
      <c r="N40">
        <v>500</v>
      </c>
      <c r="O40">
        <v>600</v>
      </c>
      <c r="P40">
        <v>800</v>
      </c>
      <c r="Q40">
        <v>1000</v>
      </c>
    </row>
    <row r="41" spans="2:26" x14ac:dyDescent="0.2">
      <c r="B41" t="s">
        <v>640</v>
      </c>
      <c r="C41">
        <v>1.875</v>
      </c>
      <c r="D41">
        <v>3.75</v>
      </c>
      <c r="E41">
        <v>7.5</v>
      </c>
      <c r="F41">
        <v>11.25</v>
      </c>
      <c r="G41">
        <v>18.75</v>
      </c>
      <c r="H41">
        <v>28.125</v>
      </c>
      <c r="I41">
        <v>37.5</v>
      </c>
      <c r="J41">
        <v>56.25</v>
      </c>
      <c r="K41">
        <v>75</v>
      </c>
      <c r="L41">
        <v>112.5</v>
      </c>
      <c r="M41">
        <v>150</v>
      </c>
      <c r="N41">
        <v>187.5</v>
      </c>
      <c r="O41">
        <v>225</v>
      </c>
      <c r="P41">
        <v>300</v>
      </c>
      <c r="Q41">
        <v>375</v>
      </c>
      <c r="V41" t="s">
        <v>89</v>
      </c>
    </row>
    <row r="42" spans="2:26" x14ac:dyDescent="0.2">
      <c r="V42">
        <v>5</v>
      </c>
      <c r="W42">
        <v>71.052539062500003</v>
      </c>
      <c r="Y42">
        <f>W42/V42</f>
        <v>14.210507812500001</v>
      </c>
      <c r="Z42" t="s">
        <v>648</v>
      </c>
    </row>
    <row r="43" spans="2:26" x14ac:dyDescent="0.2">
      <c r="B43" t="s">
        <v>643</v>
      </c>
      <c r="C43">
        <f>C41*$I$34</f>
        <v>187.5</v>
      </c>
      <c r="D43">
        <f t="shared" ref="D43:Q43" si="0">D41*$I$34</f>
        <v>375</v>
      </c>
      <c r="E43">
        <f t="shared" si="0"/>
        <v>750</v>
      </c>
      <c r="F43">
        <f t="shared" si="0"/>
        <v>1125</v>
      </c>
      <c r="G43">
        <f t="shared" si="0"/>
        <v>1875</v>
      </c>
      <c r="H43">
        <f t="shared" si="0"/>
        <v>2812.5</v>
      </c>
      <c r="I43">
        <f t="shared" si="0"/>
        <v>3750</v>
      </c>
      <c r="J43">
        <f t="shared" si="0"/>
        <v>5625</v>
      </c>
      <c r="K43">
        <f t="shared" si="0"/>
        <v>7500</v>
      </c>
      <c r="L43">
        <f t="shared" si="0"/>
        <v>11250</v>
      </c>
      <c r="M43">
        <f t="shared" si="0"/>
        <v>15000</v>
      </c>
      <c r="N43">
        <f t="shared" si="0"/>
        <v>18750</v>
      </c>
      <c r="O43">
        <f t="shared" si="0"/>
        <v>22500</v>
      </c>
      <c r="P43">
        <f t="shared" si="0"/>
        <v>30000</v>
      </c>
      <c r="Q43">
        <f t="shared" si="0"/>
        <v>37500</v>
      </c>
      <c r="V43">
        <v>10</v>
      </c>
      <c r="W43">
        <v>142.10507812500001</v>
      </c>
      <c r="Y43">
        <f t="shared" ref="Y43:Y56" si="1">W43/V43</f>
        <v>14.210507812500001</v>
      </c>
    </row>
    <row r="44" spans="2:26" x14ac:dyDescent="0.2">
      <c r="B44" t="s">
        <v>644</v>
      </c>
      <c r="C44">
        <f>C41*$I$35</f>
        <v>46.875</v>
      </c>
      <c r="D44">
        <f t="shared" ref="D44:Q44" si="2">D41*$I$35</f>
        <v>93.75</v>
      </c>
      <c r="E44">
        <f t="shared" si="2"/>
        <v>187.5</v>
      </c>
      <c r="F44">
        <f t="shared" si="2"/>
        <v>281.25</v>
      </c>
      <c r="G44">
        <f t="shared" si="2"/>
        <v>468.75</v>
      </c>
      <c r="H44">
        <f t="shared" si="2"/>
        <v>703.125</v>
      </c>
      <c r="I44">
        <f t="shared" si="2"/>
        <v>937.5</v>
      </c>
      <c r="J44">
        <f t="shared" si="2"/>
        <v>1406.25</v>
      </c>
      <c r="K44">
        <f t="shared" si="2"/>
        <v>1875</v>
      </c>
      <c r="L44">
        <f t="shared" si="2"/>
        <v>2812.5</v>
      </c>
      <c r="M44">
        <f t="shared" si="2"/>
        <v>3750</v>
      </c>
      <c r="N44">
        <f t="shared" si="2"/>
        <v>4687.5</v>
      </c>
      <c r="O44">
        <f t="shared" si="2"/>
        <v>5625</v>
      </c>
      <c r="P44">
        <f t="shared" si="2"/>
        <v>7500</v>
      </c>
      <c r="Q44">
        <f t="shared" si="2"/>
        <v>9375</v>
      </c>
      <c r="V44">
        <v>20</v>
      </c>
      <c r="W44">
        <v>284.21015625000001</v>
      </c>
      <c r="Y44">
        <f t="shared" si="1"/>
        <v>14.210507812500001</v>
      </c>
    </row>
    <row r="45" spans="2:26" x14ac:dyDescent="0.2">
      <c r="B45" t="s">
        <v>645</v>
      </c>
      <c r="C45">
        <f>C41*$I$36</f>
        <v>28.125</v>
      </c>
      <c r="D45">
        <f t="shared" ref="D45:Q45" si="3">D41*$I$36</f>
        <v>56.25</v>
      </c>
      <c r="E45">
        <f t="shared" si="3"/>
        <v>112.5</v>
      </c>
      <c r="F45">
        <f t="shared" si="3"/>
        <v>168.75</v>
      </c>
      <c r="G45">
        <f t="shared" si="3"/>
        <v>281.25</v>
      </c>
      <c r="H45">
        <f t="shared" si="3"/>
        <v>421.875</v>
      </c>
      <c r="I45">
        <f t="shared" si="3"/>
        <v>562.5</v>
      </c>
      <c r="J45">
        <f>J41*$I$36</f>
        <v>843.75</v>
      </c>
      <c r="K45">
        <f t="shared" si="3"/>
        <v>1125</v>
      </c>
      <c r="L45">
        <f t="shared" si="3"/>
        <v>1687.5</v>
      </c>
      <c r="M45">
        <f t="shared" si="3"/>
        <v>2250</v>
      </c>
      <c r="N45">
        <f t="shared" si="3"/>
        <v>2812.5</v>
      </c>
      <c r="O45">
        <f t="shared" si="3"/>
        <v>3375</v>
      </c>
      <c r="P45">
        <f t="shared" si="3"/>
        <v>4500</v>
      </c>
      <c r="Q45">
        <f t="shared" si="3"/>
        <v>5625</v>
      </c>
      <c r="V45">
        <v>30</v>
      </c>
      <c r="W45">
        <v>426.31523437499999</v>
      </c>
      <c r="Y45">
        <f t="shared" si="1"/>
        <v>14.2105078125</v>
      </c>
    </row>
    <row r="46" spans="2:26" x14ac:dyDescent="0.2">
      <c r="B46" t="s">
        <v>448</v>
      </c>
      <c r="C46">
        <f>C44*2.5</f>
        <v>117.1875</v>
      </c>
      <c r="D46">
        <f t="shared" ref="D46:Q46" si="4">D44*2.5</f>
        <v>234.375</v>
      </c>
      <c r="E46">
        <f t="shared" si="4"/>
        <v>468.75</v>
      </c>
      <c r="F46">
        <f t="shared" si="4"/>
        <v>703.125</v>
      </c>
      <c r="G46">
        <f t="shared" si="4"/>
        <v>1171.875</v>
      </c>
      <c r="H46">
        <f t="shared" si="4"/>
        <v>1757.8125</v>
      </c>
      <c r="I46">
        <f t="shared" si="4"/>
        <v>2343.75</v>
      </c>
      <c r="J46">
        <f t="shared" si="4"/>
        <v>3515.625</v>
      </c>
      <c r="K46">
        <f t="shared" si="4"/>
        <v>4687.5</v>
      </c>
      <c r="L46">
        <f t="shared" si="4"/>
        <v>7031.25</v>
      </c>
      <c r="M46">
        <f t="shared" si="4"/>
        <v>9375</v>
      </c>
      <c r="N46">
        <f t="shared" si="4"/>
        <v>11718.75</v>
      </c>
      <c r="O46">
        <f t="shared" si="4"/>
        <v>14062.5</v>
      </c>
      <c r="P46">
        <f t="shared" si="4"/>
        <v>18750</v>
      </c>
      <c r="Q46">
        <f t="shared" si="4"/>
        <v>23437.5</v>
      </c>
      <c r="V46">
        <v>50</v>
      </c>
      <c r="W46">
        <v>710.525390625</v>
      </c>
      <c r="Y46">
        <f t="shared" si="1"/>
        <v>14.2105078125</v>
      </c>
    </row>
    <row r="47" spans="2:26" x14ac:dyDescent="0.2">
      <c r="V47">
        <v>75</v>
      </c>
      <c r="W47">
        <v>1065.7880859375</v>
      </c>
      <c r="Y47">
        <f t="shared" si="1"/>
        <v>14.2105078125</v>
      </c>
    </row>
    <row r="48" spans="2:26" x14ac:dyDescent="0.2">
      <c r="B48" t="s">
        <v>646</v>
      </c>
      <c r="C48">
        <f>C45*$C$36</f>
        <v>0.703125</v>
      </c>
      <c r="D48">
        <f t="shared" ref="D48:Q48" si="5">D45*$C$36</f>
        <v>1.40625</v>
      </c>
      <c r="E48">
        <f t="shared" si="5"/>
        <v>2.8125</v>
      </c>
      <c r="F48">
        <f t="shared" si="5"/>
        <v>4.21875</v>
      </c>
      <c r="G48">
        <f t="shared" si="5"/>
        <v>7.03125</v>
      </c>
      <c r="H48">
        <f t="shared" si="5"/>
        <v>10.546875</v>
      </c>
      <c r="I48">
        <f t="shared" si="5"/>
        <v>14.0625</v>
      </c>
      <c r="J48">
        <f>J45*$C$36</f>
        <v>21.09375</v>
      </c>
      <c r="K48">
        <f t="shared" si="5"/>
        <v>28.125</v>
      </c>
      <c r="L48">
        <f t="shared" si="5"/>
        <v>42.1875</v>
      </c>
      <c r="M48">
        <f t="shared" si="5"/>
        <v>56.25</v>
      </c>
      <c r="N48">
        <f t="shared" si="5"/>
        <v>70.3125</v>
      </c>
      <c r="O48">
        <f t="shared" si="5"/>
        <v>84.375</v>
      </c>
      <c r="P48">
        <f t="shared" si="5"/>
        <v>112.5</v>
      </c>
      <c r="Q48">
        <f t="shared" si="5"/>
        <v>140.625</v>
      </c>
      <c r="V48">
        <v>100</v>
      </c>
      <c r="W48">
        <v>1421.05078125</v>
      </c>
      <c r="Y48">
        <f t="shared" si="1"/>
        <v>14.2105078125</v>
      </c>
    </row>
    <row r="49" spans="2:25" x14ac:dyDescent="0.2">
      <c r="B49" t="s">
        <v>647</v>
      </c>
      <c r="C49">
        <f>C46*$C$37</f>
        <v>0.29296875</v>
      </c>
      <c r="D49">
        <f t="shared" ref="D49:Q49" si="6">D46*$C$37</f>
        <v>0.5859375</v>
      </c>
      <c r="E49">
        <f t="shared" si="6"/>
        <v>1.171875</v>
      </c>
      <c r="F49">
        <f t="shared" si="6"/>
        <v>1.7578125</v>
      </c>
      <c r="G49">
        <f t="shared" si="6"/>
        <v>2.9296875</v>
      </c>
      <c r="H49">
        <f t="shared" si="6"/>
        <v>4.39453125</v>
      </c>
      <c r="I49">
        <f t="shared" si="6"/>
        <v>5.859375</v>
      </c>
      <c r="J49">
        <f t="shared" si="6"/>
        <v>8.7890625</v>
      </c>
      <c r="K49">
        <f t="shared" si="6"/>
        <v>11.71875</v>
      </c>
      <c r="L49">
        <f t="shared" si="6"/>
        <v>17.578125</v>
      </c>
      <c r="M49">
        <f t="shared" si="6"/>
        <v>23.4375</v>
      </c>
      <c r="N49">
        <f t="shared" si="6"/>
        <v>29.296875</v>
      </c>
      <c r="O49">
        <f t="shared" si="6"/>
        <v>35.15625</v>
      </c>
      <c r="P49">
        <f t="shared" si="6"/>
        <v>46.875</v>
      </c>
      <c r="Q49">
        <f t="shared" si="6"/>
        <v>58.59375</v>
      </c>
      <c r="V49">
        <v>150</v>
      </c>
      <c r="W49">
        <v>2131.576171875</v>
      </c>
      <c r="Y49">
        <f t="shared" si="1"/>
        <v>14.2105078125</v>
      </c>
    </row>
    <row r="50" spans="2:25" x14ac:dyDescent="0.2">
      <c r="V50">
        <v>200</v>
      </c>
      <c r="W50">
        <v>2842.1015625</v>
      </c>
      <c r="Y50">
        <f t="shared" si="1"/>
        <v>14.2105078125</v>
      </c>
    </row>
    <row r="51" spans="2:25" x14ac:dyDescent="0.2">
      <c r="B51" t="s">
        <v>597</v>
      </c>
      <c r="C51">
        <f>((C48*$L$34)+(C49*$L$35))/1000</f>
        <v>0.19453124999999999</v>
      </c>
      <c r="D51">
        <f t="shared" ref="D51:Q51" si="7">((D48*$L$34)+(D49*$L$35))/1000</f>
        <v>0.38906249999999998</v>
      </c>
      <c r="E51">
        <f t="shared" si="7"/>
        <v>0.77812499999999996</v>
      </c>
      <c r="F51">
        <f t="shared" si="7"/>
        <v>1.1671875</v>
      </c>
      <c r="G51">
        <f t="shared" si="7"/>
        <v>1.9453125</v>
      </c>
      <c r="H51">
        <f t="shared" si="7"/>
        <v>2.91796875</v>
      </c>
      <c r="I51">
        <f t="shared" si="7"/>
        <v>3.890625</v>
      </c>
      <c r="J51">
        <f t="shared" si="7"/>
        <v>5.8359375</v>
      </c>
      <c r="K51">
        <f t="shared" si="7"/>
        <v>7.78125</v>
      </c>
      <c r="L51">
        <f t="shared" si="7"/>
        <v>11.671875</v>
      </c>
      <c r="M51">
        <f t="shared" si="7"/>
        <v>15.5625</v>
      </c>
      <c r="N51">
        <f t="shared" si="7"/>
        <v>19.453125</v>
      </c>
      <c r="O51">
        <f t="shared" si="7"/>
        <v>23.34375</v>
      </c>
      <c r="P51">
        <f t="shared" si="7"/>
        <v>31.125</v>
      </c>
      <c r="Q51">
        <f t="shared" si="7"/>
        <v>38.90625</v>
      </c>
      <c r="V51">
        <v>300</v>
      </c>
      <c r="W51">
        <v>4263.15234375</v>
      </c>
      <c r="Y51">
        <f t="shared" si="1"/>
        <v>14.2105078125</v>
      </c>
    </row>
    <row r="52" spans="2:25" x14ac:dyDescent="0.2">
      <c r="C52">
        <f>C51*365.25</f>
        <v>71.052539062500003</v>
      </c>
      <c r="D52">
        <f t="shared" ref="D52:Q52" si="8">D51*365.25</f>
        <v>142.10507812500001</v>
      </c>
      <c r="E52">
        <f t="shared" si="8"/>
        <v>284.21015625000001</v>
      </c>
      <c r="F52">
        <f t="shared" si="8"/>
        <v>426.31523437499999</v>
      </c>
      <c r="G52">
        <f t="shared" si="8"/>
        <v>710.525390625</v>
      </c>
      <c r="H52">
        <f t="shared" si="8"/>
        <v>1065.7880859375</v>
      </c>
      <c r="I52">
        <f t="shared" si="8"/>
        <v>1421.05078125</v>
      </c>
      <c r="J52">
        <f t="shared" si="8"/>
        <v>2131.576171875</v>
      </c>
      <c r="K52">
        <f t="shared" si="8"/>
        <v>2842.1015625</v>
      </c>
      <c r="L52">
        <f t="shared" si="8"/>
        <v>4263.15234375</v>
      </c>
      <c r="M52">
        <f t="shared" si="8"/>
        <v>5684.203125</v>
      </c>
      <c r="N52">
        <f t="shared" si="8"/>
        <v>7105.25390625</v>
      </c>
      <c r="O52">
        <f t="shared" si="8"/>
        <v>8526.3046875</v>
      </c>
      <c r="P52">
        <f t="shared" si="8"/>
        <v>11368.40625</v>
      </c>
      <c r="Q52">
        <f t="shared" si="8"/>
        <v>14210.5078125</v>
      </c>
      <c r="V52">
        <v>400</v>
      </c>
      <c r="W52">
        <v>5684.203125</v>
      </c>
      <c r="Y52">
        <f t="shared" si="1"/>
        <v>14.2105078125</v>
      </c>
    </row>
    <row r="53" spans="2:25" x14ac:dyDescent="0.2">
      <c r="V53">
        <v>500</v>
      </c>
      <c r="W53">
        <v>7105.25390625</v>
      </c>
      <c r="Y53">
        <f t="shared" si="1"/>
        <v>14.2105078125</v>
      </c>
    </row>
    <row r="54" spans="2:25" x14ac:dyDescent="0.2">
      <c r="V54">
        <v>600</v>
      </c>
      <c r="W54">
        <v>8526.3046875</v>
      </c>
      <c r="Y54">
        <f t="shared" si="1"/>
        <v>14.2105078125</v>
      </c>
    </row>
    <row r="55" spans="2:25" x14ac:dyDescent="0.2">
      <c r="V55">
        <v>800</v>
      </c>
      <c r="W55">
        <v>11368.40625</v>
      </c>
      <c r="Y55">
        <f t="shared" si="1"/>
        <v>14.2105078125</v>
      </c>
    </row>
    <row r="56" spans="2:25" x14ac:dyDescent="0.2">
      <c r="V56">
        <v>1000</v>
      </c>
      <c r="W56">
        <v>14210.5078125</v>
      </c>
      <c r="Y56">
        <f t="shared" si="1"/>
        <v>14.2105078125</v>
      </c>
    </row>
    <row r="57" spans="2:25" x14ac:dyDescent="0.2">
      <c r="B57" t="s">
        <v>650</v>
      </c>
      <c r="C57" t="s">
        <v>651</v>
      </c>
    </row>
    <row r="59" spans="2:25" x14ac:dyDescent="0.2">
      <c r="B59" t="s">
        <v>652</v>
      </c>
      <c r="C59">
        <v>7.18E-4</v>
      </c>
      <c r="D59" t="s">
        <v>653</v>
      </c>
      <c r="F59">
        <v>1</v>
      </c>
      <c r="G59" t="s">
        <v>653</v>
      </c>
    </row>
    <row r="60" spans="2:25" x14ac:dyDescent="0.2">
      <c r="C60">
        <f>C59/F61</f>
        <v>1.9944460400000001E-4</v>
      </c>
      <c r="D60" t="s">
        <v>657</v>
      </c>
      <c r="F60">
        <v>0.27777800000000002</v>
      </c>
      <c r="G60" t="s">
        <v>657</v>
      </c>
    </row>
    <row r="61" spans="2:25" x14ac:dyDescent="0.2">
      <c r="F61">
        <f>F59/F60</f>
        <v>3.5999971200023038</v>
      </c>
      <c r="G61" t="s">
        <v>658</v>
      </c>
    </row>
    <row r="63" spans="2:25" x14ac:dyDescent="0.2">
      <c r="B63" t="s">
        <v>654</v>
      </c>
      <c r="C63">
        <f>0.000232-0.000151</f>
        <v>8.099999999999999E-5</v>
      </c>
      <c r="D63" t="s">
        <v>656</v>
      </c>
      <c r="E63" t="s">
        <v>655</v>
      </c>
    </row>
    <row r="65" spans="2:4" x14ac:dyDescent="0.2">
      <c r="B65" t="s">
        <v>659</v>
      </c>
      <c r="C65" t="s">
        <v>660</v>
      </c>
    </row>
    <row r="66" spans="2:4" x14ac:dyDescent="0.2">
      <c r="C66">
        <f>40*1.6</f>
        <v>64</v>
      </c>
      <c r="D66" t="s">
        <v>661</v>
      </c>
    </row>
    <row r="68" spans="2:4" x14ac:dyDescent="0.2">
      <c r="B68" t="s">
        <v>662</v>
      </c>
    </row>
    <row r="69" spans="2:4" x14ac:dyDescent="0.2">
      <c r="C69">
        <f>C60*C66</f>
        <v>1.2764454656000001E-2</v>
      </c>
      <c r="D69" t="s">
        <v>657</v>
      </c>
    </row>
    <row r="70" spans="2:4" x14ac:dyDescent="0.2">
      <c r="C70">
        <f>C63*C66</f>
        <v>5.1839999999999994E-3</v>
      </c>
      <c r="D70" t="str">
        <f>D63</f>
        <v>kg Co2</v>
      </c>
    </row>
    <row r="74" spans="2:4" x14ac:dyDescent="0.2">
      <c r="B74">
        <v>12</v>
      </c>
      <c r="C74">
        <f>C69*B74</f>
        <v>0.15317345587200001</v>
      </c>
      <c r="D74" t="s">
        <v>657</v>
      </c>
    </row>
    <row r="75" spans="2:4" x14ac:dyDescent="0.2">
      <c r="C75">
        <f>B74*C70</f>
        <v>6.2207999999999992E-2</v>
      </c>
      <c r="D75" t="s">
        <v>656</v>
      </c>
    </row>
    <row r="77" spans="2:4" x14ac:dyDescent="0.2">
      <c r="B77" t="s">
        <v>665</v>
      </c>
      <c r="C77">
        <v>89.430933350000004</v>
      </c>
      <c r="D77" t="s">
        <v>666</v>
      </c>
    </row>
    <row r="79" spans="2:4" x14ac:dyDescent="0.2">
      <c r="C79">
        <f>(C74*C77)/1000</f>
        <v>1.3698445123078001E-2</v>
      </c>
    </row>
    <row r="82" spans="1:9" x14ac:dyDescent="0.2">
      <c r="C82">
        <f>C79+C75</f>
        <v>7.5906445123077995E-2</v>
      </c>
      <c r="E82">
        <f>C82/12</f>
        <v>6.3255370935898329E-3</v>
      </c>
    </row>
    <row r="86" spans="1:9" ht="15" thickBot="1" x14ac:dyDescent="0.25"/>
    <row r="87" spans="1:9" s="34" customFormat="1" ht="15" thickBot="1" x14ac:dyDescent="0.25">
      <c r="A87" s="33"/>
      <c r="B87" s="34" t="s">
        <v>700</v>
      </c>
      <c r="I87" s="80"/>
    </row>
    <row r="89" spans="1:9" x14ac:dyDescent="0.2">
      <c r="B89" t="s">
        <v>701</v>
      </c>
    </row>
    <row r="91" spans="1:9" x14ac:dyDescent="0.2">
      <c r="B91" t="s">
        <v>702</v>
      </c>
      <c r="D91">
        <v>0.05</v>
      </c>
      <c r="E91" t="s">
        <v>703</v>
      </c>
    </row>
    <row r="92" spans="1:9" x14ac:dyDescent="0.2">
      <c r="D92">
        <f>D91*10^6</f>
        <v>50000</v>
      </c>
    </row>
    <row r="93" spans="1:9" x14ac:dyDescent="0.2">
      <c r="B93" t="s">
        <v>704</v>
      </c>
    </row>
    <row r="94" spans="1:9" x14ac:dyDescent="0.2">
      <c r="B94">
        <v>1000</v>
      </c>
      <c r="C94" t="s">
        <v>705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E7FA8-6F1F-4D3C-8E4E-6920AFC7074D}">
  <sheetPr>
    <tabColor theme="7"/>
  </sheetPr>
  <dimension ref="A1:HC251"/>
  <sheetViews>
    <sheetView topLeftCell="P1" zoomScale="85" zoomScaleNormal="85" workbookViewId="0">
      <pane ySplit="1" topLeftCell="A33" activePane="bottomLeft" state="frozen"/>
      <selection activeCell="P1" sqref="P1"/>
      <selection pane="bottomLeft" activeCell="AE172" activeCellId="1" sqref="AM172:AM179 AE172:AE179"/>
    </sheetView>
  </sheetViews>
  <sheetFormatPr defaultRowHeight="14.25" x14ac:dyDescent="0.2"/>
  <cols>
    <col min="1" max="7" width="0" hidden="1" customWidth="1"/>
    <col min="8" max="8" width="10.875" hidden="1" customWidth="1"/>
    <col min="9" max="15" width="0" hidden="1" customWidth="1"/>
    <col min="16" max="16" width="10.875" customWidth="1"/>
    <col min="17" max="17" width="13" bestFit="1" customWidth="1"/>
    <col min="18" max="18" width="11.375" bestFit="1" customWidth="1"/>
    <col min="19" max="19" width="11.75" bestFit="1" customWidth="1"/>
    <col min="20" max="20" width="11.375" bestFit="1" customWidth="1"/>
    <col min="21" max="21" width="11.75" bestFit="1" customWidth="1"/>
    <col min="22" max="22" width="9" customWidth="1"/>
    <col min="28" max="28" width="9" style="10"/>
    <col min="41" max="41" width="9" style="10"/>
    <col min="54" max="54" width="9" style="10"/>
    <col min="67" max="67" width="9" style="10"/>
    <col min="80" max="80" width="9" style="10"/>
    <col min="82" max="82" width="8.125" customWidth="1"/>
    <col min="83" max="83" width="8.5" customWidth="1"/>
    <col min="84" max="84" width="9.875" customWidth="1"/>
    <col min="85" max="85" width="12.125" customWidth="1"/>
    <col min="86" max="86" width="8.375" customWidth="1"/>
    <col min="88" max="88" width="7.875" customWidth="1"/>
    <col min="89" max="89" width="12.5" customWidth="1"/>
    <col min="90" max="90" width="7.875" customWidth="1"/>
    <col min="91" max="92" width="12.125" customWidth="1"/>
    <col min="93" max="93" width="9" style="10"/>
    <col min="95" max="95" width="8.125" customWidth="1"/>
    <col min="96" max="96" width="8.5" customWidth="1"/>
    <col min="97" max="97" width="9.875" customWidth="1"/>
    <col min="98" max="98" width="12.125" customWidth="1"/>
    <col min="99" max="99" width="8.375" customWidth="1"/>
    <col min="101" max="101" width="7.875" customWidth="1"/>
    <col min="102" max="102" width="12.5" customWidth="1"/>
    <col min="103" max="103" width="7.875" customWidth="1"/>
    <col min="104" max="106" width="12.125" customWidth="1"/>
    <col min="107" max="107" width="9" style="10"/>
    <col min="120" max="120" width="9" style="10"/>
    <col min="133" max="133" width="9" style="10"/>
    <col min="146" max="146" width="9" style="10"/>
    <col min="159" max="159" width="9" style="10"/>
    <col min="172" max="172" width="9" style="10"/>
    <col min="185" max="185" width="9" style="10"/>
    <col min="198" max="198" width="9" style="10"/>
    <col min="211" max="211" width="9" style="10"/>
  </cols>
  <sheetData>
    <row r="1" spans="2:211" ht="15.75" x14ac:dyDescent="0.25">
      <c r="P1" s="84" t="s">
        <v>1</v>
      </c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5"/>
      <c r="AC1" s="84" t="s">
        <v>36</v>
      </c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5"/>
      <c r="AP1" s="84" t="s">
        <v>37</v>
      </c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5"/>
      <c r="BC1" s="84" t="s">
        <v>43</v>
      </c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5"/>
      <c r="BP1" s="84" t="s">
        <v>44</v>
      </c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5"/>
      <c r="CC1" s="84" t="s">
        <v>45</v>
      </c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5"/>
      <c r="CP1" s="84" t="s">
        <v>46</v>
      </c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5"/>
      <c r="DD1" s="84" t="s">
        <v>676</v>
      </c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5"/>
      <c r="DQ1" s="84" t="s">
        <v>677</v>
      </c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5"/>
      <c r="ED1" s="84" t="s">
        <v>678</v>
      </c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5"/>
      <c r="EQ1" s="84" t="s">
        <v>679</v>
      </c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5"/>
      <c r="FD1" s="84" t="s">
        <v>680</v>
      </c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5"/>
      <c r="FQ1" s="84" t="s">
        <v>681</v>
      </c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5"/>
      <c r="GD1" s="84" t="s">
        <v>682</v>
      </c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5"/>
      <c r="GQ1" s="84" t="s">
        <v>683</v>
      </c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5"/>
    </row>
    <row r="2" spans="2:211" x14ac:dyDescent="0.2">
      <c r="F2" t="s">
        <v>0</v>
      </c>
      <c r="M2" t="s">
        <v>40</v>
      </c>
    </row>
    <row r="3" spans="2:211" ht="15" thickBot="1" x14ac:dyDescent="0.25">
      <c r="B3" s="16" t="s">
        <v>48</v>
      </c>
      <c r="C3" s="17" t="s">
        <v>49</v>
      </c>
      <c r="D3" s="17" t="s">
        <v>50</v>
      </c>
      <c r="F3" t="s">
        <v>10</v>
      </c>
      <c r="G3" t="s">
        <v>15</v>
      </c>
      <c r="H3" t="s">
        <v>29</v>
      </c>
      <c r="I3" t="s">
        <v>47</v>
      </c>
      <c r="J3" t="s">
        <v>35</v>
      </c>
      <c r="K3" t="s">
        <v>16</v>
      </c>
      <c r="M3" t="s">
        <v>30</v>
      </c>
      <c r="P3" t="s">
        <v>2</v>
      </c>
      <c r="AC3" t="s">
        <v>2</v>
      </c>
      <c r="AP3" t="s">
        <v>2</v>
      </c>
      <c r="BC3" t="s">
        <v>2</v>
      </c>
      <c r="BP3" t="s">
        <v>2</v>
      </c>
      <c r="CC3" t="s">
        <v>2</v>
      </c>
      <c r="CP3" t="s">
        <v>2</v>
      </c>
    </row>
    <row r="4" spans="2:211" x14ac:dyDescent="0.2">
      <c r="B4" s="88">
        <v>5</v>
      </c>
      <c r="C4" t="s">
        <v>51</v>
      </c>
      <c r="G4">
        <v>2500</v>
      </c>
      <c r="H4" s="5">
        <v>5370</v>
      </c>
      <c r="P4" t="s">
        <v>1</v>
      </c>
      <c r="Q4" t="s">
        <v>3</v>
      </c>
      <c r="R4" t="s">
        <v>4</v>
      </c>
      <c r="AD4" t="s">
        <v>3</v>
      </c>
      <c r="AE4" t="s">
        <v>4</v>
      </c>
      <c r="AQ4" t="s">
        <v>3</v>
      </c>
      <c r="AR4" t="s">
        <v>38</v>
      </c>
      <c r="BD4" t="s">
        <v>3</v>
      </c>
      <c r="BE4" t="s">
        <v>38</v>
      </c>
      <c r="BQ4" t="s">
        <v>3</v>
      </c>
      <c r="BR4" t="s">
        <v>38</v>
      </c>
      <c r="CD4" t="s">
        <v>3</v>
      </c>
      <c r="CE4" t="s">
        <v>38</v>
      </c>
      <c r="CQ4" t="s">
        <v>3</v>
      </c>
      <c r="CR4" t="s">
        <v>38</v>
      </c>
    </row>
    <row r="5" spans="2:211" x14ac:dyDescent="0.2">
      <c r="B5" s="89"/>
      <c r="C5" t="s">
        <v>39</v>
      </c>
      <c r="G5" s="5">
        <f>R15</f>
        <v>10000</v>
      </c>
      <c r="H5" s="5"/>
      <c r="P5" t="s">
        <v>0</v>
      </c>
      <c r="AC5" t="s">
        <v>0</v>
      </c>
      <c r="AP5" t="s">
        <v>0</v>
      </c>
      <c r="BC5" t="s">
        <v>0</v>
      </c>
      <c r="BP5" t="s">
        <v>0</v>
      </c>
      <c r="CC5" t="s">
        <v>0</v>
      </c>
      <c r="CP5" t="s">
        <v>0</v>
      </c>
    </row>
    <row r="6" spans="2:211" ht="15" x14ac:dyDescent="0.25">
      <c r="B6" s="89"/>
      <c r="D6" s="1">
        <v>12</v>
      </c>
      <c r="G6" s="5">
        <v>8656.8750000000018</v>
      </c>
      <c r="H6" s="5">
        <v>7607.5</v>
      </c>
      <c r="I6">
        <v>15.010000000000002</v>
      </c>
      <c r="K6">
        <v>825.30000000000007</v>
      </c>
      <c r="M6">
        <v>28.381499999999999</v>
      </c>
      <c r="P6" s="2" t="s">
        <v>6</v>
      </c>
      <c r="Q6" s="2" t="s">
        <v>8</v>
      </c>
      <c r="R6" s="2" t="s">
        <v>9</v>
      </c>
      <c r="AC6" s="2" t="s">
        <v>6</v>
      </c>
      <c r="AD6" s="2" t="s">
        <v>8</v>
      </c>
      <c r="AE6" s="2" t="s">
        <v>9</v>
      </c>
      <c r="AP6" s="2" t="s">
        <v>6</v>
      </c>
      <c r="AQ6" s="2" t="s">
        <v>8</v>
      </c>
      <c r="AR6" s="2" t="s">
        <v>9</v>
      </c>
      <c r="BC6" s="2" t="s">
        <v>6</v>
      </c>
      <c r="BD6" s="2" t="s">
        <v>8</v>
      </c>
      <c r="BE6" s="2" t="s">
        <v>9</v>
      </c>
      <c r="BP6" s="2" t="s">
        <v>6</v>
      </c>
      <c r="BQ6" s="2" t="s">
        <v>8</v>
      </c>
      <c r="BR6" s="2" t="s">
        <v>9</v>
      </c>
      <c r="CC6" s="2" t="s">
        <v>6</v>
      </c>
      <c r="CD6" s="2" t="s">
        <v>8</v>
      </c>
      <c r="CE6" s="2" t="s">
        <v>9</v>
      </c>
      <c r="CP6" s="2" t="s">
        <v>6</v>
      </c>
      <c r="CQ6" s="2" t="s">
        <v>8</v>
      </c>
      <c r="CR6" s="2" t="s">
        <v>9</v>
      </c>
    </row>
    <row r="7" spans="2:211" ht="15" x14ac:dyDescent="0.25">
      <c r="B7" s="89"/>
      <c r="D7" s="1">
        <v>20</v>
      </c>
      <c r="G7" s="5">
        <v>8656.8750000000018</v>
      </c>
      <c r="H7" s="5">
        <v>10292.5</v>
      </c>
      <c r="I7">
        <v>19.75</v>
      </c>
      <c r="K7">
        <v>825.30000000000007</v>
      </c>
      <c r="M7">
        <v>30.781499999999998</v>
      </c>
      <c r="P7" t="s">
        <v>5</v>
      </c>
      <c r="Q7">
        <v>1</v>
      </c>
      <c r="R7" s="5">
        <f>Q7*Conversions!$B$4</f>
        <v>2500</v>
      </c>
      <c r="AC7" t="s">
        <v>5</v>
      </c>
      <c r="AD7">
        <v>3.6</v>
      </c>
      <c r="AE7" s="5">
        <f>AD7*Conversions!$B$4</f>
        <v>9000</v>
      </c>
      <c r="AP7" t="s">
        <v>5</v>
      </c>
      <c r="AQ7">
        <v>1.9</v>
      </c>
      <c r="AR7" s="5">
        <f>AQ7*Conversions!$B$4</f>
        <v>4750</v>
      </c>
      <c r="BC7" t="s">
        <v>7</v>
      </c>
      <c r="BD7">
        <v>17.576847999999998</v>
      </c>
      <c r="BE7" s="6">
        <f>Conversions!$B$16*'Septic Tank - British '!BD7</f>
        <v>26804.693199999998</v>
      </c>
      <c r="BP7" t="s">
        <v>7</v>
      </c>
      <c r="BQ7">
        <v>24.992827500000001</v>
      </c>
      <c r="BR7" s="6">
        <f>Conversions!$B$16*'Septic Tank - British '!BQ7</f>
        <v>38114.061937500002</v>
      </c>
      <c r="CC7" t="s">
        <v>7</v>
      </c>
      <c r="CD7">
        <v>29.048378999999997</v>
      </c>
      <c r="CE7" s="6">
        <f>Conversions!$B$16*'Septic Tank - British '!CD7</f>
        <v>44298.777974999997</v>
      </c>
      <c r="CP7" t="s">
        <v>7</v>
      </c>
      <c r="CQ7">
        <v>51.250910599999997</v>
      </c>
      <c r="CR7" s="6">
        <f>Conversions!$B$16*'Septic Tank - British '!CQ7</f>
        <v>78157.638664999991</v>
      </c>
    </row>
    <row r="8" spans="2:211" ht="15" x14ac:dyDescent="0.25">
      <c r="B8" s="89"/>
      <c r="D8" s="1">
        <v>30</v>
      </c>
      <c r="G8" s="5">
        <v>9568.125</v>
      </c>
      <c r="H8" s="5">
        <v>13648.75</v>
      </c>
      <c r="I8">
        <v>25.675000000000001</v>
      </c>
      <c r="K8">
        <v>943.2</v>
      </c>
      <c r="M8">
        <v>34.146000000000001</v>
      </c>
      <c r="P8" t="s">
        <v>7</v>
      </c>
      <c r="Q8">
        <v>3</v>
      </c>
      <c r="R8" s="6">
        <f>Conversions!$B$16*'Septic Tank - British '!Q8</f>
        <v>4575</v>
      </c>
      <c r="AC8" t="s">
        <v>7</v>
      </c>
      <c r="AD8">
        <v>6.2</v>
      </c>
      <c r="AE8" s="6">
        <f>Conversions!$B$16*'Septic Tank - British '!AD8</f>
        <v>9455</v>
      </c>
      <c r="AP8" t="s">
        <v>7</v>
      </c>
      <c r="AQ8">
        <v>14.862419902778269</v>
      </c>
      <c r="AR8" s="6">
        <f>Conversions!$B$16*'Septic Tank - British '!AQ8</f>
        <v>22665.190351736859</v>
      </c>
      <c r="BC8" s="13" t="s">
        <v>47</v>
      </c>
      <c r="BD8" s="13"/>
      <c r="BE8" s="13">
        <v>326</v>
      </c>
      <c r="BP8" t="s">
        <v>5</v>
      </c>
      <c r="BQ8">
        <v>2.731725</v>
      </c>
      <c r="BR8" s="5">
        <f>BQ8*Conversions!$B$4</f>
        <v>6829.3125</v>
      </c>
      <c r="CC8" t="s">
        <v>5</v>
      </c>
      <c r="CD8">
        <v>3.3240780000000001</v>
      </c>
      <c r="CE8" s="5">
        <f>CD8*Conversions!$B$4</f>
        <v>8310.1949999999997</v>
      </c>
      <c r="CP8" t="s">
        <v>5</v>
      </c>
      <c r="CQ8">
        <v>3.9873780000000001</v>
      </c>
      <c r="CR8" s="5">
        <f>CQ8*Conversions!$B$4</f>
        <v>9968.4449999999997</v>
      </c>
    </row>
    <row r="9" spans="2:211" ht="15" x14ac:dyDescent="0.25">
      <c r="B9" s="89"/>
      <c r="D9" s="1">
        <v>40</v>
      </c>
      <c r="G9" s="5">
        <v>10479.375000000002</v>
      </c>
      <c r="H9" s="5">
        <v>17005</v>
      </c>
      <c r="I9">
        <v>31.6</v>
      </c>
      <c r="K9">
        <v>1061.1000000000001</v>
      </c>
      <c r="M9">
        <v>37.5105</v>
      </c>
      <c r="P9" s="11" t="s">
        <v>10</v>
      </c>
      <c r="Q9" s="11"/>
      <c r="R9" s="13">
        <f>0.0332*2900+9.5833</f>
        <v>105.8633</v>
      </c>
      <c r="AC9" s="11" t="s">
        <v>10</v>
      </c>
      <c r="AD9" s="11"/>
      <c r="AE9" s="13">
        <f>0.0332*3800+9.5833</f>
        <v>135.7433</v>
      </c>
      <c r="AP9" s="13" t="s">
        <v>10</v>
      </c>
      <c r="AQ9" s="11"/>
      <c r="AR9" s="13">
        <v>182.41</v>
      </c>
      <c r="BP9" s="13" t="s">
        <v>10</v>
      </c>
      <c r="BQ9" s="13"/>
      <c r="BR9" s="13">
        <f>337.46*1.2</f>
        <v>404.95199999999994</v>
      </c>
      <c r="CC9" s="13" t="s">
        <v>10</v>
      </c>
      <c r="CD9" s="11"/>
      <c r="CE9" s="13">
        <f>337.46*1.5</f>
        <v>506.18999999999994</v>
      </c>
      <c r="CP9" s="13" t="s">
        <v>10</v>
      </c>
      <c r="CQ9" s="11"/>
      <c r="CR9" s="13">
        <f>337.46*2</f>
        <v>674.92</v>
      </c>
    </row>
    <row r="10" spans="2:211" ht="15" x14ac:dyDescent="0.25">
      <c r="B10" s="89"/>
      <c r="D10" s="1">
        <v>50</v>
      </c>
      <c r="G10" s="5">
        <v>11390.625</v>
      </c>
      <c r="H10" s="5">
        <v>20361.25</v>
      </c>
      <c r="I10">
        <v>37.524999999999999</v>
      </c>
      <c r="K10">
        <v>1179</v>
      </c>
      <c r="M10">
        <v>40.875</v>
      </c>
      <c r="BP10" s="13"/>
      <c r="BQ10" s="13"/>
      <c r="BR10" s="13"/>
      <c r="CC10" s="13"/>
      <c r="CP10" s="13"/>
    </row>
    <row r="11" spans="2:211" ht="15" x14ac:dyDescent="0.25">
      <c r="B11" s="89"/>
      <c r="D11" s="1">
        <v>60</v>
      </c>
      <c r="G11" s="5">
        <v>12301.875000000002</v>
      </c>
      <c r="H11" s="5">
        <v>23717.5</v>
      </c>
      <c r="I11">
        <v>43.45</v>
      </c>
      <c r="K11">
        <v>1296.9000000000001</v>
      </c>
      <c r="M11">
        <v>44.2395</v>
      </c>
      <c r="AQ11" t="s">
        <v>39</v>
      </c>
      <c r="AR11" t="s">
        <v>38</v>
      </c>
      <c r="BD11" t="s">
        <v>39</v>
      </c>
      <c r="BE11" t="s">
        <v>38</v>
      </c>
      <c r="BP11" s="13"/>
      <c r="BQ11" s="13" t="s">
        <v>39</v>
      </c>
      <c r="BR11" s="13" t="s">
        <v>38</v>
      </c>
      <c r="CC11" s="13"/>
      <c r="CD11" t="s">
        <v>39</v>
      </c>
      <c r="CE11" t="s">
        <v>38</v>
      </c>
      <c r="CP11" s="13"/>
      <c r="CQ11" t="s">
        <v>39</v>
      </c>
      <c r="CR11" t="s">
        <v>38</v>
      </c>
    </row>
    <row r="12" spans="2:211" ht="15" x14ac:dyDescent="0.25">
      <c r="B12" s="89"/>
      <c r="D12" s="1">
        <v>70</v>
      </c>
      <c r="G12" s="5">
        <v>13213.125000000002</v>
      </c>
      <c r="H12" s="5">
        <v>27073.75</v>
      </c>
      <c r="I12">
        <v>49.375</v>
      </c>
      <c r="K12">
        <v>1414.8000000000002</v>
      </c>
      <c r="M12">
        <v>47.603999999999999</v>
      </c>
      <c r="P12" t="s">
        <v>1</v>
      </c>
      <c r="Q12" t="s">
        <v>13</v>
      </c>
      <c r="R12" t="s">
        <v>4</v>
      </c>
      <c r="AP12" t="s">
        <v>0</v>
      </c>
      <c r="BC12" t="s">
        <v>0</v>
      </c>
      <c r="BP12" s="13" t="s">
        <v>0</v>
      </c>
      <c r="BQ12" s="13"/>
      <c r="BR12" s="13"/>
      <c r="CC12" s="13" t="s">
        <v>0</v>
      </c>
      <c r="CP12" s="13" t="s">
        <v>0</v>
      </c>
    </row>
    <row r="13" spans="2:211" ht="15" x14ac:dyDescent="0.25">
      <c r="B13" s="89"/>
      <c r="D13" s="1">
        <v>80</v>
      </c>
      <c r="G13" s="5">
        <v>14124.375000000002</v>
      </c>
      <c r="H13" s="5">
        <v>30430</v>
      </c>
      <c r="I13">
        <v>55.300000000000004</v>
      </c>
      <c r="K13">
        <v>1532.7</v>
      </c>
      <c r="M13">
        <v>50.968499999999999</v>
      </c>
      <c r="P13" t="s">
        <v>0</v>
      </c>
      <c r="AP13" s="2" t="s">
        <v>6</v>
      </c>
      <c r="AQ13" s="2" t="s">
        <v>8</v>
      </c>
      <c r="AR13" s="2" t="s">
        <v>9</v>
      </c>
      <c r="BC13" s="2" t="s">
        <v>6</v>
      </c>
      <c r="BD13" s="2" t="s">
        <v>8</v>
      </c>
      <c r="BE13" s="2" t="s">
        <v>9</v>
      </c>
      <c r="BP13" s="14" t="s">
        <v>6</v>
      </c>
      <c r="BQ13" s="14" t="s">
        <v>8</v>
      </c>
      <c r="BR13" s="14" t="s">
        <v>9</v>
      </c>
      <c r="CC13" s="14" t="s">
        <v>6</v>
      </c>
      <c r="CD13" s="2" t="s">
        <v>8</v>
      </c>
      <c r="CE13" s="2" t="s">
        <v>9</v>
      </c>
      <c r="CP13" s="14" t="s">
        <v>6</v>
      </c>
      <c r="CQ13" s="2" t="s">
        <v>8</v>
      </c>
      <c r="CR13" s="2" t="s">
        <v>9</v>
      </c>
    </row>
    <row r="14" spans="2:211" ht="15" x14ac:dyDescent="0.25">
      <c r="B14" s="89"/>
      <c r="D14" s="1">
        <v>90</v>
      </c>
      <c r="G14" s="5">
        <v>15035.625000000002</v>
      </c>
      <c r="H14" s="5">
        <v>33786.25</v>
      </c>
      <c r="I14">
        <v>61.225000000000001</v>
      </c>
      <c r="K14">
        <v>1650.6000000000001</v>
      </c>
      <c r="M14">
        <v>54.332999999999998</v>
      </c>
      <c r="P14" s="2" t="s">
        <v>6</v>
      </c>
      <c r="Q14" s="2" t="s">
        <v>8</v>
      </c>
      <c r="R14" s="2" t="s">
        <v>9</v>
      </c>
      <c r="AC14" s="2"/>
      <c r="AD14" s="2"/>
      <c r="AE14" s="2"/>
      <c r="AP14" t="s">
        <v>5</v>
      </c>
      <c r="AQ14">
        <v>16.762419902778269</v>
      </c>
      <c r="AR14" s="5">
        <f>AQ14*Conversions!$B$4</f>
        <v>41906.049756945671</v>
      </c>
      <c r="BC14" t="s">
        <v>5</v>
      </c>
      <c r="BD14">
        <v>17.576847999999998</v>
      </c>
      <c r="BE14" s="5">
        <f>BD14*Conversions!$B$4</f>
        <v>43942.119999999995</v>
      </c>
      <c r="BP14" s="13" t="s">
        <v>5</v>
      </c>
      <c r="BQ14" s="13">
        <v>27.724552500000001</v>
      </c>
      <c r="BR14" s="15">
        <f>BQ14*Conversions!$B$4</f>
        <v>69311.381250000006</v>
      </c>
      <c r="CC14" s="13" t="s">
        <v>5</v>
      </c>
      <c r="CD14">
        <v>32.372456999999997</v>
      </c>
      <c r="CE14" s="5">
        <f>CD14*Conversions!$B$4</f>
        <v>80931.142499999987</v>
      </c>
      <c r="CP14" s="13" t="s">
        <v>5</v>
      </c>
      <c r="CQ14">
        <v>32.372456999999997</v>
      </c>
      <c r="CR14" s="5">
        <f>CQ14*Conversions!$B$4</f>
        <v>80931.142499999987</v>
      </c>
    </row>
    <row r="15" spans="2:211" ht="15" x14ac:dyDescent="0.25">
      <c r="B15" s="89"/>
      <c r="D15" s="1">
        <v>100</v>
      </c>
      <c r="G15" s="5">
        <v>15946.875000000002</v>
      </c>
      <c r="H15" s="5">
        <v>37142.5</v>
      </c>
      <c r="I15">
        <v>67.150000000000006</v>
      </c>
      <c r="K15">
        <v>1768.5</v>
      </c>
      <c r="M15">
        <v>57.697500000000005</v>
      </c>
      <c r="P15" t="s">
        <v>5</v>
      </c>
      <c r="Q15" s="3">
        <v>4</v>
      </c>
      <c r="R15" s="5">
        <f>Q15*Conversions!$B$4</f>
        <v>10000</v>
      </c>
      <c r="AD15" s="3"/>
      <c r="AE15" s="5"/>
      <c r="AR15" s="6"/>
      <c r="BC15" s="13" t="s">
        <v>47</v>
      </c>
      <c r="BD15" s="13"/>
      <c r="BE15" s="13">
        <v>304</v>
      </c>
      <c r="BP15" s="13" t="s">
        <v>10</v>
      </c>
      <c r="BQ15" s="13"/>
      <c r="BR15" s="13">
        <f>337.46*1.2</f>
        <v>404.95199999999994</v>
      </c>
      <c r="CC15" s="13" t="s">
        <v>10</v>
      </c>
      <c r="CD15" s="11"/>
      <c r="CE15" s="13">
        <f>337.46*1.5</f>
        <v>506.18999999999994</v>
      </c>
      <c r="CP15" s="13" t="s">
        <v>10</v>
      </c>
      <c r="CQ15" s="11"/>
      <c r="CR15" s="13">
        <f>337.46*2</f>
        <v>674.92</v>
      </c>
    </row>
    <row r="16" spans="2:211" ht="15" x14ac:dyDescent="0.25">
      <c r="B16" s="88">
        <v>10</v>
      </c>
      <c r="C16" t="s">
        <v>52</v>
      </c>
      <c r="G16" s="5">
        <v>9000</v>
      </c>
      <c r="H16" s="5">
        <v>11098</v>
      </c>
      <c r="P16" t="s">
        <v>10</v>
      </c>
      <c r="R16">
        <v>1</v>
      </c>
      <c r="AP16" t="s">
        <v>10</v>
      </c>
      <c r="AR16" s="13">
        <v>182.41</v>
      </c>
      <c r="CC16" s="13"/>
      <c r="CV16" s="6"/>
      <c r="CW16" s="6"/>
    </row>
    <row r="17" spans="2:106" x14ac:dyDescent="0.2">
      <c r="B17" s="89"/>
      <c r="G17" s="5"/>
      <c r="H17" s="5"/>
      <c r="CC17" s="13"/>
    </row>
    <row r="18" spans="2:106" ht="15" x14ac:dyDescent="0.25">
      <c r="B18" s="89"/>
      <c r="D18" s="1">
        <v>12</v>
      </c>
      <c r="G18" s="5">
        <v>9568.125</v>
      </c>
      <c r="H18" s="5">
        <v>11635.000000000004</v>
      </c>
      <c r="I18">
        <v>22.12</v>
      </c>
      <c r="K18">
        <v>825.30000000000007</v>
      </c>
      <c r="M18">
        <v>33.727249999999998</v>
      </c>
    </row>
    <row r="19" spans="2:106" ht="15" x14ac:dyDescent="0.25">
      <c r="B19" s="89"/>
      <c r="D19" s="1">
        <v>20</v>
      </c>
      <c r="G19" s="5">
        <v>10479.375000000002</v>
      </c>
      <c r="H19" s="5">
        <v>17005</v>
      </c>
      <c r="I19">
        <v>31.6</v>
      </c>
      <c r="K19">
        <v>825.30000000000007</v>
      </c>
      <c r="M19">
        <v>38.891750000000002</v>
      </c>
    </row>
    <row r="20" spans="2:106" ht="15" x14ac:dyDescent="0.25">
      <c r="B20" s="89"/>
      <c r="D20" s="1">
        <v>30</v>
      </c>
      <c r="G20" s="5">
        <v>12301.875000000002</v>
      </c>
      <c r="H20" s="5">
        <v>23717.5</v>
      </c>
      <c r="I20">
        <v>43.45</v>
      </c>
      <c r="K20">
        <v>943.2</v>
      </c>
      <c r="M20">
        <v>45.620750000000001</v>
      </c>
      <c r="Q20" s="90" t="s">
        <v>23</v>
      </c>
      <c r="R20" s="90"/>
      <c r="S20" s="90" t="s">
        <v>7</v>
      </c>
      <c r="T20" s="90"/>
      <c r="U20" s="91" t="s">
        <v>35</v>
      </c>
      <c r="V20" s="90"/>
      <c r="W20" s="90" t="s">
        <v>15</v>
      </c>
      <c r="X20" s="90"/>
      <c r="Y20" s="90" t="s">
        <v>16</v>
      </c>
      <c r="Z20" s="90"/>
      <c r="AA20" s="32"/>
      <c r="AD20" s="90" t="s">
        <v>23</v>
      </c>
      <c r="AE20" s="90"/>
      <c r="AF20" s="90" t="s">
        <v>7</v>
      </c>
      <c r="AG20" s="90"/>
      <c r="AH20" s="91" t="s">
        <v>35</v>
      </c>
      <c r="AI20" s="90"/>
      <c r="AJ20" s="90" t="s">
        <v>15</v>
      </c>
      <c r="AK20" s="90"/>
      <c r="AL20" s="90" t="s">
        <v>16</v>
      </c>
      <c r="AM20" s="90"/>
      <c r="AN20" s="32"/>
      <c r="AQ20" s="90" t="s">
        <v>23</v>
      </c>
      <c r="AR20" s="90"/>
      <c r="AS20" s="90" t="s">
        <v>7</v>
      </c>
      <c r="AT20" s="90"/>
      <c r="AU20" s="91" t="s">
        <v>35</v>
      </c>
      <c r="AV20" s="90"/>
      <c r="AW20" s="90" t="s">
        <v>15</v>
      </c>
      <c r="AX20" s="90"/>
      <c r="AY20" s="90" t="s">
        <v>16</v>
      </c>
      <c r="AZ20" s="90"/>
      <c r="BA20" s="32"/>
      <c r="BD20" s="90" t="s">
        <v>23</v>
      </c>
      <c r="BE20" s="90"/>
      <c r="BF20" s="90" t="s">
        <v>7</v>
      </c>
      <c r="BG20" s="90"/>
      <c r="BH20" s="91" t="s">
        <v>35</v>
      </c>
      <c r="BI20" s="90"/>
      <c r="BJ20" s="90" t="s">
        <v>15</v>
      </c>
      <c r="BK20" s="90"/>
      <c r="BL20" s="90" t="s">
        <v>16</v>
      </c>
      <c r="BM20" s="90"/>
      <c r="BN20" s="32"/>
      <c r="BQ20" s="90" t="s">
        <v>23</v>
      </c>
      <c r="BR20" s="90"/>
      <c r="BS20" s="90" t="s">
        <v>7</v>
      </c>
      <c r="BT20" s="90"/>
      <c r="BU20" s="91" t="s">
        <v>35</v>
      </c>
      <c r="BV20" s="90"/>
      <c r="BW20" s="90" t="s">
        <v>15</v>
      </c>
      <c r="BX20" s="90"/>
      <c r="BY20" s="90" t="s">
        <v>16</v>
      </c>
      <c r="BZ20" s="90"/>
      <c r="CA20" s="32"/>
      <c r="CD20" s="90" t="s">
        <v>23</v>
      </c>
      <c r="CE20" s="90"/>
      <c r="CF20" s="90" t="s">
        <v>7</v>
      </c>
      <c r="CG20" s="90"/>
      <c r="CH20" s="91" t="s">
        <v>35</v>
      </c>
      <c r="CI20" s="90"/>
      <c r="CJ20" s="90" t="s">
        <v>15</v>
      </c>
      <c r="CK20" s="90"/>
      <c r="CL20" s="90" t="s">
        <v>16</v>
      </c>
      <c r="CM20" s="90"/>
      <c r="CN20" s="32"/>
      <c r="CQ20" s="90" t="s">
        <v>23</v>
      </c>
      <c r="CR20" s="90"/>
      <c r="CS20" s="90" t="s">
        <v>7</v>
      </c>
      <c r="CT20" s="90"/>
      <c r="CU20" s="91" t="s">
        <v>35</v>
      </c>
      <c r="CV20" s="90"/>
      <c r="CW20" s="90" t="s">
        <v>15</v>
      </c>
      <c r="CX20" s="90"/>
      <c r="CY20" s="90" t="s">
        <v>16</v>
      </c>
      <c r="CZ20" s="90"/>
      <c r="DA20" s="32"/>
      <c r="DB20" s="32"/>
    </row>
    <row r="21" spans="2:106" ht="15" x14ac:dyDescent="0.25">
      <c r="B21" s="89"/>
      <c r="D21" s="1">
        <v>40</v>
      </c>
      <c r="G21" s="5">
        <v>14124.375000000002</v>
      </c>
      <c r="H21" s="5">
        <v>30430</v>
      </c>
      <c r="I21">
        <v>55.300000000000004</v>
      </c>
      <c r="K21">
        <v>1061.1000000000001</v>
      </c>
      <c r="M21">
        <v>52.34975</v>
      </c>
      <c r="P21" s="2" t="s">
        <v>12</v>
      </c>
      <c r="Q21" s="2" t="s">
        <v>11</v>
      </c>
      <c r="R21" s="2" t="s">
        <v>9</v>
      </c>
      <c r="S21" s="2" t="s">
        <v>8</v>
      </c>
      <c r="T21" s="2" t="s">
        <v>9</v>
      </c>
      <c r="U21" s="2" t="s">
        <v>14</v>
      </c>
      <c r="V21" s="2" t="s">
        <v>9</v>
      </c>
      <c r="W21" s="2" t="s">
        <v>8</v>
      </c>
      <c r="X21" s="2" t="s">
        <v>9</v>
      </c>
      <c r="Y21" s="2" t="s">
        <v>17</v>
      </c>
      <c r="Z21" s="2" t="s">
        <v>9</v>
      </c>
      <c r="AA21" s="2"/>
      <c r="AC21" s="2" t="s">
        <v>12</v>
      </c>
      <c r="AD21" s="2" t="s">
        <v>11</v>
      </c>
      <c r="AE21" s="2" t="s">
        <v>9</v>
      </c>
      <c r="AF21" s="2" t="s">
        <v>8</v>
      </c>
      <c r="AG21" s="2" t="s">
        <v>9</v>
      </c>
      <c r="AH21" s="2" t="s">
        <v>14</v>
      </c>
      <c r="AI21" s="2" t="s">
        <v>9</v>
      </c>
      <c r="AJ21" s="2" t="s">
        <v>8</v>
      </c>
      <c r="AK21" s="2" t="s">
        <v>9</v>
      </c>
      <c r="AL21" s="2" t="s">
        <v>17</v>
      </c>
      <c r="AM21" s="2" t="s">
        <v>9</v>
      </c>
      <c r="AN21" s="2"/>
      <c r="AP21" s="2" t="s">
        <v>12</v>
      </c>
      <c r="AQ21" s="2" t="s">
        <v>11</v>
      </c>
      <c r="AR21" s="2" t="s">
        <v>9</v>
      </c>
      <c r="AS21" s="2" t="s">
        <v>8</v>
      </c>
      <c r="AT21" s="2" t="s">
        <v>9</v>
      </c>
      <c r="AU21" s="2" t="s">
        <v>14</v>
      </c>
      <c r="AV21" s="2" t="s">
        <v>9</v>
      </c>
      <c r="AW21" s="2" t="s">
        <v>8</v>
      </c>
      <c r="AX21" s="2" t="s">
        <v>9</v>
      </c>
      <c r="AY21" s="2" t="s">
        <v>17</v>
      </c>
      <c r="AZ21" s="2" t="s">
        <v>9</v>
      </c>
      <c r="BA21" s="2"/>
      <c r="BC21" s="2" t="s">
        <v>12</v>
      </c>
      <c r="BD21" s="2" t="s">
        <v>11</v>
      </c>
      <c r="BE21" s="2" t="s">
        <v>9</v>
      </c>
      <c r="BF21" s="2" t="s">
        <v>8</v>
      </c>
      <c r="BG21" s="2" t="s">
        <v>9</v>
      </c>
      <c r="BH21" s="2" t="s">
        <v>14</v>
      </c>
      <c r="BI21" s="2" t="s">
        <v>9</v>
      </c>
      <c r="BJ21" s="2" t="s">
        <v>8</v>
      </c>
      <c r="BK21" s="2" t="s">
        <v>9</v>
      </c>
      <c r="BL21" s="2" t="s">
        <v>17</v>
      </c>
      <c r="BM21" s="2" t="s">
        <v>9</v>
      </c>
      <c r="BN21" s="2"/>
      <c r="BP21" s="2" t="s">
        <v>12</v>
      </c>
      <c r="BQ21" s="2" t="s">
        <v>11</v>
      </c>
      <c r="BR21" s="2" t="s">
        <v>9</v>
      </c>
      <c r="BS21" s="2" t="s">
        <v>8</v>
      </c>
      <c r="BT21" s="2" t="s">
        <v>9</v>
      </c>
      <c r="BU21" s="2" t="s">
        <v>14</v>
      </c>
      <c r="BV21" s="2" t="s">
        <v>9</v>
      </c>
      <c r="BW21" s="2" t="s">
        <v>8</v>
      </c>
      <c r="BX21" s="2" t="s">
        <v>9</v>
      </c>
      <c r="BY21" s="2" t="s">
        <v>17</v>
      </c>
      <c r="BZ21" s="2" t="s">
        <v>9</v>
      </c>
      <c r="CA21" s="2"/>
      <c r="CC21" s="2" t="s">
        <v>12</v>
      </c>
      <c r="CD21" s="2" t="s">
        <v>11</v>
      </c>
      <c r="CE21" s="2" t="s">
        <v>9</v>
      </c>
      <c r="CF21" s="2" t="s">
        <v>8</v>
      </c>
      <c r="CG21" s="2" t="s">
        <v>9</v>
      </c>
      <c r="CH21" s="2" t="s">
        <v>14</v>
      </c>
      <c r="CI21" s="2" t="s">
        <v>9</v>
      </c>
      <c r="CJ21" s="2" t="s">
        <v>8</v>
      </c>
      <c r="CK21" s="2" t="s">
        <v>9</v>
      </c>
      <c r="CL21" s="2" t="s">
        <v>17</v>
      </c>
      <c r="CM21" s="2" t="s">
        <v>9</v>
      </c>
      <c r="CN21" s="2"/>
      <c r="CP21" s="2" t="s">
        <v>12</v>
      </c>
      <c r="CQ21" s="2" t="s">
        <v>11</v>
      </c>
      <c r="CR21" s="2" t="s">
        <v>9</v>
      </c>
      <c r="CS21" s="2" t="s">
        <v>8</v>
      </c>
      <c r="CT21" s="2" t="s">
        <v>9</v>
      </c>
      <c r="CU21" s="2" t="s">
        <v>14</v>
      </c>
      <c r="CV21" s="2" t="s">
        <v>9</v>
      </c>
      <c r="CW21" s="2" t="s">
        <v>8</v>
      </c>
      <c r="CX21" s="2" t="s">
        <v>9</v>
      </c>
      <c r="CY21" s="2" t="s">
        <v>17</v>
      </c>
      <c r="CZ21" s="2" t="s">
        <v>9</v>
      </c>
      <c r="DA21" s="2"/>
      <c r="DB21" s="2"/>
    </row>
    <row r="22" spans="2:106" ht="15" x14ac:dyDescent="0.25">
      <c r="B22" s="89"/>
      <c r="D22" s="1">
        <v>50</v>
      </c>
      <c r="G22" s="5">
        <v>14124.375000000002</v>
      </c>
      <c r="H22" s="5">
        <v>35203.333333333343</v>
      </c>
      <c r="I22">
        <v>51.35</v>
      </c>
      <c r="K22">
        <v>1179</v>
      </c>
      <c r="M22">
        <v>56.616416666666673</v>
      </c>
      <c r="P22" s="1">
        <v>12</v>
      </c>
      <c r="Q22">
        <v>19</v>
      </c>
      <c r="R22" s="1">
        <f>Q22*Conversions!$B$12</f>
        <v>15.010000000000002</v>
      </c>
      <c r="S22" s="3">
        <v>4.25</v>
      </c>
      <c r="T22" s="6">
        <f>Conversions!$B$16*'Septic Tank - British '!S22</f>
        <v>6481.25</v>
      </c>
      <c r="U22">
        <v>8.5</v>
      </c>
      <c r="V22">
        <f>Conversions!$C$21*Conversions!$C$23*'Septic Tank - British '!U22</f>
        <v>7.82</v>
      </c>
      <c r="W22" s="3">
        <v>3.4627500000000007</v>
      </c>
      <c r="X22" s="6">
        <f>W22*Conversions!$B$4</f>
        <v>8656.8750000000018</v>
      </c>
      <c r="Y22">
        <v>14</v>
      </c>
      <c r="Z22" s="1">
        <f>Y22*Conversions!$B$8</f>
        <v>825.30000000000007</v>
      </c>
      <c r="AA22" s="1"/>
      <c r="AC22" s="1">
        <v>12</v>
      </c>
      <c r="AD22">
        <v>28</v>
      </c>
      <c r="AE22" s="1">
        <f>AD22*Conversions!$B$12</f>
        <v>22.12</v>
      </c>
      <c r="AF22">
        <v>6.5000000000000018</v>
      </c>
      <c r="AG22" s="6">
        <f>Conversions!$B$16*'Septic Tank - British '!AF22</f>
        <v>9912.5000000000018</v>
      </c>
      <c r="AH22" s="3">
        <v>13.000000000000002</v>
      </c>
      <c r="AI22">
        <f>Conversions!$C$21*Conversions!$C$23*'Septic Tank - British '!AH22</f>
        <v>11.960000000000003</v>
      </c>
      <c r="AJ22" s="3">
        <v>3.8272500000000003</v>
      </c>
      <c r="AK22" s="6">
        <f>AJ22*Conversions!$B$4</f>
        <v>9568.125</v>
      </c>
      <c r="AL22">
        <v>14</v>
      </c>
      <c r="AM22" s="1">
        <f>AL22*Conversions!$B$8</f>
        <v>825.30000000000007</v>
      </c>
      <c r="AN22" s="1"/>
      <c r="AP22" s="1">
        <v>12</v>
      </c>
      <c r="AQ22">
        <v>46</v>
      </c>
      <c r="AR22" s="6">
        <f>AQ22*Conversions!$B$12</f>
        <v>36.340000000000003</v>
      </c>
      <c r="AS22">
        <v>11</v>
      </c>
      <c r="AT22" s="6">
        <f>Conversions!$B$16*'Septic Tank - British '!AS22</f>
        <v>16775</v>
      </c>
      <c r="AU22">
        <v>22</v>
      </c>
      <c r="AV22">
        <f>Conversions!$C$21*Conversions!$C$23*'Septic Tank - British '!AU22</f>
        <v>20.240000000000002</v>
      </c>
      <c r="AW22" s="3">
        <v>4.9207500000000008</v>
      </c>
      <c r="AX22" s="6">
        <f>AW22*Conversions!$B$4</f>
        <v>12301.875000000002</v>
      </c>
      <c r="AY22">
        <v>21</v>
      </c>
      <c r="AZ22" s="1">
        <f>AY22*Conversions!$B$8</f>
        <v>1237.95</v>
      </c>
      <c r="BA22" s="1"/>
      <c r="BC22" s="1">
        <v>12</v>
      </c>
      <c r="BD22" s="5">
        <v>64</v>
      </c>
      <c r="BE22" s="6">
        <f>BD22*Conversions!$B$12</f>
        <v>50.56</v>
      </c>
      <c r="BF22">
        <v>15.5</v>
      </c>
      <c r="BG22" s="6">
        <f>Conversions!$B$16*'Septic Tank - British '!BF22</f>
        <v>23637.5</v>
      </c>
      <c r="BH22">
        <v>31</v>
      </c>
      <c r="BI22">
        <f>Conversions!$C$21*Conversions!$C$23*'Septic Tank - British '!BH22</f>
        <v>28.52</v>
      </c>
      <c r="BJ22">
        <v>5.6497500000000009</v>
      </c>
      <c r="BK22" s="6">
        <f>BJ22*Conversions!$B$4</f>
        <v>14124.375000000002</v>
      </c>
      <c r="BL22">
        <v>25</v>
      </c>
      <c r="BM22" s="6">
        <f>BL22*Conversions!$B$8</f>
        <v>1473.75</v>
      </c>
      <c r="BN22" s="6"/>
      <c r="BP22" s="6">
        <v>12</v>
      </c>
      <c r="BQ22" s="5">
        <v>75</v>
      </c>
      <c r="BR22" s="6">
        <f>BQ22*Conversions!$B$12</f>
        <v>59.25</v>
      </c>
      <c r="BS22" s="5">
        <v>23</v>
      </c>
      <c r="BT22" s="6">
        <f>Conversions!$B$16*'Septic Tank - British '!BS22</f>
        <v>35075</v>
      </c>
      <c r="BU22" s="5">
        <v>45.999999999999993</v>
      </c>
      <c r="BV22">
        <f>Conversions!$C$21*Conversions!$C$23*'Septic Tank - British '!BU22</f>
        <v>42.319999999999993</v>
      </c>
      <c r="BW22" s="5">
        <v>6.378750000000001</v>
      </c>
      <c r="BX22" s="6">
        <f>BW22*Conversions!$B$4</f>
        <v>15946.875000000002</v>
      </c>
      <c r="BY22" s="5">
        <v>29</v>
      </c>
      <c r="BZ22" s="6">
        <f>BY22*Conversions!$B$8</f>
        <v>1709.5500000000002</v>
      </c>
      <c r="CA22" s="6"/>
      <c r="CC22" s="6">
        <v>12</v>
      </c>
      <c r="CD22" s="5">
        <v>79</v>
      </c>
      <c r="CE22" s="6">
        <f>CD22*Conversions!$B$12</f>
        <v>62.410000000000004</v>
      </c>
      <c r="CF22" s="5">
        <v>32</v>
      </c>
      <c r="CG22" s="6">
        <f>Conversions!$B$16*'Septic Tank - British '!CF22</f>
        <v>48800</v>
      </c>
      <c r="CH22" s="5">
        <v>64</v>
      </c>
      <c r="CI22">
        <f>Conversions!$C$21*Conversions!$C$23*'Septic Tank - British '!CH22</f>
        <v>58.88</v>
      </c>
      <c r="CJ22" s="5">
        <v>7.1077500000000011</v>
      </c>
      <c r="CK22" s="6">
        <f>CJ22*Conversions!$B$4</f>
        <v>17769.375000000004</v>
      </c>
      <c r="CL22" s="5">
        <v>33</v>
      </c>
      <c r="CM22" s="6">
        <f>CL22*Conversions!$B$8</f>
        <v>1945.3500000000001</v>
      </c>
      <c r="CN22" s="6"/>
      <c r="CP22" s="6">
        <v>12</v>
      </c>
      <c r="CQ22" s="5">
        <v>90</v>
      </c>
      <c r="CR22" s="6">
        <f>CQ22*Conversions!$B$12</f>
        <v>71.100000000000009</v>
      </c>
      <c r="CS22" s="5">
        <v>41</v>
      </c>
      <c r="CT22" s="6">
        <f>Conversions!$B$16*'Septic Tank - British '!CS22</f>
        <v>62525</v>
      </c>
      <c r="CU22" s="5">
        <v>81.999999999999986</v>
      </c>
      <c r="CV22">
        <f>Conversions!$C$21*Conversions!$C$23*'Septic Tank - British '!CU22</f>
        <v>75.439999999999984</v>
      </c>
      <c r="CW22" s="5">
        <v>7.4722500000000007</v>
      </c>
      <c r="CX22" s="6">
        <f>CW22*Conversions!$B$4</f>
        <v>18680.625</v>
      </c>
      <c r="CY22" s="5">
        <v>35</v>
      </c>
      <c r="CZ22" s="6">
        <f>CY22*Conversions!$B$8</f>
        <v>2063.25</v>
      </c>
      <c r="DA22" s="6"/>
      <c r="DB22" s="6"/>
    </row>
    <row r="23" spans="2:106" ht="15" x14ac:dyDescent="0.25">
      <c r="B23" s="89"/>
      <c r="D23" s="1">
        <v>60</v>
      </c>
      <c r="G23" s="5">
        <v>15035.625000000002</v>
      </c>
      <c r="H23" s="5">
        <v>41170</v>
      </c>
      <c r="I23">
        <v>59.25</v>
      </c>
      <c r="K23">
        <v>1296.9000000000001</v>
      </c>
      <c r="M23">
        <v>62.314250000000001</v>
      </c>
      <c r="P23" s="1">
        <v>20</v>
      </c>
      <c r="Q23">
        <v>25</v>
      </c>
      <c r="R23" s="1">
        <f>Q23*Conversions!$B$12</f>
        <v>19.75</v>
      </c>
      <c r="S23" s="3">
        <v>5.75</v>
      </c>
      <c r="T23" s="6">
        <f>Conversions!$B$16*'Septic Tank - British '!S23</f>
        <v>8768.75</v>
      </c>
      <c r="U23">
        <v>11.499999999999998</v>
      </c>
      <c r="V23">
        <f>Conversions!$C$21*Conversions!$C$23*'Septic Tank - British '!U23</f>
        <v>10.579999999999998</v>
      </c>
      <c r="W23" s="3">
        <v>3.4627500000000007</v>
      </c>
      <c r="X23" s="6">
        <f>W23*Conversions!$B$4</f>
        <v>8656.8750000000018</v>
      </c>
      <c r="Y23">
        <v>14</v>
      </c>
      <c r="Z23" s="1">
        <f>Y23*Conversions!$B$8</f>
        <v>825.30000000000007</v>
      </c>
      <c r="AA23" s="1"/>
      <c r="AC23" s="1">
        <v>20</v>
      </c>
      <c r="AD23">
        <v>40</v>
      </c>
      <c r="AE23" s="1">
        <f>AD23*Conversions!$B$12</f>
        <v>31.6</v>
      </c>
      <c r="AF23">
        <v>9.5</v>
      </c>
      <c r="AG23" s="6">
        <f>Conversions!$B$16*'Septic Tank - British '!AF23</f>
        <v>14487.5</v>
      </c>
      <c r="AH23" s="3">
        <v>18.999999999999996</v>
      </c>
      <c r="AI23">
        <f>Conversions!$C$21*Conversions!$C$23*'Septic Tank - British '!AH23</f>
        <v>17.479999999999997</v>
      </c>
      <c r="AJ23" s="3">
        <v>4.1917500000000008</v>
      </c>
      <c r="AK23" s="6">
        <f>AJ23*Conversions!$B$4</f>
        <v>10479.375000000002</v>
      </c>
      <c r="AL23">
        <v>14</v>
      </c>
      <c r="AM23" s="1">
        <f>AL23*Conversions!$B$8</f>
        <v>825.30000000000007</v>
      </c>
      <c r="AN23" s="1"/>
      <c r="AP23" s="1">
        <v>20</v>
      </c>
      <c r="AQ23">
        <v>70</v>
      </c>
      <c r="AR23" s="6">
        <f>AQ23*Conversions!$B$12</f>
        <v>55.300000000000004</v>
      </c>
      <c r="AS23">
        <v>17</v>
      </c>
      <c r="AT23" s="6">
        <f>Conversions!$B$16*'Septic Tank - British '!AS23</f>
        <v>25925</v>
      </c>
      <c r="AU23">
        <v>34</v>
      </c>
      <c r="AV23">
        <f>Conversions!$C$21*Conversions!$C$23*'Septic Tank - British '!AU23</f>
        <v>31.28</v>
      </c>
      <c r="AW23" s="3">
        <v>6.0142500000000005</v>
      </c>
      <c r="AX23" s="6">
        <f>AW23*Conversions!$B$4</f>
        <v>15035.625000000002</v>
      </c>
      <c r="AY23">
        <v>27</v>
      </c>
      <c r="AZ23" s="1">
        <f>AY23*Conversions!$B$8</f>
        <v>1591.65</v>
      </c>
      <c r="BA23" s="1"/>
      <c r="BC23" s="1">
        <v>20</v>
      </c>
      <c r="BD23" s="5">
        <v>75</v>
      </c>
      <c r="BE23" s="6">
        <f>BD23*Conversions!$B$12</f>
        <v>59.25</v>
      </c>
      <c r="BF23">
        <v>23</v>
      </c>
      <c r="BG23" s="6">
        <f>Conversions!$B$16*'Septic Tank - British '!BF23</f>
        <v>35075</v>
      </c>
      <c r="BH23">
        <v>45.999999999999993</v>
      </c>
      <c r="BI23">
        <f>Conversions!$C$21*Conversions!$C$23*'Septic Tank - British '!BH23</f>
        <v>42.319999999999993</v>
      </c>
      <c r="BJ23">
        <v>6.0142500000000005</v>
      </c>
      <c r="BK23" s="6">
        <f>BJ23*Conversions!$B$4</f>
        <v>15035.625000000002</v>
      </c>
      <c r="BL23">
        <v>27</v>
      </c>
      <c r="BM23" s="6">
        <f>BL23*Conversions!$B$8</f>
        <v>1591.65</v>
      </c>
      <c r="BN23" s="6"/>
      <c r="BP23" s="6">
        <v>20</v>
      </c>
      <c r="BQ23" s="5">
        <v>85</v>
      </c>
      <c r="BR23" s="6">
        <f>BQ23*Conversions!$B$12</f>
        <v>67.150000000000006</v>
      </c>
      <c r="BS23" s="5">
        <v>35</v>
      </c>
      <c r="BT23" s="6">
        <f>Conversions!$B$16*'Septic Tank - British '!BS23</f>
        <v>53375</v>
      </c>
      <c r="BU23" s="5">
        <v>70</v>
      </c>
      <c r="BV23">
        <f>Conversions!$C$21*Conversions!$C$23*'Septic Tank - British '!BU23</f>
        <v>64.400000000000006</v>
      </c>
      <c r="BW23" s="5">
        <v>7.1077500000000011</v>
      </c>
      <c r="BX23" s="6">
        <f>BW23*Conversions!$B$4</f>
        <v>17769.375000000004</v>
      </c>
      <c r="BY23" s="5">
        <v>33</v>
      </c>
      <c r="BZ23" s="6">
        <f>BY23*Conversions!$B$8</f>
        <v>1945.3500000000001</v>
      </c>
      <c r="CA23" s="6"/>
      <c r="CC23" s="6">
        <v>20</v>
      </c>
      <c r="CD23" s="5">
        <v>96.25</v>
      </c>
      <c r="CE23" s="6">
        <f>CD23*Conversions!$B$12</f>
        <v>76.037500000000009</v>
      </c>
      <c r="CF23" s="5">
        <v>50.1875</v>
      </c>
      <c r="CG23" s="6">
        <f>Conversions!$B$16*'Septic Tank - British '!CF23</f>
        <v>76535.9375</v>
      </c>
      <c r="CH23" s="5">
        <v>100.37499999999999</v>
      </c>
      <c r="CI23">
        <f>Conversions!$C$21*Conversions!$C$23*'Septic Tank - British '!CH23</f>
        <v>92.344999999999985</v>
      </c>
      <c r="CJ23" s="5">
        <v>8.2012500000000017</v>
      </c>
      <c r="CK23" s="6">
        <f>CJ23*Conversions!$B$4</f>
        <v>20503.125000000004</v>
      </c>
      <c r="CL23" s="5">
        <v>39</v>
      </c>
      <c r="CM23" s="6">
        <f>CL23*Conversions!$B$8</f>
        <v>2299.0500000000002</v>
      </c>
      <c r="CN23" s="6"/>
      <c r="CP23" s="6">
        <v>20</v>
      </c>
      <c r="CQ23" s="5">
        <v>110</v>
      </c>
      <c r="CR23" s="6">
        <f>CQ23*Conversions!$B$12</f>
        <v>86.9</v>
      </c>
      <c r="CS23" s="5">
        <v>65</v>
      </c>
      <c r="CT23" s="6">
        <f>Conversions!$B$16*'Septic Tank - British '!CS23</f>
        <v>99125</v>
      </c>
      <c r="CU23" s="5">
        <v>130</v>
      </c>
      <c r="CV23">
        <f>Conversions!$C$21*Conversions!$C$23*'Septic Tank - British '!CU23</f>
        <v>119.60000000000001</v>
      </c>
      <c r="CW23" s="5">
        <v>8.9302500000000009</v>
      </c>
      <c r="CX23" s="6">
        <f>CW23*Conversions!$B$4</f>
        <v>22325.625000000004</v>
      </c>
      <c r="CY23" s="5">
        <v>43</v>
      </c>
      <c r="CZ23" s="6">
        <f>CY23*Conversions!$B$8</f>
        <v>2534.85</v>
      </c>
      <c r="DA23" s="6"/>
      <c r="DB23" s="6"/>
    </row>
    <row r="24" spans="2:106" ht="15" x14ac:dyDescent="0.25">
      <c r="B24" s="89"/>
      <c r="D24" s="1">
        <v>70</v>
      </c>
      <c r="G24" s="5">
        <v>15035.625000000002</v>
      </c>
      <c r="H24" s="5">
        <v>46316.25</v>
      </c>
      <c r="I24">
        <v>57.275000000000006</v>
      </c>
      <c r="K24">
        <v>1414.8000000000002</v>
      </c>
      <c r="M24">
        <v>66.914249999999996</v>
      </c>
      <c r="P24" s="1">
        <v>30</v>
      </c>
      <c r="Q24">
        <v>32.5</v>
      </c>
      <c r="R24" s="1">
        <f>Q24*Conversions!$B$12</f>
        <v>25.675000000000001</v>
      </c>
      <c r="S24" s="3">
        <v>7.625</v>
      </c>
      <c r="T24" s="6">
        <f>Conversions!$B$16*'Septic Tank - British '!S24</f>
        <v>11628.125</v>
      </c>
      <c r="U24">
        <v>15.249999999999998</v>
      </c>
      <c r="V24">
        <f>Conversions!$C$21*Conversions!$C$23*'Septic Tank - British '!U24</f>
        <v>14.03</v>
      </c>
      <c r="W24" s="3">
        <v>3.8272500000000003</v>
      </c>
      <c r="X24" s="6">
        <f>W24*Conversions!$B$4</f>
        <v>9568.125</v>
      </c>
      <c r="Y24">
        <v>16</v>
      </c>
      <c r="Z24" s="1">
        <f>Y24*Conversions!$B$8</f>
        <v>943.2</v>
      </c>
      <c r="AA24" s="1"/>
      <c r="AC24" s="1">
        <v>30</v>
      </c>
      <c r="AD24">
        <v>55</v>
      </c>
      <c r="AE24" s="1">
        <f>AD24*Conversions!$B$12</f>
        <v>43.45</v>
      </c>
      <c r="AF24">
        <v>13.25</v>
      </c>
      <c r="AG24" s="6">
        <f>Conversions!$B$16*'Septic Tank - British '!AF24</f>
        <v>20206.25</v>
      </c>
      <c r="AH24" s="3">
        <v>26.499999999999996</v>
      </c>
      <c r="AI24">
        <f>Conversions!$C$21*Conversions!$C$23*'Septic Tank - British '!AH24</f>
        <v>24.38</v>
      </c>
      <c r="AJ24" s="3">
        <v>4.9207500000000008</v>
      </c>
      <c r="AK24" s="6">
        <f>AJ24*Conversions!$B$4</f>
        <v>12301.875000000002</v>
      </c>
      <c r="AL24">
        <v>16</v>
      </c>
      <c r="AM24" s="1">
        <f>AL24*Conversions!$B$8</f>
        <v>943.2</v>
      </c>
      <c r="AN24" s="1"/>
      <c r="AP24" s="1">
        <v>30</v>
      </c>
      <c r="AQ24">
        <v>75</v>
      </c>
      <c r="AR24" s="6">
        <f>AQ24*Conversions!$B$12</f>
        <v>59.25</v>
      </c>
      <c r="AS24">
        <v>23</v>
      </c>
      <c r="AT24" s="6">
        <f>Conversions!$B$16*'Septic Tank - British '!AS24</f>
        <v>35075</v>
      </c>
      <c r="AU24">
        <v>45.999999999999993</v>
      </c>
      <c r="AV24">
        <f>Conversions!$C$21*Conversions!$C$23*'Septic Tank - British '!AU24</f>
        <v>42.319999999999993</v>
      </c>
      <c r="AW24" s="3">
        <v>6.378750000000001</v>
      </c>
      <c r="AX24" s="6">
        <f>AW24*Conversions!$B$4</f>
        <v>15946.875000000002</v>
      </c>
      <c r="AY24">
        <v>29</v>
      </c>
      <c r="AZ24" s="1">
        <f>AY24*Conversions!$B$8</f>
        <v>1709.5500000000002</v>
      </c>
      <c r="BA24" s="1"/>
      <c r="BC24" s="1">
        <v>30</v>
      </c>
      <c r="BD24" s="5">
        <v>79</v>
      </c>
      <c r="BE24" s="6">
        <f>BD24*Conversions!$B$12</f>
        <v>62.410000000000004</v>
      </c>
      <c r="BF24">
        <v>32</v>
      </c>
      <c r="BG24" s="6">
        <f>Conversions!$B$16*'Septic Tank - British '!BF24</f>
        <v>48800</v>
      </c>
      <c r="BH24">
        <v>64</v>
      </c>
      <c r="BI24">
        <f>Conversions!$C$21*Conversions!$C$23*'Septic Tank - British '!BH24</f>
        <v>58.88</v>
      </c>
      <c r="BJ24">
        <v>6.7432500000000006</v>
      </c>
      <c r="BK24" s="6">
        <f>BJ24*Conversions!$B$4</f>
        <v>16858.125</v>
      </c>
      <c r="BL24">
        <v>31</v>
      </c>
      <c r="BM24" s="6">
        <f>BL24*Conversions!$B$8</f>
        <v>1827.45</v>
      </c>
      <c r="BN24" s="6"/>
      <c r="BP24" s="6">
        <v>30</v>
      </c>
      <c r="BQ24" s="5">
        <v>96.25</v>
      </c>
      <c r="BR24" s="6">
        <f>BQ24*Conversions!$B$12</f>
        <v>76.037500000000009</v>
      </c>
      <c r="BS24" s="5">
        <v>50.1875</v>
      </c>
      <c r="BT24" s="6">
        <f>Conversions!$B$16*'Septic Tank - British '!BS24</f>
        <v>76535.9375</v>
      </c>
      <c r="BU24" s="5">
        <v>100.37499999999999</v>
      </c>
      <c r="BV24">
        <f>Conversions!$C$21*Conversions!$C$23*'Septic Tank - British '!BU24</f>
        <v>92.344999999999985</v>
      </c>
      <c r="BW24" s="5">
        <v>7.8367500000000012</v>
      </c>
      <c r="BX24" s="6">
        <f>BW24*Conversions!$B$4</f>
        <v>19591.875000000004</v>
      </c>
      <c r="BY24" s="5">
        <v>37</v>
      </c>
      <c r="BZ24" s="6">
        <f>BY24*Conversions!$B$8</f>
        <v>2181.15</v>
      </c>
      <c r="CA24" s="6"/>
      <c r="CC24" s="6">
        <v>30</v>
      </c>
      <c r="CD24" s="5">
        <v>116.25</v>
      </c>
      <c r="CE24" s="6">
        <f>CD24*Conversions!$B$12</f>
        <v>91.837500000000006</v>
      </c>
      <c r="CF24" s="5">
        <v>72.9375</v>
      </c>
      <c r="CG24" s="6">
        <f>Conversions!$B$16*'Septic Tank - British '!CF24</f>
        <v>111229.6875</v>
      </c>
      <c r="CH24" s="5">
        <v>145.875</v>
      </c>
      <c r="CI24">
        <f>Conversions!$C$21*Conversions!$C$23*'Septic Tank - British '!CH24</f>
        <v>134.20500000000001</v>
      </c>
      <c r="CJ24" s="5">
        <v>9.2947500000000005</v>
      </c>
      <c r="CK24" s="6">
        <f>CJ24*Conversions!$B$4</f>
        <v>23236.875</v>
      </c>
      <c r="CL24" s="5">
        <v>45</v>
      </c>
      <c r="CM24" s="6">
        <f>CL24*Conversions!$B$8</f>
        <v>2652.75</v>
      </c>
      <c r="CN24" s="6"/>
      <c r="CP24" s="6">
        <v>30</v>
      </c>
      <c r="CQ24" s="5">
        <v>135</v>
      </c>
      <c r="CR24" s="6">
        <f>CQ24*Conversions!$B$12</f>
        <v>106.65</v>
      </c>
      <c r="CS24" s="5">
        <v>95</v>
      </c>
      <c r="CT24" s="6">
        <f>Conversions!$B$16*'Septic Tank - British '!CS24</f>
        <v>144875</v>
      </c>
      <c r="CU24" s="5">
        <v>190</v>
      </c>
      <c r="CV24">
        <f>Conversions!$C$21*Conversions!$C$23*'Septic Tank - British '!CU24</f>
        <v>174.8</v>
      </c>
      <c r="CW24" s="5">
        <v>10.388250000000001</v>
      </c>
      <c r="CX24" s="6">
        <f>CW24*Conversions!$B$4</f>
        <v>25970.625000000004</v>
      </c>
      <c r="CY24" s="5">
        <v>51</v>
      </c>
      <c r="CZ24" s="6">
        <f>CY24*Conversions!$B$8</f>
        <v>3006.4500000000003</v>
      </c>
      <c r="DA24" s="6"/>
      <c r="DB24" s="6"/>
    </row>
    <row r="25" spans="2:106" ht="15" x14ac:dyDescent="0.25">
      <c r="B25" s="89"/>
      <c r="D25" s="1">
        <v>80</v>
      </c>
      <c r="G25" s="5">
        <v>15946.875000000002</v>
      </c>
      <c r="H25" s="5">
        <v>51910</v>
      </c>
      <c r="I25">
        <v>63.2</v>
      </c>
      <c r="K25">
        <v>1532.7</v>
      </c>
      <c r="M25">
        <v>72.278750000000002</v>
      </c>
      <c r="P25" s="1">
        <v>40</v>
      </c>
      <c r="Q25">
        <v>40</v>
      </c>
      <c r="R25" s="1">
        <f>Q25*Conversions!$B$12</f>
        <v>31.6</v>
      </c>
      <c r="S25" s="3">
        <v>9.5</v>
      </c>
      <c r="T25" s="6">
        <f>Conversions!$B$16*'Septic Tank - British '!S25</f>
        <v>14487.5</v>
      </c>
      <c r="U25">
        <v>18.999999999999996</v>
      </c>
      <c r="V25">
        <f>Conversions!$C$21*Conversions!$C$23*'Septic Tank - British '!U25</f>
        <v>17.479999999999997</v>
      </c>
      <c r="W25" s="3">
        <v>4.1917500000000008</v>
      </c>
      <c r="X25" s="6">
        <f>W25*Conversions!$B$4</f>
        <v>10479.375000000002</v>
      </c>
      <c r="Y25">
        <v>18</v>
      </c>
      <c r="Z25" s="1">
        <f>Y25*Conversions!$B$8</f>
        <v>1061.1000000000001</v>
      </c>
      <c r="AA25" s="1"/>
      <c r="AC25" s="1">
        <v>40</v>
      </c>
      <c r="AD25">
        <v>70</v>
      </c>
      <c r="AE25" s="1">
        <f>AD25*Conversions!$B$12</f>
        <v>55.300000000000004</v>
      </c>
      <c r="AF25">
        <v>17</v>
      </c>
      <c r="AG25" s="6">
        <f>Conversions!$B$16*'Septic Tank - British '!AF25</f>
        <v>25925</v>
      </c>
      <c r="AH25" s="3">
        <v>34</v>
      </c>
      <c r="AI25">
        <f>Conversions!$C$21*Conversions!$C$23*'Septic Tank - British '!AH25</f>
        <v>31.28</v>
      </c>
      <c r="AJ25" s="3">
        <v>5.6497500000000009</v>
      </c>
      <c r="AK25" s="6">
        <f>AJ25*Conversions!$B$4</f>
        <v>14124.375000000002</v>
      </c>
      <c r="AL25">
        <v>18</v>
      </c>
      <c r="AM25" s="1">
        <f>AL25*Conversions!$B$8</f>
        <v>1061.1000000000001</v>
      </c>
      <c r="AN25" s="1"/>
      <c r="AP25" s="1">
        <v>40</v>
      </c>
      <c r="AQ25">
        <v>80</v>
      </c>
      <c r="AR25" s="6">
        <f>AQ25*Conversions!$B$12</f>
        <v>63.2</v>
      </c>
      <c r="AS25">
        <v>29</v>
      </c>
      <c r="AT25" s="6">
        <f>Conversions!$B$16*'Septic Tank - British '!AS25</f>
        <v>44225</v>
      </c>
      <c r="AU25">
        <v>57.999999999999993</v>
      </c>
      <c r="AV25">
        <f>Conversions!$C$21*Conversions!$C$23*'Septic Tank - British '!AU25</f>
        <v>53.359999999999992</v>
      </c>
      <c r="AW25" s="3">
        <v>6.7432500000000006</v>
      </c>
      <c r="AX25" s="6">
        <f>AW25*Conversions!$B$4</f>
        <v>16858.125</v>
      </c>
      <c r="AY25">
        <v>31</v>
      </c>
      <c r="AZ25" s="1">
        <f>AY25*Conversions!$B$8</f>
        <v>1827.45</v>
      </c>
      <c r="BA25" s="1"/>
      <c r="BC25" s="1">
        <v>40</v>
      </c>
      <c r="BD25" s="5">
        <v>90</v>
      </c>
      <c r="BE25" s="6">
        <f>BD25*Conversions!$B$12</f>
        <v>71.100000000000009</v>
      </c>
      <c r="BF25">
        <v>41</v>
      </c>
      <c r="BG25" s="6">
        <f>Conversions!$B$16*'Septic Tank - British '!BF25</f>
        <v>62525</v>
      </c>
      <c r="BH25">
        <v>81.999999999999986</v>
      </c>
      <c r="BI25">
        <f>Conversions!$C$21*Conversions!$C$23*'Septic Tank - British '!BH25</f>
        <v>75.439999999999984</v>
      </c>
      <c r="BJ25">
        <v>7.1077500000000011</v>
      </c>
      <c r="BK25" s="6">
        <f>BJ25*Conversions!$B$4</f>
        <v>17769.375000000004</v>
      </c>
      <c r="BL25">
        <v>33</v>
      </c>
      <c r="BM25" s="6">
        <f>BL25*Conversions!$B$8</f>
        <v>1945.3500000000001</v>
      </c>
      <c r="BN25" s="6"/>
      <c r="BP25" s="6">
        <v>40</v>
      </c>
      <c r="BQ25" s="5">
        <v>110</v>
      </c>
      <c r="BR25" s="6">
        <f>BQ25*Conversions!$B$12</f>
        <v>86.9</v>
      </c>
      <c r="BS25" s="5">
        <v>65</v>
      </c>
      <c r="BT25" s="6">
        <f>Conversions!$B$16*'Septic Tank - British '!BS25</f>
        <v>99125</v>
      </c>
      <c r="BU25" s="5">
        <v>130</v>
      </c>
      <c r="BV25">
        <f>Conversions!$C$21*Conversions!$C$23*'Septic Tank - British '!BU25</f>
        <v>119.60000000000001</v>
      </c>
      <c r="BW25" s="5">
        <v>8.9302500000000009</v>
      </c>
      <c r="BX25" s="6">
        <f>BW25*Conversions!$B$4</f>
        <v>22325.625000000004</v>
      </c>
      <c r="BY25" s="5">
        <v>43</v>
      </c>
      <c r="BZ25" s="6">
        <f>BY25*Conversions!$B$8</f>
        <v>2534.85</v>
      </c>
      <c r="CA25" s="6"/>
      <c r="CC25" s="6">
        <v>40</v>
      </c>
      <c r="CD25" s="5">
        <v>135</v>
      </c>
      <c r="CE25" s="6">
        <f>CD25*Conversions!$B$12</f>
        <v>106.65</v>
      </c>
      <c r="CF25" s="5">
        <v>95</v>
      </c>
      <c r="CG25" s="6">
        <f>Conversions!$B$16*'Septic Tank - British '!CF25</f>
        <v>144875</v>
      </c>
      <c r="CH25" s="5">
        <v>190</v>
      </c>
      <c r="CI25">
        <f>Conversions!$C$21*Conversions!$C$23*'Septic Tank - British '!CH25</f>
        <v>174.8</v>
      </c>
      <c r="CJ25" s="5">
        <v>10.388250000000001</v>
      </c>
      <c r="CK25" s="6">
        <f>CJ25*Conversions!$B$4</f>
        <v>25970.625000000004</v>
      </c>
      <c r="CL25" s="5">
        <v>51</v>
      </c>
      <c r="CM25" s="6">
        <f>CL25*Conversions!$B$8</f>
        <v>3006.4500000000003</v>
      </c>
      <c r="CN25" s="6"/>
      <c r="CP25" s="6">
        <v>40</v>
      </c>
      <c r="CQ25" s="5">
        <v>160</v>
      </c>
      <c r="CR25" s="6">
        <f>CQ25*Conversions!$B$12</f>
        <v>126.4</v>
      </c>
      <c r="CS25" s="5">
        <v>125</v>
      </c>
      <c r="CT25" s="6">
        <f>Conversions!$B$16*'Septic Tank - British '!CS25</f>
        <v>190625</v>
      </c>
      <c r="CU25" s="5">
        <v>250</v>
      </c>
      <c r="CV25">
        <f>Conversions!$C$21*Conversions!$C$23*'Septic Tank - British '!CU25</f>
        <v>230</v>
      </c>
      <c r="CW25" s="5">
        <v>12.210750000000001</v>
      </c>
      <c r="CX25" s="6">
        <f>CW25*Conversions!$B$4</f>
        <v>30526.875000000004</v>
      </c>
      <c r="CY25" s="5">
        <v>61</v>
      </c>
      <c r="CZ25" s="6">
        <f>CY25*Conversions!$B$8</f>
        <v>3595.9500000000003</v>
      </c>
      <c r="DA25" s="6"/>
      <c r="DB25" s="6"/>
    </row>
    <row r="26" spans="2:106" ht="15" x14ac:dyDescent="0.25">
      <c r="B26" s="89"/>
      <c r="D26" s="1">
        <v>90</v>
      </c>
      <c r="G26" s="5">
        <v>15946.875000000002</v>
      </c>
      <c r="H26" s="5">
        <v>57280</v>
      </c>
      <c r="I26">
        <v>62.410000000000004</v>
      </c>
      <c r="K26">
        <v>1650.6000000000001</v>
      </c>
      <c r="M26">
        <v>77.078750000000014</v>
      </c>
      <c r="P26" s="1">
        <v>50</v>
      </c>
      <c r="Q26">
        <v>47.5</v>
      </c>
      <c r="R26" s="1">
        <f>Q26*Conversions!$B$12</f>
        <v>37.524999999999999</v>
      </c>
      <c r="S26" s="3">
        <v>11.375</v>
      </c>
      <c r="T26" s="6">
        <f>Conversions!$B$16*'Septic Tank - British '!S26</f>
        <v>17346.875</v>
      </c>
      <c r="U26">
        <v>22.749999999999996</v>
      </c>
      <c r="V26">
        <f>Conversions!$C$21*Conversions!$C$23*'Septic Tank - British '!U26</f>
        <v>20.929999999999996</v>
      </c>
      <c r="W26" s="3">
        <v>4.5562500000000004</v>
      </c>
      <c r="X26" s="6">
        <f>W26*Conversions!$B$4</f>
        <v>11390.625</v>
      </c>
      <c r="Y26">
        <v>20</v>
      </c>
      <c r="Z26" s="1">
        <f>Y26*Conversions!$B$8</f>
        <v>1179</v>
      </c>
      <c r="AA26" s="1"/>
      <c r="AC26" s="1">
        <v>50</v>
      </c>
      <c r="AD26">
        <v>65</v>
      </c>
      <c r="AE26" s="1">
        <f>AD26*Conversions!$B$12</f>
        <v>51.35</v>
      </c>
      <c r="AF26">
        <v>19.666666666666671</v>
      </c>
      <c r="AG26" s="6">
        <f>Conversions!$B$16*'Septic Tank - British '!AF26</f>
        <v>29991.666666666675</v>
      </c>
      <c r="AH26" s="3">
        <v>39.333333333333336</v>
      </c>
      <c r="AI26">
        <f>Conversions!$C$21*Conversions!$C$23*'Septic Tank - British '!AH26</f>
        <v>36.186666666666667</v>
      </c>
      <c r="AJ26" s="3">
        <v>5.6497500000000009</v>
      </c>
      <c r="AK26" s="6">
        <f>AJ26*Conversions!$B$4</f>
        <v>14124.375000000002</v>
      </c>
      <c r="AL26">
        <v>20</v>
      </c>
      <c r="AM26" s="1">
        <f>AL26*Conversions!$B$8</f>
        <v>1179</v>
      </c>
      <c r="AN26" s="1"/>
      <c r="AP26" s="1">
        <v>50</v>
      </c>
      <c r="AQ26">
        <v>85</v>
      </c>
      <c r="AR26" s="6">
        <f>AQ26*Conversions!$B$12</f>
        <v>67.150000000000006</v>
      </c>
      <c r="AS26">
        <v>35</v>
      </c>
      <c r="AT26" s="6">
        <f>Conversions!$B$16*'Septic Tank - British '!AS26</f>
        <v>53375</v>
      </c>
      <c r="AU26">
        <v>70</v>
      </c>
      <c r="AV26">
        <f>Conversions!$C$21*Conversions!$C$23*'Septic Tank - British '!AU26</f>
        <v>64.400000000000006</v>
      </c>
      <c r="AW26" s="3">
        <v>7.1077500000000011</v>
      </c>
      <c r="AX26" s="6">
        <f>AW26*Conversions!$B$4</f>
        <v>17769.375000000004</v>
      </c>
      <c r="AY26">
        <v>33</v>
      </c>
      <c r="AZ26" s="1">
        <f>AY26*Conversions!$B$8</f>
        <v>1945.3500000000001</v>
      </c>
      <c r="BA26" s="1"/>
      <c r="BC26" s="1">
        <v>50</v>
      </c>
      <c r="BD26" s="5">
        <v>96.25</v>
      </c>
      <c r="BE26" s="6">
        <f>BD26*Conversions!$B$12</f>
        <v>76.037500000000009</v>
      </c>
      <c r="BF26">
        <v>50.1875</v>
      </c>
      <c r="BG26" s="6">
        <f>Conversions!$B$16*'Septic Tank - British '!BF26</f>
        <v>76535.9375</v>
      </c>
      <c r="BH26">
        <v>100.37499999999999</v>
      </c>
      <c r="BI26">
        <f>Conversions!$C$21*Conversions!$C$23*'Septic Tank - British '!BH26</f>
        <v>92.344999999999985</v>
      </c>
      <c r="BJ26">
        <v>7.8367500000000012</v>
      </c>
      <c r="BK26" s="6">
        <f>BJ26*Conversions!$B$4</f>
        <v>19591.875000000004</v>
      </c>
      <c r="BL26">
        <v>37</v>
      </c>
      <c r="BM26" s="6">
        <f>BL26*Conversions!$B$8</f>
        <v>2181.15</v>
      </c>
      <c r="BN26" s="6"/>
      <c r="BP26" s="6">
        <v>50</v>
      </c>
      <c r="BQ26" s="5">
        <v>122.69230769230769</v>
      </c>
      <c r="BR26" s="6">
        <f>BQ26*Conversions!$B$12</f>
        <v>96.926923076923089</v>
      </c>
      <c r="BS26" s="5">
        <v>80.307692307692307</v>
      </c>
      <c r="BT26" s="6">
        <f>Conversions!$B$16*'Septic Tank - British '!BS26</f>
        <v>122469.23076923077</v>
      </c>
      <c r="BU26" s="5">
        <v>160.61538461538461</v>
      </c>
      <c r="BV26">
        <f>Conversions!$C$21*Conversions!$C$23*'Septic Tank - British '!BU26</f>
        <v>147.76615384615386</v>
      </c>
      <c r="BW26" s="5">
        <v>9.6592500000000019</v>
      </c>
      <c r="BX26" s="6">
        <f>BW26*Conversions!$B$4</f>
        <v>24148.125000000004</v>
      </c>
      <c r="BY26" s="5">
        <v>47</v>
      </c>
      <c r="BZ26" s="6">
        <f>BY26*Conversions!$B$8</f>
        <v>2770.65</v>
      </c>
      <c r="CA26" s="6"/>
      <c r="CC26" s="6">
        <v>50</v>
      </c>
      <c r="CD26" s="5">
        <v>154.21052631578948</v>
      </c>
      <c r="CE26" s="6">
        <f>CD26*Conversions!$B$12</f>
        <v>121.8263157894737</v>
      </c>
      <c r="CF26" s="5">
        <v>117.68421052631579</v>
      </c>
      <c r="CG26" s="6">
        <f>Conversions!$B$16*'Septic Tank - British '!CF26</f>
        <v>179468.42105263157</v>
      </c>
      <c r="CH26" s="5">
        <v>235.36842105263156</v>
      </c>
      <c r="CI26">
        <f>Conversions!$C$21*Conversions!$C$23*'Septic Tank - British '!CH26</f>
        <v>216.53894736842105</v>
      </c>
      <c r="CJ26" s="5">
        <v>11.846250000000001</v>
      </c>
      <c r="CK26" s="6">
        <f>CJ26*Conversions!$B$4</f>
        <v>29615.625000000004</v>
      </c>
      <c r="CL26" s="5">
        <v>59</v>
      </c>
      <c r="CM26" s="6">
        <f>CL26*Conversions!$B$8</f>
        <v>3478.05</v>
      </c>
      <c r="CN26" s="6"/>
      <c r="CP26" s="6">
        <v>50</v>
      </c>
      <c r="CQ26" s="5">
        <v>185</v>
      </c>
      <c r="CR26" s="6">
        <f>CQ26*Conversions!$B$12</f>
        <v>146.15</v>
      </c>
      <c r="CS26" s="5">
        <v>155</v>
      </c>
      <c r="CT26" s="6">
        <f>Conversions!$B$16*'Septic Tank - British '!CS26</f>
        <v>236375</v>
      </c>
      <c r="CU26" s="5">
        <v>310</v>
      </c>
      <c r="CV26">
        <f>Conversions!$C$21*Conversions!$C$23*'Septic Tank - British '!CU26</f>
        <v>285.2</v>
      </c>
      <c r="CW26" s="5">
        <v>13.668750000000001</v>
      </c>
      <c r="CX26" s="6">
        <f>CW26*Conversions!$B$4</f>
        <v>34171.875</v>
      </c>
      <c r="CY26" s="5">
        <v>69</v>
      </c>
      <c r="CZ26" s="6">
        <f>CY26*Conversions!$B$8</f>
        <v>4067.55</v>
      </c>
      <c r="DA26" s="6"/>
      <c r="DB26" s="6"/>
    </row>
    <row r="27" spans="2:106" ht="15" x14ac:dyDescent="0.25">
      <c r="B27" s="89"/>
      <c r="D27" s="1">
        <v>100</v>
      </c>
      <c r="G27" s="5">
        <v>16858.125</v>
      </c>
      <c r="H27" s="5">
        <v>62650</v>
      </c>
      <c r="I27">
        <v>67.150000000000006</v>
      </c>
      <c r="K27">
        <v>1768.5</v>
      </c>
      <c r="M27">
        <v>82.243250000000003</v>
      </c>
      <c r="P27" s="1">
        <v>60</v>
      </c>
      <c r="Q27">
        <v>55</v>
      </c>
      <c r="R27" s="1">
        <f>Q27*Conversions!$B$12</f>
        <v>43.45</v>
      </c>
      <c r="S27" s="3">
        <v>13.25</v>
      </c>
      <c r="T27" s="6">
        <f>Conversions!$B$16*'Septic Tank - British '!S27</f>
        <v>20206.25</v>
      </c>
      <c r="U27">
        <v>26.499999999999996</v>
      </c>
      <c r="V27">
        <f>Conversions!$C$21*Conversions!$C$23*'Septic Tank - British '!U27</f>
        <v>24.38</v>
      </c>
      <c r="W27" s="3">
        <v>4.9207500000000008</v>
      </c>
      <c r="X27" s="6">
        <f>W27*Conversions!$B$4</f>
        <v>12301.875000000002</v>
      </c>
      <c r="Y27">
        <v>22</v>
      </c>
      <c r="Z27" s="1">
        <f>Y27*Conversions!$B$8</f>
        <v>1296.9000000000001</v>
      </c>
      <c r="AA27" s="1"/>
      <c r="AC27" s="1">
        <v>60</v>
      </c>
      <c r="AD27">
        <v>75</v>
      </c>
      <c r="AE27" s="1">
        <f>AD27*Conversions!$B$12</f>
        <v>59.25</v>
      </c>
      <c r="AF27">
        <v>23</v>
      </c>
      <c r="AG27" s="6">
        <f>Conversions!$B$16*'Septic Tank - British '!AF27</f>
        <v>35075</v>
      </c>
      <c r="AH27" s="3">
        <v>45.999999999999993</v>
      </c>
      <c r="AI27">
        <f>Conversions!$C$21*Conversions!$C$23*'Septic Tank - British '!AH27</f>
        <v>42.319999999999993</v>
      </c>
      <c r="AJ27" s="3">
        <v>6.0142500000000005</v>
      </c>
      <c r="AK27" s="6">
        <f>AJ27*Conversions!$B$4</f>
        <v>15035.625000000002</v>
      </c>
      <c r="AL27">
        <v>22</v>
      </c>
      <c r="AM27" s="1">
        <f>AL27*Conversions!$B$8</f>
        <v>1296.9000000000001</v>
      </c>
      <c r="AN27" s="1"/>
      <c r="AP27" s="1">
        <v>60</v>
      </c>
      <c r="AQ27">
        <v>90</v>
      </c>
      <c r="AR27" s="6">
        <f>AQ27*Conversions!$B$12</f>
        <v>71.100000000000009</v>
      </c>
      <c r="AS27">
        <v>41</v>
      </c>
      <c r="AT27" s="6">
        <f>Conversions!$B$16*'Septic Tank - British '!AS27</f>
        <v>62525</v>
      </c>
      <c r="AU27">
        <v>81.999999999999986</v>
      </c>
      <c r="AV27">
        <f>Conversions!$C$21*Conversions!$C$23*'Septic Tank - British '!AU27</f>
        <v>75.439999999999984</v>
      </c>
      <c r="AW27" s="3">
        <v>7.4722500000000007</v>
      </c>
      <c r="AX27" s="6">
        <f>AW27*Conversions!$B$4</f>
        <v>18680.625</v>
      </c>
      <c r="AY27">
        <v>35</v>
      </c>
      <c r="AZ27" s="1">
        <f>AY27*Conversions!$B$8</f>
        <v>2063.25</v>
      </c>
      <c r="BA27" s="1"/>
      <c r="BC27" s="1">
        <v>60</v>
      </c>
      <c r="BD27" s="5">
        <v>105</v>
      </c>
      <c r="BE27" s="6">
        <f>BD27*Conversions!$B$12</f>
        <v>82.95</v>
      </c>
      <c r="BF27">
        <v>59</v>
      </c>
      <c r="BG27" s="6">
        <f>Conversions!$B$16*'Septic Tank - British '!BF27</f>
        <v>89975</v>
      </c>
      <c r="BH27">
        <v>118</v>
      </c>
      <c r="BI27">
        <f>Conversions!$C$21*Conversions!$C$23*'Septic Tank - British '!BH27</f>
        <v>108.56</v>
      </c>
      <c r="BJ27">
        <v>8.2012500000000017</v>
      </c>
      <c r="BK27" s="6">
        <f>BJ27*Conversions!$B$4</f>
        <v>20503.125000000004</v>
      </c>
      <c r="BL27">
        <v>39</v>
      </c>
      <c r="BM27" s="6">
        <f>BL27*Conversions!$B$8</f>
        <v>2299.0500000000002</v>
      </c>
      <c r="BN27" s="6"/>
      <c r="BP27" s="6">
        <v>60</v>
      </c>
      <c r="BQ27" s="5">
        <v>135</v>
      </c>
      <c r="BR27" s="6">
        <f>BQ27*Conversions!$B$12</f>
        <v>106.65</v>
      </c>
      <c r="BS27" s="5">
        <v>95</v>
      </c>
      <c r="BT27" s="6">
        <f>Conversions!$B$16*'Septic Tank - British '!BS27</f>
        <v>144875</v>
      </c>
      <c r="BU27" s="5">
        <v>190</v>
      </c>
      <c r="BV27">
        <f>Conversions!$C$21*Conversions!$C$23*'Septic Tank - British '!BU27</f>
        <v>174.8</v>
      </c>
      <c r="BW27" s="5">
        <v>10.388250000000001</v>
      </c>
      <c r="BX27" s="6">
        <f>BW27*Conversions!$B$4</f>
        <v>25970.625000000004</v>
      </c>
      <c r="BY27" s="5">
        <v>51</v>
      </c>
      <c r="BZ27" s="6">
        <f>BY27*Conversions!$B$8</f>
        <v>3006.4500000000003</v>
      </c>
      <c r="CA27" s="6"/>
      <c r="CC27" s="6">
        <v>60</v>
      </c>
      <c r="CD27" s="5">
        <v>173.69565217391306</v>
      </c>
      <c r="CE27" s="6">
        <f>CD27*Conversions!$B$12</f>
        <v>137.21956521739133</v>
      </c>
      <c r="CF27" s="5">
        <v>140.39130434782609</v>
      </c>
      <c r="CG27" s="6">
        <f>Conversions!$B$16*'Septic Tank - British '!CF27</f>
        <v>214096.73913043478</v>
      </c>
      <c r="CH27" s="5">
        <v>280.78260869565219</v>
      </c>
      <c r="CI27">
        <f>Conversions!$C$21*Conversions!$C$23*'Septic Tank - British '!CH27</f>
        <v>258.32000000000005</v>
      </c>
      <c r="CJ27" s="5">
        <v>12.939750000000002</v>
      </c>
      <c r="CK27" s="6">
        <f>CJ27*Conversions!$B$4</f>
        <v>32349.375000000004</v>
      </c>
      <c r="CL27" s="5">
        <v>65</v>
      </c>
      <c r="CM27" s="6">
        <f>CL27*Conversions!$B$8</f>
        <v>3831.75</v>
      </c>
      <c r="CN27" s="6"/>
      <c r="CP27" s="6">
        <v>60</v>
      </c>
      <c r="CQ27" s="5">
        <v>210</v>
      </c>
      <c r="CR27" s="6">
        <f>CQ27*Conversions!$B$12</f>
        <v>165.9</v>
      </c>
      <c r="CS27" s="5">
        <v>185</v>
      </c>
      <c r="CT27" s="6">
        <f>Conversions!$B$16*'Septic Tank - British '!CS27</f>
        <v>282125</v>
      </c>
      <c r="CU27" s="5">
        <v>370</v>
      </c>
      <c r="CV27">
        <f>Conversions!$C$21*Conversions!$C$23*'Septic Tank - British '!CU27</f>
        <v>340.40000000000003</v>
      </c>
      <c r="CW27" s="5">
        <v>15.491250000000003</v>
      </c>
      <c r="CX27" s="6">
        <f>CW27*Conversions!$B$4</f>
        <v>38728.125000000007</v>
      </c>
      <c r="CY27" s="5">
        <v>79</v>
      </c>
      <c r="CZ27" s="6">
        <f>CY27*Conversions!$B$8</f>
        <v>4657.05</v>
      </c>
      <c r="DA27" s="6"/>
      <c r="DB27" s="6"/>
    </row>
    <row r="28" spans="2:106" ht="15" x14ac:dyDescent="0.25">
      <c r="B28" s="88">
        <v>20</v>
      </c>
      <c r="C28" t="s">
        <v>51</v>
      </c>
      <c r="F28">
        <v>182.41</v>
      </c>
      <c r="G28" s="5">
        <v>4750</v>
      </c>
      <c r="H28" s="5">
        <v>26603.731625973101</v>
      </c>
      <c r="P28" s="1">
        <v>70</v>
      </c>
      <c r="Q28">
        <v>62.5</v>
      </c>
      <c r="R28" s="1">
        <f>Q28*Conversions!$B$12</f>
        <v>49.375</v>
      </c>
      <c r="S28" s="3">
        <v>15.125</v>
      </c>
      <c r="T28" s="6">
        <f>Conversions!$B$16*'Septic Tank - British '!S28</f>
        <v>23065.625</v>
      </c>
      <c r="U28">
        <v>30.249999999999996</v>
      </c>
      <c r="V28">
        <f>Conversions!$C$21*Conversions!$C$23*'Septic Tank - British '!U28</f>
        <v>27.83</v>
      </c>
      <c r="W28" s="3">
        <v>5.2852500000000004</v>
      </c>
      <c r="X28" s="6">
        <f>W28*Conversions!$B$4</f>
        <v>13213.125000000002</v>
      </c>
      <c r="Y28">
        <v>24</v>
      </c>
      <c r="Z28" s="1">
        <f>Y28*Conversions!$B$8</f>
        <v>1414.8000000000002</v>
      </c>
      <c r="AA28" s="1"/>
      <c r="AC28" s="1">
        <v>70</v>
      </c>
      <c r="AD28">
        <v>72.5</v>
      </c>
      <c r="AE28" s="1">
        <f>AD28*Conversions!$B$12</f>
        <v>57.275000000000006</v>
      </c>
      <c r="AF28">
        <v>25.875</v>
      </c>
      <c r="AG28" s="6">
        <f>Conversions!$B$16*'Septic Tank - British '!AF28</f>
        <v>39459.375</v>
      </c>
      <c r="AH28" s="3">
        <v>51.749999999999993</v>
      </c>
      <c r="AI28">
        <f>Conversions!$C$21*Conversions!$C$23*'Septic Tank - British '!AH28</f>
        <v>47.609999999999992</v>
      </c>
      <c r="AJ28" s="3">
        <v>6.0142500000000005</v>
      </c>
      <c r="AK28" s="6">
        <f>AJ28*Conversions!$B$4</f>
        <v>15035.625000000002</v>
      </c>
      <c r="AL28">
        <v>24</v>
      </c>
      <c r="AM28" s="1">
        <f>AL28*Conversions!$B$8</f>
        <v>1414.8000000000002</v>
      </c>
      <c r="AN28" s="1"/>
      <c r="AP28" s="1">
        <v>70</v>
      </c>
      <c r="AQ28">
        <v>95</v>
      </c>
      <c r="AR28" s="6">
        <f>AQ28*Conversions!$B$12</f>
        <v>75.05</v>
      </c>
      <c r="AS28">
        <v>47</v>
      </c>
      <c r="AT28" s="6">
        <f>Conversions!$B$16*'Septic Tank - British '!AS28</f>
        <v>71675</v>
      </c>
      <c r="AU28">
        <v>94</v>
      </c>
      <c r="AV28">
        <f>Conversions!$C$21*Conversions!$C$23*'Septic Tank - British '!AU28</f>
        <v>86.48</v>
      </c>
      <c r="AW28" s="3">
        <v>7.8367500000000012</v>
      </c>
      <c r="AX28" s="6">
        <f>AW28*Conversions!$B$4</f>
        <v>19591.875000000004</v>
      </c>
      <c r="AY28">
        <v>37</v>
      </c>
      <c r="AZ28" s="1">
        <f>AY28*Conversions!$B$8</f>
        <v>2181.15</v>
      </c>
      <c r="BA28" s="1"/>
      <c r="BC28" s="1">
        <v>70</v>
      </c>
      <c r="BD28" s="5">
        <v>112.27272727272727</v>
      </c>
      <c r="BE28" s="6">
        <f>BD28*Conversions!$B$12</f>
        <v>88.695454545454538</v>
      </c>
      <c r="BF28">
        <v>68.27272727272728</v>
      </c>
      <c r="BG28" s="6">
        <f>Conversions!$B$16*'Septic Tank - British '!BF28</f>
        <v>104115.9090909091</v>
      </c>
      <c r="BH28">
        <v>136.54545454545456</v>
      </c>
      <c r="BI28">
        <f>Conversions!$C$21*Conversions!$C$23*'Septic Tank - British '!BH28</f>
        <v>125.6218181818182</v>
      </c>
      <c r="BJ28">
        <v>8.5657500000000013</v>
      </c>
      <c r="BK28" s="6">
        <f>BJ28*Conversions!$B$4</f>
        <v>21414.375000000004</v>
      </c>
      <c r="BL28">
        <v>41</v>
      </c>
      <c r="BM28" s="6">
        <f>BL28*Conversions!$B$8</f>
        <v>2416.9500000000003</v>
      </c>
      <c r="BN28" s="6"/>
      <c r="BP28" s="6">
        <v>70</v>
      </c>
      <c r="BQ28" s="5">
        <v>148.33333333333331</v>
      </c>
      <c r="BR28" s="6">
        <f>BQ28*Conversions!$B$12</f>
        <v>117.18333333333332</v>
      </c>
      <c r="BS28" s="5">
        <v>110.36111111111111</v>
      </c>
      <c r="BT28" s="6">
        <f>Conversions!$B$16*'Septic Tank - British '!BS28</f>
        <v>168300.69444444444</v>
      </c>
      <c r="BU28" s="5">
        <v>220.72222222222223</v>
      </c>
      <c r="BV28">
        <f>Conversions!$C$21*Conversions!$C$23*'Septic Tank - British '!BU28</f>
        <v>203.06444444444446</v>
      </c>
      <c r="BW28" s="5">
        <v>11.481750000000002</v>
      </c>
      <c r="BX28" s="6">
        <f>BW28*Conversions!$B$4</f>
        <v>28704.375000000004</v>
      </c>
      <c r="BY28" s="5">
        <v>57</v>
      </c>
      <c r="BZ28" s="6">
        <f>BY28*Conversions!$B$8</f>
        <v>3360.15</v>
      </c>
      <c r="CA28" s="6"/>
      <c r="CC28" s="6">
        <v>70</v>
      </c>
      <c r="CD28" s="5">
        <v>193.33333333333331</v>
      </c>
      <c r="CE28" s="6">
        <f>CD28*Conversions!$B$12</f>
        <v>152.73333333333332</v>
      </c>
      <c r="CF28" s="5">
        <v>163.11111111111109</v>
      </c>
      <c r="CG28" s="6">
        <f>Conversions!$B$16*'Septic Tank - British '!CF28</f>
        <v>248744.44444444441</v>
      </c>
      <c r="CH28" s="5">
        <v>326.22222222222217</v>
      </c>
      <c r="CI28">
        <f>Conversions!$C$21*Conversions!$C$23*'Septic Tank - British '!CH28</f>
        <v>300.12444444444441</v>
      </c>
      <c r="CJ28" s="5">
        <v>14.397750000000002</v>
      </c>
      <c r="CK28" s="6">
        <f>CJ28*Conversions!$B$4</f>
        <v>35994.375000000007</v>
      </c>
      <c r="CL28" s="5">
        <v>73</v>
      </c>
      <c r="CM28" s="6">
        <f>CL28*Conversions!$B$8</f>
        <v>4303.3500000000004</v>
      </c>
      <c r="CN28" s="6"/>
      <c r="CP28" s="6">
        <v>70</v>
      </c>
      <c r="CQ28" s="5">
        <v>235</v>
      </c>
      <c r="CR28" s="6">
        <f>CQ28*Conversions!$B$12</f>
        <v>185.65</v>
      </c>
      <c r="CS28" s="5">
        <v>215</v>
      </c>
      <c r="CT28" s="6">
        <f>Conversions!$B$16*'Septic Tank - British '!CS28</f>
        <v>327875</v>
      </c>
      <c r="CU28" s="5">
        <v>430</v>
      </c>
      <c r="CV28">
        <f>Conversions!$C$21*Conversions!$C$23*'Septic Tank - British '!CU28</f>
        <v>395.6</v>
      </c>
      <c r="CW28" s="5">
        <v>16.949250000000003</v>
      </c>
      <c r="CX28" s="6">
        <f>CW28*Conversions!$B$4</f>
        <v>42373.125000000007</v>
      </c>
      <c r="CY28" s="5">
        <v>87</v>
      </c>
      <c r="CZ28" s="6">
        <f>CY28*Conversions!$B$8</f>
        <v>5128.6500000000005</v>
      </c>
      <c r="DA28" s="6"/>
      <c r="DB28" s="6"/>
    </row>
    <row r="29" spans="2:106" ht="15" x14ac:dyDescent="0.25">
      <c r="B29" s="89"/>
      <c r="C29" t="s">
        <v>39</v>
      </c>
      <c r="F29">
        <v>182.41</v>
      </c>
      <c r="G29" s="5">
        <v>41906.049756945671</v>
      </c>
      <c r="H29" s="5"/>
      <c r="P29" s="1">
        <v>80</v>
      </c>
      <c r="Q29">
        <v>70</v>
      </c>
      <c r="R29" s="1">
        <f>Q29*Conversions!$B$12</f>
        <v>55.300000000000004</v>
      </c>
      <c r="S29" s="3">
        <v>17</v>
      </c>
      <c r="T29" s="6">
        <f>Conversions!$B$16*'Septic Tank - British '!S29</f>
        <v>25925</v>
      </c>
      <c r="U29">
        <v>34</v>
      </c>
      <c r="V29">
        <f>Conversions!$C$21*Conversions!$C$23*'Septic Tank - British '!U29</f>
        <v>31.28</v>
      </c>
      <c r="W29" s="3">
        <v>5.6497500000000009</v>
      </c>
      <c r="X29" s="6">
        <f>W29*Conversions!$B$4</f>
        <v>14124.375000000002</v>
      </c>
      <c r="Y29">
        <v>26</v>
      </c>
      <c r="Z29" s="1">
        <f>Y29*Conversions!$B$8</f>
        <v>1532.7</v>
      </c>
      <c r="AA29" s="1"/>
      <c r="AC29" s="1">
        <v>80</v>
      </c>
      <c r="AD29">
        <v>80</v>
      </c>
      <c r="AE29" s="1">
        <f>AD29*Conversions!$B$12</f>
        <v>63.2</v>
      </c>
      <c r="AF29">
        <v>29</v>
      </c>
      <c r="AG29" s="6">
        <f>Conversions!$B$16*'Septic Tank - British '!AF29</f>
        <v>44225</v>
      </c>
      <c r="AH29" s="3">
        <v>57.999999999999993</v>
      </c>
      <c r="AI29">
        <f>Conversions!$C$21*Conversions!$C$23*'Septic Tank - British '!AH29</f>
        <v>53.359999999999992</v>
      </c>
      <c r="AJ29" s="3">
        <v>6.378750000000001</v>
      </c>
      <c r="AK29" s="6">
        <f>AJ29*Conversions!$B$4</f>
        <v>15946.875000000002</v>
      </c>
      <c r="AL29">
        <v>26</v>
      </c>
      <c r="AM29" s="1">
        <f>AL29*Conversions!$B$8</f>
        <v>1532.7</v>
      </c>
      <c r="AN29" s="1"/>
      <c r="AP29" s="1">
        <v>80</v>
      </c>
      <c r="AQ29">
        <v>100</v>
      </c>
      <c r="AR29" s="6">
        <f>AQ29*Conversions!$B$12</f>
        <v>79</v>
      </c>
      <c r="AS29">
        <v>53</v>
      </c>
      <c r="AT29" s="6">
        <f>Conversions!$B$16*'Septic Tank - British '!AS29</f>
        <v>80825</v>
      </c>
      <c r="AU29">
        <v>105.99999999999999</v>
      </c>
      <c r="AV29">
        <f>Conversions!$C$21*Conversions!$C$23*'Septic Tank - British '!AU29</f>
        <v>97.52</v>
      </c>
      <c r="AW29" s="3">
        <v>8.2012500000000017</v>
      </c>
      <c r="AX29" s="6">
        <f>AW29*Conversions!$B$4</f>
        <v>20503.125000000004</v>
      </c>
      <c r="AY29">
        <v>39</v>
      </c>
      <c r="AZ29" s="1">
        <f>AY29*Conversions!$B$8</f>
        <v>2299.0500000000002</v>
      </c>
      <c r="BA29" s="1"/>
      <c r="BC29" s="1">
        <v>80</v>
      </c>
      <c r="BD29" s="5">
        <v>120</v>
      </c>
      <c r="BE29" s="6">
        <f>BD29*Conversions!$B$12</f>
        <v>94.800000000000011</v>
      </c>
      <c r="BF29">
        <v>77</v>
      </c>
      <c r="BG29" s="6">
        <f>Conversions!$B$16*'Septic Tank - British '!BF29</f>
        <v>117425</v>
      </c>
      <c r="BH29">
        <v>154</v>
      </c>
      <c r="BI29">
        <f>Conversions!$C$21*Conversions!$C$23*'Septic Tank - British '!BH29</f>
        <v>141.68</v>
      </c>
      <c r="BJ29">
        <v>8.9302500000000009</v>
      </c>
      <c r="BK29" s="6">
        <f>BJ29*Conversions!$B$4</f>
        <v>22325.625000000004</v>
      </c>
      <c r="BL29">
        <v>43</v>
      </c>
      <c r="BM29" s="6">
        <f>BL29*Conversions!$B$8</f>
        <v>2534.85</v>
      </c>
      <c r="BN29" s="6"/>
      <c r="BP29" s="6">
        <v>80</v>
      </c>
      <c r="BQ29" s="5">
        <v>160</v>
      </c>
      <c r="BR29" s="6">
        <f>BQ29*Conversions!$B$12</f>
        <v>126.4</v>
      </c>
      <c r="BS29" s="5">
        <v>125</v>
      </c>
      <c r="BT29" s="6">
        <f>Conversions!$B$16*'Septic Tank - British '!BS29</f>
        <v>190625</v>
      </c>
      <c r="BU29" s="5">
        <v>250</v>
      </c>
      <c r="BV29">
        <f>Conversions!$C$21*Conversions!$C$23*'Septic Tank - British '!BU29</f>
        <v>230</v>
      </c>
      <c r="BW29" s="5">
        <v>12.210750000000001</v>
      </c>
      <c r="BX29" s="6">
        <f>BW29*Conversions!$B$4</f>
        <v>30526.875000000004</v>
      </c>
      <c r="BY29" s="5">
        <v>61</v>
      </c>
      <c r="BZ29" s="6">
        <f>BY29*Conversions!$B$8</f>
        <v>3595.9500000000003</v>
      </c>
      <c r="CA29" s="6"/>
      <c r="CC29" s="6">
        <v>80</v>
      </c>
      <c r="CD29" s="5">
        <v>210</v>
      </c>
      <c r="CE29" s="6">
        <f>CD29*Conversions!$B$12</f>
        <v>165.9</v>
      </c>
      <c r="CF29" s="5">
        <v>185</v>
      </c>
      <c r="CG29" s="6">
        <f>Conversions!$B$16*'Septic Tank - British '!CF29</f>
        <v>282125</v>
      </c>
      <c r="CH29" s="5">
        <v>370</v>
      </c>
      <c r="CI29">
        <f>Conversions!$C$21*Conversions!$C$23*'Septic Tank - British '!CH29</f>
        <v>340.40000000000003</v>
      </c>
      <c r="CJ29" s="5">
        <v>15.491250000000003</v>
      </c>
      <c r="CK29" s="6">
        <f>CJ29*Conversions!$B$4</f>
        <v>38728.125000000007</v>
      </c>
      <c r="CL29" s="5">
        <v>79</v>
      </c>
      <c r="CM29" s="6">
        <f>CL29*Conversions!$B$8</f>
        <v>4657.05</v>
      </c>
      <c r="CN29" s="6"/>
      <c r="CP29" s="6">
        <v>80</v>
      </c>
      <c r="CQ29" s="5">
        <v>260</v>
      </c>
      <c r="CR29" s="6">
        <f>CQ29*Conversions!$B$12</f>
        <v>205.4</v>
      </c>
      <c r="CS29" s="5">
        <v>245</v>
      </c>
      <c r="CT29" s="6">
        <f>Conversions!$B$16*'Septic Tank - British '!CS29</f>
        <v>373625</v>
      </c>
      <c r="CU29" s="5">
        <v>490</v>
      </c>
      <c r="CV29">
        <f>Conversions!$C$21*Conversions!$C$23*'Septic Tank - British '!CU29</f>
        <v>450.8</v>
      </c>
      <c r="CW29" s="5">
        <v>18.771750000000001</v>
      </c>
      <c r="CX29" s="6">
        <f>CW29*Conversions!$B$4</f>
        <v>46929.375</v>
      </c>
      <c r="CY29" s="5">
        <v>97</v>
      </c>
      <c r="CZ29" s="6">
        <f>CY29*Conversions!$B$8</f>
        <v>5718.1500000000005</v>
      </c>
      <c r="DA29" s="6"/>
      <c r="DB29" s="6"/>
    </row>
    <row r="30" spans="2:106" ht="15" x14ac:dyDescent="0.25">
      <c r="B30" s="89"/>
      <c r="D30" s="1">
        <v>12</v>
      </c>
      <c r="G30" s="5">
        <v>12301.875000000002</v>
      </c>
      <c r="H30" s="5">
        <v>19690</v>
      </c>
      <c r="I30">
        <v>36.340000000000003</v>
      </c>
      <c r="K30">
        <v>1237.95</v>
      </c>
      <c r="M30">
        <v>44.201150000000005</v>
      </c>
      <c r="P30" s="1">
        <v>90</v>
      </c>
      <c r="Q30">
        <v>77.5</v>
      </c>
      <c r="R30" s="1">
        <f>Q30*Conversions!$B$12</f>
        <v>61.225000000000001</v>
      </c>
      <c r="S30" s="3">
        <v>18.875</v>
      </c>
      <c r="T30" s="6">
        <f>Conversions!$B$16*'Septic Tank - British '!S30</f>
        <v>28784.375</v>
      </c>
      <c r="U30">
        <v>37.75</v>
      </c>
      <c r="V30">
        <f>Conversions!$C$21*Conversions!$C$23*'Septic Tank - British '!U30</f>
        <v>34.730000000000004</v>
      </c>
      <c r="W30" s="3">
        <v>6.0142500000000005</v>
      </c>
      <c r="X30" s="6">
        <f>W30*Conversions!$B$4</f>
        <v>15035.625000000002</v>
      </c>
      <c r="Y30">
        <v>28</v>
      </c>
      <c r="Z30" s="1">
        <f>Y30*Conversions!$B$8</f>
        <v>1650.6000000000001</v>
      </c>
      <c r="AA30" s="1"/>
      <c r="AC30" s="1">
        <v>90</v>
      </c>
      <c r="AD30">
        <v>79</v>
      </c>
      <c r="AE30" s="1">
        <f>AD30*Conversions!$B$12</f>
        <v>62.410000000000004</v>
      </c>
      <c r="AF30">
        <v>32</v>
      </c>
      <c r="AG30" s="6">
        <f>Conversions!$B$16*'Septic Tank - British '!AF30</f>
        <v>48800</v>
      </c>
      <c r="AH30" s="3">
        <v>64</v>
      </c>
      <c r="AI30">
        <f>Conversions!$C$21*Conversions!$C$23*'Septic Tank - British '!AH30</f>
        <v>58.88</v>
      </c>
      <c r="AJ30" s="3">
        <v>6.378750000000001</v>
      </c>
      <c r="AK30" s="6">
        <f>AJ30*Conversions!$B$4</f>
        <v>15946.875000000002</v>
      </c>
      <c r="AL30">
        <v>28</v>
      </c>
      <c r="AM30" s="1">
        <f>AL30*Conversions!$B$8</f>
        <v>1650.6000000000001</v>
      </c>
      <c r="AN30" s="1"/>
      <c r="AP30" s="1">
        <v>90</v>
      </c>
      <c r="AQ30">
        <v>105</v>
      </c>
      <c r="AR30" s="6">
        <f>AQ30*Conversions!$B$12</f>
        <v>82.95</v>
      </c>
      <c r="AS30">
        <v>59</v>
      </c>
      <c r="AT30" s="6">
        <f>Conversions!$B$16*'Septic Tank - British '!AS30</f>
        <v>89975</v>
      </c>
      <c r="AU30">
        <v>118</v>
      </c>
      <c r="AV30">
        <f>Conversions!$C$21*Conversions!$C$23*'Septic Tank - British '!AU30</f>
        <v>108.56</v>
      </c>
      <c r="AW30" s="3">
        <v>8.5657500000000013</v>
      </c>
      <c r="AX30" s="6">
        <f>AW30*Conversions!$B$4</f>
        <v>21414.375000000004</v>
      </c>
      <c r="AY30">
        <v>41</v>
      </c>
      <c r="AZ30" s="1">
        <f>AY30*Conversions!$B$8</f>
        <v>2416.9500000000003</v>
      </c>
      <c r="BA30" s="1"/>
      <c r="BC30" s="1">
        <v>90</v>
      </c>
      <c r="BD30" s="5">
        <v>127.85714285714286</v>
      </c>
      <c r="BE30" s="6">
        <f>BD30*Conversions!$B$12</f>
        <v>101.00714285714287</v>
      </c>
      <c r="BF30">
        <v>86.321428571428584</v>
      </c>
      <c r="BG30" s="6">
        <f>Conversions!$B$16*'Septic Tank - British '!BF30</f>
        <v>131640.17857142858</v>
      </c>
      <c r="BH30">
        <v>172.64285714285714</v>
      </c>
      <c r="BI30">
        <f>Conversions!$C$21*Conversions!$C$23*'Septic Tank - British '!BH30</f>
        <v>158.83142857142857</v>
      </c>
      <c r="BJ30">
        <v>9.6592500000000019</v>
      </c>
      <c r="BK30" s="6">
        <f>BJ30*Conversions!$B$4</f>
        <v>24148.125000000004</v>
      </c>
      <c r="BL30">
        <v>47</v>
      </c>
      <c r="BM30" s="6">
        <f>BL30*Conversions!$B$8</f>
        <v>2770.65</v>
      </c>
      <c r="BN30" s="6"/>
      <c r="BP30" s="6">
        <v>90</v>
      </c>
      <c r="BQ30" s="5">
        <v>173.69565217391306</v>
      </c>
      <c r="BR30" s="6">
        <f>BQ30*Conversions!$B$12</f>
        <v>137.21956521739133</v>
      </c>
      <c r="BS30" s="5">
        <v>140.39130434782609</v>
      </c>
      <c r="BT30" s="6">
        <f>Conversions!$B$16*'Septic Tank - British '!BS30</f>
        <v>214096.73913043478</v>
      </c>
      <c r="BU30" s="5">
        <v>280.78260869565219</v>
      </c>
      <c r="BV30">
        <f>Conversions!$C$21*Conversions!$C$23*'Septic Tank - British '!BU30</f>
        <v>258.32000000000005</v>
      </c>
      <c r="BW30" s="5">
        <v>12.939750000000002</v>
      </c>
      <c r="BX30" s="6">
        <f>BW30*Conversions!$B$4</f>
        <v>32349.375000000004</v>
      </c>
      <c r="BY30" s="5">
        <v>65</v>
      </c>
      <c r="BZ30" s="6">
        <f>BY30*Conversions!$B$8</f>
        <v>3831.75</v>
      </c>
      <c r="CA30" s="6"/>
      <c r="CC30" s="6">
        <v>90</v>
      </c>
      <c r="CD30" s="5">
        <v>229.55882352941177</v>
      </c>
      <c r="CE30" s="6">
        <f>CD30*Conversions!$B$12</f>
        <v>181.35147058823532</v>
      </c>
      <c r="CF30" s="5">
        <v>207.71323529411768</v>
      </c>
      <c r="CG30" s="6">
        <f>Conversions!$B$16*'Septic Tank - British '!CF30</f>
        <v>316762.68382352946</v>
      </c>
      <c r="CH30" s="5">
        <v>415.4264705882353</v>
      </c>
      <c r="CI30">
        <f>Conversions!$C$21*Conversions!$C$23*'Septic Tank - British '!CH30</f>
        <v>382.19235294117652</v>
      </c>
      <c r="CJ30" s="5">
        <v>16.584750000000003</v>
      </c>
      <c r="CK30" s="6">
        <f>CJ30*Conversions!$B$4</f>
        <v>41461.875000000007</v>
      </c>
      <c r="CL30" s="5">
        <v>85</v>
      </c>
      <c r="CM30" s="6">
        <f>CL30*Conversions!$B$8</f>
        <v>5010.75</v>
      </c>
      <c r="CN30" s="6"/>
      <c r="CP30" s="6">
        <v>90</v>
      </c>
      <c r="CQ30" s="5">
        <v>285</v>
      </c>
      <c r="CR30" s="6">
        <f>CQ30*Conversions!$B$12</f>
        <v>225.15</v>
      </c>
      <c r="CS30" s="5">
        <v>275</v>
      </c>
      <c r="CT30" s="6">
        <f>Conversions!$B$16*'Septic Tank - British '!CS30</f>
        <v>419375</v>
      </c>
      <c r="CU30" s="5">
        <v>550</v>
      </c>
      <c r="CV30">
        <f>Conversions!$C$21*Conversions!$C$23*'Septic Tank - British '!CU30</f>
        <v>506</v>
      </c>
      <c r="CW30" s="5">
        <v>20.229750000000003</v>
      </c>
      <c r="CX30" s="6">
        <f>CW30*Conversions!$B$4</f>
        <v>50574.375000000007</v>
      </c>
      <c r="CY30" s="5">
        <v>105</v>
      </c>
      <c r="CZ30" s="6">
        <f>CY30*Conversions!$B$8</f>
        <v>6189.75</v>
      </c>
      <c r="DA30" s="6"/>
      <c r="DB30" s="6"/>
    </row>
    <row r="31" spans="2:106" ht="15" x14ac:dyDescent="0.25">
      <c r="B31" s="89"/>
      <c r="D31" s="1">
        <v>20</v>
      </c>
      <c r="G31" s="5">
        <v>15035.625000000002</v>
      </c>
      <c r="H31" s="5">
        <v>30430</v>
      </c>
      <c r="I31">
        <v>55.300000000000004</v>
      </c>
      <c r="K31">
        <v>1591.65</v>
      </c>
      <c r="M31">
        <v>54.894649999999999</v>
      </c>
      <c r="P31" s="1">
        <v>100</v>
      </c>
      <c r="Q31">
        <v>85</v>
      </c>
      <c r="R31" s="1">
        <f>Q31*Conversions!$B$12</f>
        <v>67.150000000000006</v>
      </c>
      <c r="S31" s="3">
        <v>20.75</v>
      </c>
      <c r="T31" s="6">
        <f>Conversions!$B$16*'Septic Tank - British '!S31</f>
        <v>31643.75</v>
      </c>
      <c r="U31">
        <v>41.5</v>
      </c>
      <c r="V31">
        <f>Conversions!$C$21*Conversions!$C$23*'Septic Tank - British '!U31</f>
        <v>38.18</v>
      </c>
      <c r="W31" s="3">
        <v>6.378750000000001</v>
      </c>
      <c r="X31" s="6">
        <f>W31*Conversions!$B$4</f>
        <v>15946.875000000002</v>
      </c>
      <c r="Y31">
        <v>30</v>
      </c>
      <c r="Z31" s="1">
        <f>Y31*Conversions!$B$8</f>
        <v>1768.5</v>
      </c>
      <c r="AA31" s="1"/>
      <c r="AC31" s="1">
        <v>100</v>
      </c>
      <c r="AD31">
        <v>85</v>
      </c>
      <c r="AE31" s="1">
        <f>AD31*Conversions!$B$12</f>
        <v>67.150000000000006</v>
      </c>
      <c r="AF31">
        <v>35</v>
      </c>
      <c r="AG31" s="6">
        <f>Conversions!$B$16*'Septic Tank - British '!AF31</f>
        <v>53375</v>
      </c>
      <c r="AH31" s="3">
        <v>70</v>
      </c>
      <c r="AI31">
        <f>Conversions!$C$21*Conversions!$C$23*'Septic Tank - British '!AH31</f>
        <v>64.400000000000006</v>
      </c>
      <c r="AJ31" s="3">
        <v>6.7432500000000006</v>
      </c>
      <c r="AK31" s="6">
        <f>AJ31*Conversions!$B$4</f>
        <v>16858.125</v>
      </c>
      <c r="AL31">
        <v>30</v>
      </c>
      <c r="AM31" s="1">
        <f>AL31*Conversions!$B$8</f>
        <v>1768.5</v>
      </c>
      <c r="AN31" s="1"/>
      <c r="AP31" s="1">
        <v>100</v>
      </c>
      <c r="AQ31">
        <v>110</v>
      </c>
      <c r="AR31" s="6">
        <f>AQ31*Conversions!$B$12</f>
        <v>86.9</v>
      </c>
      <c r="AS31">
        <v>65</v>
      </c>
      <c r="AT31" s="6">
        <f>Conversions!$B$16*'Septic Tank - British '!AS31</f>
        <v>99125</v>
      </c>
      <c r="AU31">
        <v>130</v>
      </c>
      <c r="AV31">
        <f>Conversions!$C$21*Conversions!$C$23*'Septic Tank - British '!AU31</f>
        <v>119.60000000000001</v>
      </c>
      <c r="AW31" s="3">
        <v>8.9302500000000009</v>
      </c>
      <c r="AX31" s="6">
        <f>AW31*Conversions!$B$4</f>
        <v>22325.625000000004</v>
      </c>
      <c r="AY31">
        <v>43</v>
      </c>
      <c r="AZ31" s="1">
        <f>AY31*Conversions!$B$8</f>
        <v>2534.85</v>
      </c>
      <c r="BA31" s="1"/>
      <c r="BC31" s="1">
        <v>100</v>
      </c>
      <c r="BD31" s="5">
        <v>135</v>
      </c>
      <c r="BE31" s="6">
        <f>BD31*Conversions!$B$12</f>
        <v>106.65</v>
      </c>
      <c r="BF31" s="10">
        <v>95</v>
      </c>
      <c r="BG31" s="6">
        <f>Conversions!$B$16*'Septic Tank - British '!BF31</f>
        <v>144875</v>
      </c>
      <c r="BH31" s="10">
        <v>190</v>
      </c>
      <c r="BI31">
        <f>Conversions!$C$21*Conversions!$C$23*'Septic Tank - British '!BH31</f>
        <v>174.8</v>
      </c>
      <c r="BJ31" s="10">
        <v>10.023750000000001</v>
      </c>
      <c r="BK31" s="6">
        <f>BJ31*Conversions!$B$4</f>
        <v>25059.375000000004</v>
      </c>
      <c r="BL31" s="10">
        <v>49</v>
      </c>
      <c r="BM31" s="6">
        <f>BL31*Conversions!$B$8</f>
        <v>2888.55</v>
      </c>
      <c r="BN31" s="6"/>
      <c r="BP31" s="6">
        <v>100</v>
      </c>
      <c r="BQ31" s="12">
        <v>185</v>
      </c>
      <c r="BR31" s="6">
        <f>BQ31*Conversions!$B$12</f>
        <v>146.15</v>
      </c>
      <c r="BS31" s="12">
        <v>155</v>
      </c>
      <c r="BT31" s="6">
        <f>Conversions!$B$16*'Septic Tank - British '!BS31</f>
        <v>236375</v>
      </c>
      <c r="BU31" s="12">
        <v>310</v>
      </c>
      <c r="BV31">
        <f>Conversions!$C$21*Conversions!$C$23*'Septic Tank - British '!BU31</f>
        <v>285.2</v>
      </c>
      <c r="BW31" s="12">
        <v>13.668750000000001</v>
      </c>
      <c r="BX31" s="6">
        <f>BW31*Conversions!$B$4</f>
        <v>34171.875</v>
      </c>
      <c r="BY31" s="12">
        <v>69</v>
      </c>
      <c r="BZ31" s="6">
        <f>BY31*Conversions!$B$8</f>
        <v>4067.55</v>
      </c>
      <c r="CA31" s="6"/>
      <c r="CC31" s="6">
        <v>100</v>
      </c>
      <c r="CD31" s="12">
        <v>249.21052631578948</v>
      </c>
      <c r="CE31" s="6">
        <f>CD31*Conversions!$B$12</f>
        <v>196.87631578947369</v>
      </c>
      <c r="CF31" s="12">
        <v>230.43421052631578</v>
      </c>
      <c r="CG31" s="6">
        <f>Conversions!$B$16*'Septic Tank - British '!CF31</f>
        <v>351412.17105263157</v>
      </c>
      <c r="CH31" s="12">
        <v>460.86842105263156</v>
      </c>
      <c r="CI31">
        <f>Conversions!$C$21*Conversions!$C$23*'Septic Tank - British '!CH31</f>
        <v>423.99894736842106</v>
      </c>
      <c r="CJ31" s="12">
        <v>18.042750000000002</v>
      </c>
      <c r="CK31" s="6">
        <f>CJ31*Conversions!$B$4</f>
        <v>45106.875000000007</v>
      </c>
      <c r="CL31" s="12">
        <v>93</v>
      </c>
      <c r="CM31" s="6">
        <f>CL31*Conversions!$B$8</f>
        <v>5482.35</v>
      </c>
      <c r="CN31" s="6"/>
      <c r="CP31" s="6">
        <v>100</v>
      </c>
      <c r="CQ31" s="12">
        <v>310</v>
      </c>
      <c r="CR31" s="6">
        <f>CQ31*Conversions!$B$12</f>
        <v>244.9</v>
      </c>
      <c r="CS31" s="12">
        <v>305</v>
      </c>
      <c r="CT31" s="6">
        <f>Conversions!$B$16*'Septic Tank - British '!CS31</f>
        <v>465125</v>
      </c>
      <c r="CU31" s="12">
        <v>610</v>
      </c>
      <c r="CV31">
        <f>Conversions!$C$21*Conversions!$C$23*'Septic Tank - British '!CU31</f>
        <v>561.20000000000005</v>
      </c>
      <c r="CW31" s="12">
        <v>22.052250000000004</v>
      </c>
      <c r="CX31" s="6">
        <f>CW31*Conversions!$B$4</f>
        <v>55130.625000000007</v>
      </c>
      <c r="CY31" s="12">
        <v>115</v>
      </c>
      <c r="CZ31" s="6">
        <f>CY31*Conversions!$B$8</f>
        <v>6779.25</v>
      </c>
      <c r="DA31" s="6"/>
      <c r="DB31" s="6"/>
    </row>
    <row r="32" spans="2:106" ht="15" x14ac:dyDescent="0.25">
      <c r="B32" s="89"/>
      <c r="D32" s="1">
        <v>30</v>
      </c>
      <c r="G32" s="5">
        <v>15946.875000000002</v>
      </c>
      <c r="H32" s="5">
        <v>41170</v>
      </c>
      <c r="I32">
        <v>59.25</v>
      </c>
      <c r="K32">
        <v>1709.5500000000002</v>
      </c>
      <c r="M32">
        <v>64.85915</v>
      </c>
    </row>
    <row r="33" spans="2:103" ht="15" x14ac:dyDescent="0.25">
      <c r="B33" s="89"/>
      <c r="D33" s="1">
        <v>40</v>
      </c>
      <c r="G33" s="5">
        <v>16858.125</v>
      </c>
      <c r="H33" s="5">
        <v>51910</v>
      </c>
      <c r="I33">
        <v>63.2</v>
      </c>
      <c r="K33">
        <v>1827.45</v>
      </c>
      <c r="M33">
        <v>74.823650000000001</v>
      </c>
    </row>
    <row r="34" spans="2:103" ht="15" x14ac:dyDescent="0.25">
      <c r="B34" s="89"/>
      <c r="D34" s="1">
        <v>50</v>
      </c>
      <c r="G34" s="5">
        <v>17769.375000000004</v>
      </c>
      <c r="H34" s="5">
        <v>62650</v>
      </c>
      <c r="I34">
        <v>67.150000000000006</v>
      </c>
      <c r="K34">
        <v>1945.3500000000001</v>
      </c>
      <c r="M34">
        <v>84.788150000000002</v>
      </c>
      <c r="P34" t="s">
        <v>28</v>
      </c>
      <c r="AC34" t="s">
        <v>28</v>
      </c>
      <c r="AP34" t="s">
        <v>28</v>
      </c>
      <c r="BC34" t="s">
        <v>28</v>
      </c>
      <c r="BP34" t="s">
        <v>28</v>
      </c>
      <c r="CC34" t="s">
        <v>28</v>
      </c>
      <c r="CP34" t="s">
        <v>28</v>
      </c>
    </row>
    <row r="35" spans="2:103" ht="15" x14ac:dyDescent="0.25">
      <c r="B35" s="89"/>
      <c r="D35" s="1">
        <v>60</v>
      </c>
      <c r="G35" s="5">
        <v>18680.625</v>
      </c>
      <c r="H35" s="5">
        <v>73390</v>
      </c>
      <c r="I35">
        <v>71.100000000000009</v>
      </c>
      <c r="K35">
        <v>2063.25</v>
      </c>
      <c r="M35">
        <v>94.752650000000003</v>
      </c>
    </row>
    <row r="36" spans="2:103" ht="15" x14ac:dyDescent="0.25">
      <c r="B36" s="89"/>
      <c r="D36" s="1">
        <v>70</v>
      </c>
      <c r="G36" s="5">
        <v>19591.875000000004</v>
      </c>
      <c r="H36" s="5">
        <v>84130</v>
      </c>
      <c r="I36">
        <v>75.05</v>
      </c>
      <c r="K36">
        <v>2181.15</v>
      </c>
      <c r="M36">
        <v>104.71715</v>
      </c>
      <c r="CV36">
        <v>91739</v>
      </c>
    </row>
    <row r="37" spans="2:103" ht="15" x14ac:dyDescent="0.25">
      <c r="B37" s="89"/>
      <c r="D37" s="1">
        <v>80</v>
      </c>
      <c r="G37" s="5">
        <v>20503.125000000004</v>
      </c>
      <c r="H37" s="5">
        <v>94870</v>
      </c>
      <c r="I37">
        <v>79</v>
      </c>
      <c r="K37">
        <v>2299.0500000000002</v>
      </c>
      <c r="M37">
        <v>114.68165</v>
      </c>
      <c r="P37" s="2" t="s">
        <v>34</v>
      </c>
      <c r="AC37" s="2" t="s">
        <v>34</v>
      </c>
      <c r="AP37" s="2" t="s">
        <v>34</v>
      </c>
      <c r="BC37" s="2" t="s">
        <v>34</v>
      </c>
      <c r="BP37" s="2" t="s">
        <v>34</v>
      </c>
      <c r="CC37" s="2" t="s">
        <v>34</v>
      </c>
      <c r="CP37" s="2" t="s">
        <v>34</v>
      </c>
    </row>
    <row r="38" spans="2:103" ht="15" x14ac:dyDescent="0.25">
      <c r="B38" s="89"/>
      <c r="D38" s="1">
        <v>90</v>
      </c>
      <c r="G38" s="5">
        <v>21414.375000000004</v>
      </c>
      <c r="H38" s="5">
        <v>105610</v>
      </c>
      <c r="I38">
        <v>82.95</v>
      </c>
      <c r="K38">
        <v>2416.9500000000003</v>
      </c>
      <c r="M38">
        <v>124.64615000000002</v>
      </c>
    </row>
    <row r="39" spans="2:103" ht="15" x14ac:dyDescent="0.25">
      <c r="B39" s="89"/>
      <c r="D39" s="1">
        <v>100</v>
      </c>
      <c r="G39" s="5">
        <v>22325.625000000004</v>
      </c>
      <c r="H39" s="5">
        <v>116350</v>
      </c>
      <c r="I39">
        <v>86.9</v>
      </c>
      <c r="K39">
        <v>2534.85</v>
      </c>
      <c r="M39">
        <v>134.61064999999999</v>
      </c>
      <c r="P39" s="2" t="s">
        <v>12</v>
      </c>
      <c r="Q39" t="s">
        <v>31</v>
      </c>
      <c r="R39" t="s">
        <v>32</v>
      </c>
      <c r="S39" s="9" t="s">
        <v>33</v>
      </c>
      <c r="V39" t="s">
        <v>31</v>
      </c>
      <c r="W39" t="s">
        <v>53</v>
      </c>
      <c r="X39" t="s">
        <v>54</v>
      </c>
      <c r="AC39" s="2" t="s">
        <v>12</v>
      </c>
      <c r="AD39" t="s">
        <v>31</v>
      </c>
      <c r="AE39" t="s">
        <v>32</v>
      </c>
      <c r="AF39" s="9" t="s">
        <v>33</v>
      </c>
      <c r="AI39" t="s">
        <v>31</v>
      </c>
      <c r="AJ39" t="s">
        <v>53</v>
      </c>
      <c r="AK39" t="s">
        <v>54</v>
      </c>
      <c r="AP39" s="2" t="s">
        <v>12</v>
      </c>
      <c r="AQ39" t="s">
        <v>31</v>
      </c>
      <c r="AR39" t="s">
        <v>32</v>
      </c>
      <c r="AS39" s="9" t="s">
        <v>33</v>
      </c>
      <c r="AW39" t="s">
        <v>31</v>
      </c>
      <c r="AX39" t="s">
        <v>53</v>
      </c>
      <c r="AY39" t="s">
        <v>54</v>
      </c>
      <c r="BC39" s="2" t="s">
        <v>12</v>
      </c>
      <c r="BD39" t="s">
        <v>31</v>
      </c>
      <c r="BE39" t="s">
        <v>32</v>
      </c>
      <c r="BF39" s="9" t="s">
        <v>33</v>
      </c>
      <c r="BJ39" t="s">
        <v>31</v>
      </c>
      <c r="BK39" t="s">
        <v>53</v>
      </c>
      <c r="BL39" t="s">
        <v>54</v>
      </c>
      <c r="BP39" s="2" t="s">
        <v>12</v>
      </c>
      <c r="BQ39" t="s">
        <v>31</v>
      </c>
      <c r="BR39" t="s">
        <v>32</v>
      </c>
      <c r="BS39" s="9" t="s">
        <v>33</v>
      </c>
      <c r="BW39" t="s">
        <v>31</v>
      </c>
      <c r="BX39" t="s">
        <v>53</v>
      </c>
      <c r="BY39" t="s">
        <v>54</v>
      </c>
      <c r="CC39" s="2" t="s">
        <v>12</v>
      </c>
      <c r="CD39" t="s">
        <v>31</v>
      </c>
      <c r="CE39" t="s">
        <v>32</v>
      </c>
      <c r="CF39" s="9" t="s">
        <v>33</v>
      </c>
      <c r="CJ39" t="s">
        <v>31</v>
      </c>
      <c r="CK39" t="s">
        <v>53</v>
      </c>
      <c r="CL39" t="s">
        <v>54</v>
      </c>
      <c r="CP39" s="2" t="s">
        <v>12</v>
      </c>
      <c r="CQ39" t="s">
        <v>31</v>
      </c>
      <c r="CR39" t="s">
        <v>32</v>
      </c>
      <c r="CS39" s="9" t="s">
        <v>33</v>
      </c>
      <c r="CW39" t="s">
        <v>31</v>
      </c>
      <c r="CX39" t="s">
        <v>53</v>
      </c>
      <c r="CY39" t="s">
        <v>54</v>
      </c>
    </row>
    <row r="40" spans="2:103" ht="15" x14ac:dyDescent="0.25">
      <c r="B40" s="88">
        <v>30</v>
      </c>
      <c r="C40" t="s">
        <v>51</v>
      </c>
      <c r="P40" s="1">
        <v>12</v>
      </c>
      <c r="Q40" s="3">
        <v>18.118749999999999</v>
      </c>
      <c r="R40" s="3">
        <v>10.26275</v>
      </c>
      <c r="S40" s="8">
        <f>R40+Q40</f>
        <v>28.381499999999999</v>
      </c>
      <c r="V40" s="3">
        <v>18.118749999999999</v>
      </c>
      <c r="W40">
        <v>6.8000000000000007</v>
      </c>
      <c r="X40" s="3">
        <f t="shared" ref="X40:X49" si="0">R40-W40</f>
        <v>3.4627499999999998</v>
      </c>
      <c r="AC40" s="1">
        <v>12</v>
      </c>
      <c r="AD40">
        <v>19.5</v>
      </c>
      <c r="AE40" s="3">
        <v>14.227250000000002</v>
      </c>
      <c r="AF40" s="8">
        <f>AE40+AD40</f>
        <v>33.727249999999998</v>
      </c>
      <c r="AI40">
        <v>19.5</v>
      </c>
      <c r="AJ40" s="3">
        <f>AE40-AK40</f>
        <v>10.400000000000002</v>
      </c>
      <c r="AK40" s="3">
        <f>AJ22</f>
        <v>3.8272500000000003</v>
      </c>
      <c r="AP40" s="1">
        <v>12</v>
      </c>
      <c r="AQ40" s="3">
        <v>21.680400000000002</v>
      </c>
      <c r="AR40" s="3">
        <v>22.520750000000003</v>
      </c>
      <c r="AS40" s="8">
        <f>AR40+AQ40</f>
        <v>44.201150000000005</v>
      </c>
      <c r="AW40" s="3">
        <v>21.680400000000002</v>
      </c>
      <c r="AX40" s="3">
        <f t="shared" ref="AX40:AX49" si="1">AR40-AY40</f>
        <v>17.600000000000001</v>
      </c>
      <c r="AY40" s="3">
        <f t="shared" ref="AY40:AY49" si="2">AW22</f>
        <v>4.9207500000000008</v>
      </c>
      <c r="BC40" s="1">
        <v>12</v>
      </c>
      <c r="BD40" s="5">
        <v>25.576847999999998</v>
      </c>
      <c r="BE40" s="3">
        <v>30.449750000000002</v>
      </c>
      <c r="BF40" s="8">
        <f>BE40+BD40</f>
        <v>56.026598</v>
      </c>
      <c r="BJ40" s="5">
        <v>25.576847999999998</v>
      </c>
      <c r="BK40" s="3">
        <f t="shared" ref="BK40:BK49" si="3">BE40-BL40</f>
        <v>24.8</v>
      </c>
      <c r="BL40" s="3">
        <f t="shared" ref="BL40:BL49" si="4">BJ22</f>
        <v>5.6497500000000009</v>
      </c>
      <c r="BP40" s="1">
        <v>12</v>
      </c>
      <c r="BQ40" s="5">
        <v>39.724552500000001</v>
      </c>
      <c r="BR40" s="3">
        <v>43.178750000000001</v>
      </c>
      <c r="BS40" s="8">
        <f>BR40+BW40</f>
        <v>82.903302499999995</v>
      </c>
      <c r="BW40" s="5">
        <v>39.724552500000001</v>
      </c>
      <c r="BX40" s="3">
        <f t="shared" ref="BX40:BX49" si="5">BR40-BY40</f>
        <v>36.799999999999997</v>
      </c>
      <c r="BY40" s="3">
        <f t="shared" ref="BY40:BY49" si="6">BW22</f>
        <v>6.378750000000001</v>
      </c>
      <c r="CC40" s="1">
        <v>12</v>
      </c>
      <c r="CD40" s="5">
        <v>47.372456999999997</v>
      </c>
      <c r="CE40" s="3">
        <v>58.307750000000006</v>
      </c>
      <c r="CF40" s="8">
        <f>CE40+CD40</f>
        <v>105.680207</v>
      </c>
      <c r="CJ40" s="5">
        <v>47.372456999999997</v>
      </c>
      <c r="CK40" s="3">
        <f t="shared" ref="CK40:CK49" si="7">CE40-CL40</f>
        <v>51.2</v>
      </c>
      <c r="CL40" s="3">
        <f t="shared" ref="CL40:CL49" si="8">CJ22</f>
        <v>7.1077500000000011</v>
      </c>
      <c r="CP40" s="1">
        <v>12</v>
      </c>
      <c r="CQ40" s="5">
        <v>73.250910599999997</v>
      </c>
      <c r="CR40" s="3">
        <v>73.072249999999997</v>
      </c>
      <c r="CS40" s="8">
        <f>CR40+CQ40</f>
        <v>146.32316059999999</v>
      </c>
      <c r="CW40" s="5">
        <v>73.250910599999997</v>
      </c>
      <c r="CX40" s="3">
        <f t="shared" ref="CX40:CX49" si="9">CR40-CY40</f>
        <v>65.599999999999994</v>
      </c>
      <c r="CY40" s="3">
        <f t="shared" ref="CY40:CY49" si="10">CW22</f>
        <v>7.4722500000000007</v>
      </c>
    </row>
    <row r="41" spans="2:103" ht="15" x14ac:dyDescent="0.25">
      <c r="B41" s="89"/>
      <c r="C41" t="s">
        <v>39</v>
      </c>
      <c r="P41" s="1">
        <v>20</v>
      </c>
      <c r="Q41" s="3">
        <v>18.118749999999999</v>
      </c>
      <c r="R41" s="3">
        <v>12.662749999999999</v>
      </c>
      <c r="S41" s="8">
        <f t="shared" ref="S41:S49" si="11">R41+Q41</f>
        <v>30.781499999999998</v>
      </c>
      <c r="V41" s="3">
        <v>18.118749999999999</v>
      </c>
      <c r="W41">
        <v>9.1999999999999993</v>
      </c>
      <c r="X41" s="3">
        <f t="shared" si="0"/>
        <v>3.4627499999999998</v>
      </c>
      <c r="AC41" s="1">
        <v>20</v>
      </c>
      <c r="AD41">
        <v>19.5</v>
      </c>
      <c r="AE41" s="3">
        <v>19.391750000000002</v>
      </c>
      <c r="AF41" s="8">
        <f t="shared" ref="AF41:AF49" si="12">AE41+AD41</f>
        <v>38.891750000000002</v>
      </c>
      <c r="AI41">
        <v>19.5</v>
      </c>
      <c r="AJ41" s="3">
        <f t="shared" ref="AJ41:AJ49" si="13">AE41-AK41</f>
        <v>15.200000000000001</v>
      </c>
      <c r="AK41" s="3">
        <f t="shared" ref="AK41:AK49" si="14">AJ23</f>
        <v>4.1917500000000008</v>
      </c>
      <c r="AP41" s="1">
        <v>20</v>
      </c>
      <c r="AQ41" s="3">
        <v>21.680400000000002</v>
      </c>
      <c r="AR41" s="3">
        <v>33.21425</v>
      </c>
      <c r="AS41" s="8">
        <f t="shared" ref="AS41:AS49" si="15">AR41+AQ41</f>
        <v>54.894649999999999</v>
      </c>
      <c r="AW41" s="3">
        <v>21.680400000000002</v>
      </c>
      <c r="AX41" s="3">
        <f t="shared" si="1"/>
        <v>27.2</v>
      </c>
      <c r="AY41" s="3">
        <f t="shared" si="2"/>
        <v>6.0142500000000005</v>
      </c>
      <c r="BC41" s="1">
        <v>20</v>
      </c>
      <c r="BD41" s="5">
        <v>25.576847999999998</v>
      </c>
      <c r="BE41" s="3">
        <v>42.814250000000001</v>
      </c>
      <c r="BF41" s="8">
        <f t="shared" ref="BF41:BF49" si="16">BE41+BD41</f>
        <v>68.391098</v>
      </c>
      <c r="BJ41" s="5">
        <v>25.576847999999998</v>
      </c>
      <c r="BK41" s="3">
        <f t="shared" si="3"/>
        <v>36.799999999999997</v>
      </c>
      <c r="BL41" s="3">
        <f t="shared" si="4"/>
        <v>6.0142500000000005</v>
      </c>
      <c r="BP41" s="1">
        <v>20</v>
      </c>
      <c r="BQ41" s="5">
        <v>39.724552500000001</v>
      </c>
      <c r="BR41" s="3">
        <v>63.107750000000003</v>
      </c>
      <c r="BS41" s="8">
        <f t="shared" ref="BS41:BS49" si="17">BR41+BQ41</f>
        <v>102.8323025</v>
      </c>
      <c r="BW41" s="5">
        <v>39.724552500000001</v>
      </c>
      <c r="BX41" s="3">
        <f t="shared" si="5"/>
        <v>56</v>
      </c>
      <c r="BY41" s="3">
        <f t="shared" si="6"/>
        <v>7.1077500000000011</v>
      </c>
      <c r="CC41" s="1">
        <v>20</v>
      </c>
      <c r="CD41" s="5">
        <v>47.372456999999997</v>
      </c>
      <c r="CE41" s="3">
        <v>88.501249999999999</v>
      </c>
      <c r="CF41" s="8">
        <f t="shared" ref="CF41:CF49" si="18">CE41+CD41</f>
        <v>135.873707</v>
      </c>
      <c r="CJ41" s="5">
        <v>47.372456999999997</v>
      </c>
      <c r="CK41" s="3">
        <f t="shared" si="7"/>
        <v>80.3</v>
      </c>
      <c r="CL41" s="3">
        <f t="shared" si="8"/>
        <v>8.2012500000000017</v>
      </c>
      <c r="CP41" s="1">
        <v>20</v>
      </c>
      <c r="CQ41" s="5">
        <v>73.250910599999997</v>
      </c>
      <c r="CR41" s="3">
        <v>112.93025</v>
      </c>
      <c r="CS41" s="8">
        <f t="shared" ref="CS41:CS49" si="19">CR41+CQ41</f>
        <v>186.1811606</v>
      </c>
      <c r="CW41" s="5">
        <v>73.250910599999997</v>
      </c>
      <c r="CX41" s="3">
        <f t="shared" si="9"/>
        <v>104</v>
      </c>
      <c r="CY41" s="3">
        <f t="shared" si="10"/>
        <v>8.9302500000000009</v>
      </c>
    </row>
    <row r="42" spans="2:103" ht="15" x14ac:dyDescent="0.25">
      <c r="B42" s="89"/>
      <c r="D42" s="1">
        <v>12</v>
      </c>
      <c r="P42" s="1">
        <v>30</v>
      </c>
      <c r="Q42" s="3">
        <v>18.118749999999999</v>
      </c>
      <c r="R42" s="3">
        <v>16.027249999999999</v>
      </c>
      <c r="S42" s="8">
        <f t="shared" si="11"/>
        <v>34.146000000000001</v>
      </c>
      <c r="V42" s="3">
        <v>18.118749999999999</v>
      </c>
      <c r="W42">
        <v>12.2</v>
      </c>
      <c r="X42" s="3">
        <f t="shared" si="0"/>
        <v>3.8272499999999994</v>
      </c>
      <c r="AC42" s="1">
        <v>30</v>
      </c>
      <c r="AD42">
        <v>19.5</v>
      </c>
      <c r="AE42" s="3">
        <v>26.120750000000001</v>
      </c>
      <c r="AF42" s="8">
        <f t="shared" si="12"/>
        <v>45.620750000000001</v>
      </c>
      <c r="AI42">
        <v>19.5</v>
      </c>
      <c r="AJ42" s="3">
        <f t="shared" si="13"/>
        <v>21.2</v>
      </c>
      <c r="AK42" s="3">
        <f t="shared" si="14"/>
        <v>4.9207500000000008</v>
      </c>
      <c r="AP42" s="1">
        <v>30</v>
      </c>
      <c r="AQ42" s="3">
        <v>21.680400000000002</v>
      </c>
      <c r="AR42" s="3">
        <v>43.178750000000001</v>
      </c>
      <c r="AS42" s="8">
        <f t="shared" si="15"/>
        <v>64.85915</v>
      </c>
      <c r="AW42" s="3">
        <v>21.680400000000002</v>
      </c>
      <c r="AX42" s="3">
        <f t="shared" si="1"/>
        <v>36.799999999999997</v>
      </c>
      <c r="AY42" s="3">
        <f t="shared" si="2"/>
        <v>6.378750000000001</v>
      </c>
      <c r="BC42" s="1">
        <v>30</v>
      </c>
      <c r="BD42" s="5">
        <v>25.576847999999998</v>
      </c>
      <c r="BE42" s="3">
        <v>57.943250000000006</v>
      </c>
      <c r="BF42" s="8">
        <f t="shared" si="16"/>
        <v>83.520098000000004</v>
      </c>
      <c r="BJ42" s="5">
        <v>25.576847999999998</v>
      </c>
      <c r="BK42" s="3">
        <f t="shared" si="3"/>
        <v>51.2</v>
      </c>
      <c r="BL42" s="3">
        <f t="shared" si="4"/>
        <v>6.7432500000000006</v>
      </c>
      <c r="BP42" s="1">
        <v>30</v>
      </c>
      <c r="BQ42" s="5">
        <v>39.724552500000001</v>
      </c>
      <c r="BR42" s="3">
        <v>88.136749999999992</v>
      </c>
      <c r="BS42" s="8">
        <f t="shared" si="17"/>
        <v>127.86130249999999</v>
      </c>
      <c r="BW42" s="5">
        <v>39.724552500000001</v>
      </c>
      <c r="BX42" s="3">
        <f t="shared" si="5"/>
        <v>80.3</v>
      </c>
      <c r="BY42" s="3">
        <f t="shared" si="6"/>
        <v>7.8367500000000012</v>
      </c>
      <c r="CC42" s="1">
        <v>30</v>
      </c>
      <c r="CD42" s="5">
        <v>47.372456999999997</v>
      </c>
      <c r="CE42" s="3">
        <v>125.99475000000001</v>
      </c>
      <c r="CF42" s="8">
        <f t="shared" si="18"/>
        <v>173.36720700000001</v>
      </c>
      <c r="CJ42" s="5">
        <v>47.372456999999997</v>
      </c>
      <c r="CK42" s="3">
        <f t="shared" si="7"/>
        <v>116.70000000000002</v>
      </c>
      <c r="CL42" s="3">
        <f t="shared" si="8"/>
        <v>9.2947500000000005</v>
      </c>
      <c r="CP42" s="1">
        <v>30</v>
      </c>
      <c r="CQ42" s="5">
        <v>73.250910599999997</v>
      </c>
      <c r="CR42" s="3">
        <v>162.38825</v>
      </c>
      <c r="CS42" s="8">
        <f t="shared" si="19"/>
        <v>235.6391606</v>
      </c>
      <c r="CW42" s="5">
        <v>73.250910599999997</v>
      </c>
      <c r="CX42" s="3">
        <f t="shared" si="9"/>
        <v>152</v>
      </c>
      <c r="CY42" s="3">
        <f t="shared" si="10"/>
        <v>10.388250000000001</v>
      </c>
    </row>
    <row r="43" spans="2:103" ht="15" x14ac:dyDescent="0.25">
      <c r="B43" s="89"/>
      <c r="D43" s="1">
        <v>20</v>
      </c>
      <c r="P43" s="1">
        <v>40</v>
      </c>
      <c r="Q43" s="3">
        <v>18.118749999999999</v>
      </c>
      <c r="R43" s="3">
        <v>19.391750000000002</v>
      </c>
      <c r="S43" s="8">
        <f t="shared" si="11"/>
        <v>37.5105</v>
      </c>
      <c r="V43" s="3">
        <v>18.118749999999999</v>
      </c>
      <c r="W43">
        <v>15.2</v>
      </c>
      <c r="X43" s="3">
        <f t="shared" si="0"/>
        <v>4.1917500000000025</v>
      </c>
      <c r="AC43" s="1">
        <v>40</v>
      </c>
      <c r="AD43">
        <v>19.5</v>
      </c>
      <c r="AE43" s="3">
        <v>32.84975</v>
      </c>
      <c r="AF43" s="8">
        <f t="shared" si="12"/>
        <v>52.34975</v>
      </c>
      <c r="AI43">
        <v>19.5</v>
      </c>
      <c r="AJ43" s="3">
        <f t="shared" si="13"/>
        <v>27.2</v>
      </c>
      <c r="AK43" s="3">
        <f t="shared" si="14"/>
        <v>5.6497500000000009</v>
      </c>
      <c r="AP43" s="1">
        <v>40</v>
      </c>
      <c r="AQ43" s="3">
        <v>21.680400000000002</v>
      </c>
      <c r="AR43" s="3">
        <v>53.143250000000002</v>
      </c>
      <c r="AS43" s="8">
        <f t="shared" si="15"/>
        <v>74.823650000000001</v>
      </c>
      <c r="AW43" s="3">
        <v>21.680400000000002</v>
      </c>
      <c r="AX43" s="3">
        <f t="shared" si="1"/>
        <v>46.4</v>
      </c>
      <c r="AY43" s="3">
        <f t="shared" si="2"/>
        <v>6.7432500000000006</v>
      </c>
      <c r="BC43" s="1">
        <v>40</v>
      </c>
      <c r="BD43" s="5">
        <v>25.576847999999998</v>
      </c>
      <c r="BE43" s="3">
        <v>72.70774999999999</v>
      </c>
      <c r="BF43" s="8">
        <f t="shared" si="16"/>
        <v>98.284597999999988</v>
      </c>
      <c r="BJ43" s="5">
        <v>25.576847999999998</v>
      </c>
      <c r="BK43" s="3">
        <f t="shared" si="3"/>
        <v>65.599999999999994</v>
      </c>
      <c r="BL43" s="3">
        <f t="shared" si="4"/>
        <v>7.1077500000000011</v>
      </c>
      <c r="BP43" s="1">
        <v>40</v>
      </c>
      <c r="BQ43" s="5">
        <v>39.724552500000001</v>
      </c>
      <c r="BR43" s="3">
        <v>112.93025</v>
      </c>
      <c r="BS43" s="8">
        <f t="shared" si="17"/>
        <v>152.65480250000002</v>
      </c>
      <c r="BW43" s="5">
        <v>39.724552500000001</v>
      </c>
      <c r="BX43" s="3">
        <f t="shared" si="5"/>
        <v>104</v>
      </c>
      <c r="BY43" s="3">
        <f t="shared" si="6"/>
        <v>8.9302500000000009</v>
      </c>
      <c r="CC43" s="1">
        <v>40</v>
      </c>
      <c r="CD43" s="5">
        <v>47.372456999999997</v>
      </c>
      <c r="CE43" s="3">
        <v>162.38825</v>
      </c>
      <c r="CF43" s="8">
        <f t="shared" si="18"/>
        <v>209.760707</v>
      </c>
      <c r="CJ43" s="5">
        <v>47.372456999999997</v>
      </c>
      <c r="CK43" s="3">
        <f t="shared" si="7"/>
        <v>152</v>
      </c>
      <c r="CL43" s="3">
        <f t="shared" si="8"/>
        <v>10.388250000000001</v>
      </c>
      <c r="CP43" s="1">
        <v>40</v>
      </c>
      <c r="CQ43" s="5">
        <v>73.250910599999997</v>
      </c>
      <c r="CR43" s="3">
        <v>212.21074999999999</v>
      </c>
      <c r="CS43" s="8">
        <f t="shared" si="19"/>
        <v>285.46166059999996</v>
      </c>
      <c r="CW43" s="5">
        <v>73.250910599999997</v>
      </c>
      <c r="CX43" s="3">
        <f t="shared" si="9"/>
        <v>200</v>
      </c>
      <c r="CY43" s="3">
        <f t="shared" si="10"/>
        <v>12.210750000000001</v>
      </c>
    </row>
    <row r="44" spans="2:103" ht="15" x14ac:dyDescent="0.25">
      <c r="B44" s="89"/>
      <c r="D44" s="1">
        <v>30</v>
      </c>
      <c r="P44" s="1">
        <v>50</v>
      </c>
      <c r="Q44" s="3">
        <v>18.118749999999999</v>
      </c>
      <c r="R44" s="3">
        <v>22.756250000000001</v>
      </c>
      <c r="S44" s="8">
        <f t="shared" si="11"/>
        <v>40.875</v>
      </c>
      <c r="V44" s="3">
        <v>18.118749999999999</v>
      </c>
      <c r="W44">
        <v>18.2</v>
      </c>
      <c r="X44" s="3">
        <f t="shared" si="0"/>
        <v>4.5562500000000021</v>
      </c>
      <c r="AC44" s="1">
        <v>50</v>
      </c>
      <c r="AD44">
        <v>19.5</v>
      </c>
      <c r="AE44" s="3">
        <v>37.116416666666673</v>
      </c>
      <c r="AF44" s="8">
        <f t="shared" si="12"/>
        <v>56.616416666666673</v>
      </c>
      <c r="AI44">
        <v>19.5</v>
      </c>
      <c r="AJ44" s="3">
        <f t="shared" si="13"/>
        <v>31.466666666666672</v>
      </c>
      <c r="AK44" s="3">
        <f t="shared" si="14"/>
        <v>5.6497500000000009</v>
      </c>
      <c r="AP44" s="1">
        <v>50</v>
      </c>
      <c r="AQ44" s="3">
        <v>21.680400000000002</v>
      </c>
      <c r="AR44" s="3">
        <v>63.107750000000003</v>
      </c>
      <c r="AS44" s="8">
        <f t="shared" si="15"/>
        <v>84.788150000000002</v>
      </c>
      <c r="AW44" s="3">
        <v>21.680400000000002</v>
      </c>
      <c r="AX44" s="3">
        <f t="shared" si="1"/>
        <v>56</v>
      </c>
      <c r="AY44" s="3">
        <f t="shared" si="2"/>
        <v>7.1077500000000011</v>
      </c>
      <c r="BC44" s="1">
        <v>50</v>
      </c>
      <c r="BD44" s="5">
        <v>25.576847999999998</v>
      </c>
      <c r="BE44" s="3">
        <v>88.136749999999992</v>
      </c>
      <c r="BF44" s="8">
        <f t="shared" si="16"/>
        <v>113.71359799999999</v>
      </c>
      <c r="BJ44" s="5">
        <v>25.576847999999998</v>
      </c>
      <c r="BK44" s="3">
        <f t="shared" si="3"/>
        <v>80.3</v>
      </c>
      <c r="BL44" s="3">
        <f t="shared" si="4"/>
        <v>7.8367500000000012</v>
      </c>
      <c r="BP44" s="1">
        <v>50</v>
      </c>
      <c r="BQ44" s="5">
        <v>39.724552500000001</v>
      </c>
      <c r="BR44" s="3">
        <v>138.1515576923077</v>
      </c>
      <c r="BS44" s="8">
        <f t="shared" si="17"/>
        <v>177.87611019230769</v>
      </c>
      <c r="BW44" s="5">
        <v>39.724552500000001</v>
      </c>
      <c r="BX44" s="3">
        <f t="shared" si="5"/>
        <v>128.49230769230769</v>
      </c>
      <c r="BY44" s="3">
        <f t="shared" si="6"/>
        <v>9.6592500000000019</v>
      </c>
      <c r="CC44" s="1">
        <v>50</v>
      </c>
      <c r="CD44" s="5">
        <v>47.372456999999997</v>
      </c>
      <c r="CE44" s="3">
        <v>200.14098684210526</v>
      </c>
      <c r="CF44" s="8">
        <f t="shared" si="18"/>
        <v>247.51344384210526</v>
      </c>
      <c r="CJ44" s="5">
        <v>47.372456999999997</v>
      </c>
      <c r="CK44" s="3">
        <f t="shared" si="7"/>
        <v>188.29473684210527</v>
      </c>
      <c r="CL44" s="3">
        <f t="shared" si="8"/>
        <v>11.846250000000001</v>
      </c>
      <c r="CP44" s="1">
        <v>50</v>
      </c>
      <c r="CQ44" s="5">
        <v>73.250910599999997</v>
      </c>
      <c r="CR44" s="3">
        <v>261.66874999999999</v>
      </c>
      <c r="CS44" s="8">
        <f t="shared" si="19"/>
        <v>334.91966059999999</v>
      </c>
      <c r="CW44" s="5">
        <v>73.250910599999997</v>
      </c>
      <c r="CX44" s="3">
        <f t="shared" si="9"/>
        <v>248</v>
      </c>
      <c r="CY44" s="3">
        <f t="shared" si="10"/>
        <v>13.668750000000001</v>
      </c>
    </row>
    <row r="45" spans="2:103" ht="15" x14ac:dyDescent="0.25">
      <c r="B45" s="89"/>
      <c r="D45" s="1">
        <v>40</v>
      </c>
      <c r="P45" s="1">
        <v>60</v>
      </c>
      <c r="Q45" s="3">
        <v>18.118749999999999</v>
      </c>
      <c r="R45" s="3">
        <v>26.120750000000001</v>
      </c>
      <c r="S45" s="8">
        <f t="shared" si="11"/>
        <v>44.2395</v>
      </c>
      <c r="V45" s="3">
        <v>18.118749999999999</v>
      </c>
      <c r="W45">
        <v>21.2</v>
      </c>
      <c r="X45" s="3">
        <f t="shared" si="0"/>
        <v>4.9207500000000017</v>
      </c>
      <c r="AC45" s="1">
        <v>60</v>
      </c>
      <c r="AD45">
        <v>19.5</v>
      </c>
      <c r="AE45" s="3">
        <v>42.814250000000001</v>
      </c>
      <c r="AF45" s="8">
        <f t="shared" si="12"/>
        <v>62.314250000000001</v>
      </c>
      <c r="AI45">
        <v>19.5</v>
      </c>
      <c r="AJ45" s="3">
        <f t="shared" si="13"/>
        <v>36.799999999999997</v>
      </c>
      <c r="AK45" s="3">
        <f t="shared" si="14"/>
        <v>6.0142500000000005</v>
      </c>
      <c r="AP45" s="1">
        <v>60</v>
      </c>
      <c r="AQ45" s="3">
        <v>21.680400000000002</v>
      </c>
      <c r="AR45" s="3">
        <v>73.072249999999997</v>
      </c>
      <c r="AS45" s="8">
        <f t="shared" si="15"/>
        <v>94.752650000000003</v>
      </c>
      <c r="AW45" s="3">
        <v>21.680400000000002</v>
      </c>
      <c r="AX45" s="3">
        <f t="shared" si="1"/>
        <v>65.599999999999994</v>
      </c>
      <c r="AY45" s="3">
        <f t="shared" si="2"/>
        <v>7.4722500000000007</v>
      </c>
      <c r="BC45" s="1">
        <v>60</v>
      </c>
      <c r="BD45" s="5">
        <v>25.576847999999998</v>
      </c>
      <c r="BE45" s="3">
        <v>102.60125000000001</v>
      </c>
      <c r="BF45" s="8">
        <f t="shared" si="16"/>
        <v>128.17809800000001</v>
      </c>
      <c r="BJ45" s="5">
        <v>25.576847999999998</v>
      </c>
      <c r="BK45" s="3">
        <f t="shared" si="3"/>
        <v>94.4</v>
      </c>
      <c r="BL45" s="3">
        <f t="shared" si="4"/>
        <v>8.2012500000000017</v>
      </c>
      <c r="BP45" s="1">
        <v>60</v>
      </c>
      <c r="BQ45" s="5">
        <v>39.724552500000001</v>
      </c>
      <c r="BR45" s="3">
        <v>162.38825</v>
      </c>
      <c r="BS45" s="8">
        <f t="shared" si="17"/>
        <v>202.11280249999999</v>
      </c>
      <c r="BW45" s="5">
        <v>39.724552500000001</v>
      </c>
      <c r="BX45" s="3">
        <f t="shared" si="5"/>
        <v>152</v>
      </c>
      <c r="BY45" s="3">
        <f t="shared" si="6"/>
        <v>10.388250000000001</v>
      </c>
      <c r="CC45" s="1">
        <v>60</v>
      </c>
      <c r="CD45" s="5">
        <v>47.372456999999997</v>
      </c>
      <c r="CE45" s="3">
        <v>237.56583695652176</v>
      </c>
      <c r="CF45" s="8">
        <f t="shared" si="18"/>
        <v>284.93829395652176</v>
      </c>
      <c r="CJ45" s="5">
        <v>47.372456999999997</v>
      </c>
      <c r="CK45" s="3">
        <f t="shared" si="7"/>
        <v>224.62608695652176</v>
      </c>
      <c r="CL45" s="3">
        <f t="shared" si="8"/>
        <v>12.939750000000002</v>
      </c>
      <c r="CP45" s="1">
        <v>60</v>
      </c>
      <c r="CQ45" s="5">
        <v>73.250910599999997</v>
      </c>
      <c r="CR45" s="3">
        <v>311.49124999999998</v>
      </c>
      <c r="CS45" s="8">
        <f t="shared" si="19"/>
        <v>384.74216059999998</v>
      </c>
      <c r="CW45" s="5">
        <v>73.250910599999997</v>
      </c>
      <c r="CX45" s="3">
        <f t="shared" si="9"/>
        <v>296</v>
      </c>
      <c r="CY45" s="3">
        <f t="shared" si="10"/>
        <v>15.491250000000003</v>
      </c>
    </row>
    <row r="46" spans="2:103" ht="15" x14ac:dyDescent="0.25">
      <c r="B46" s="89"/>
      <c r="D46" s="1">
        <v>50</v>
      </c>
      <c r="P46" s="1">
        <v>70</v>
      </c>
      <c r="Q46" s="3">
        <v>18.118749999999999</v>
      </c>
      <c r="R46" s="3">
        <v>29.485250000000001</v>
      </c>
      <c r="S46" s="8">
        <f t="shared" si="11"/>
        <v>47.603999999999999</v>
      </c>
      <c r="V46" s="3">
        <v>18.118749999999999</v>
      </c>
      <c r="W46">
        <v>24.2</v>
      </c>
      <c r="X46" s="3">
        <f t="shared" si="0"/>
        <v>5.2852500000000013</v>
      </c>
      <c r="AC46" s="1">
        <v>70</v>
      </c>
      <c r="AD46">
        <v>19.5</v>
      </c>
      <c r="AE46" s="3">
        <v>47.414249999999996</v>
      </c>
      <c r="AF46" s="8">
        <f t="shared" si="12"/>
        <v>66.914249999999996</v>
      </c>
      <c r="AI46">
        <v>19.5</v>
      </c>
      <c r="AJ46" s="3">
        <f t="shared" si="13"/>
        <v>41.399999999999991</v>
      </c>
      <c r="AK46" s="3">
        <f t="shared" si="14"/>
        <v>6.0142500000000005</v>
      </c>
      <c r="AP46" s="1">
        <v>70</v>
      </c>
      <c r="AQ46" s="3">
        <v>21.680400000000002</v>
      </c>
      <c r="AR46" s="3">
        <v>83.036749999999998</v>
      </c>
      <c r="AS46" s="8">
        <f t="shared" si="15"/>
        <v>104.71715</v>
      </c>
      <c r="AW46" s="3">
        <v>21.680400000000002</v>
      </c>
      <c r="AX46" s="3">
        <f t="shared" si="1"/>
        <v>75.2</v>
      </c>
      <c r="AY46" s="3">
        <f t="shared" si="2"/>
        <v>7.8367500000000012</v>
      </c>
      <c r="BC46" s="1">
        <v>70</v>
      </c>
      <c r="BD46" s="5">
        <v>25.576847999999998</v>
      </c>
      <c r="BE46" s="3">
        <v>117.80211363636366</v>
      </c>
      <c r="BF46" s="8">
        <f t="shared" si="16"/>
        <v>143.37896163636367</v>
      </c>
      <c r="BJ46" s="5">
        <v>25.576847999999998</v>
      </c>
      <c r="BK46" s="3">
        <f t="shared" si="3"/>
        <v>109.23636363636365</v>
      </c>
      <c r="BL46" s="3">
        <f t="shared" si="4"/>
        <v>8.5657500000000013</v>
      </c>
      <c r="BP46" s="1">
        <v>70</v>
      </c>
      <c r="BQ46" s="5">
        <v>39.724552500000001</v>
      </c>
      <c r="BR46" s="3">
        <v>188.05952777777779</v>
      </c>
      <c r="BS46" s="8">
        <f t="shared" si="17"/>
        <v>227.78408027777778</v>
      </c>
      <c r="BW46" s="5">
        <v>39.724552500000001</v>
      </c>
      <c r="BX46" s="3">
        <f t="shared" si="5"/>
        <v>176.57777777777778</v>
      </c>
      <c r="BY46" s="3">
        <f t="shared" si="6"/>
        <v>11.481750000000002</v>
      </c>
      <c r="CC46" s="1">
        <v>70</v>
      </c>
      <c r="CD46" s="5">
        <v>47.372456999999997</v>
      </c>
      <c r="CE46" s="3">
        <v>275.37552777777773</v>
      </c>
      <c r="CF46" s="8">
        <f t="shared" si="18"/>
        <v>322.74798477777773</v>
      </c>
      <c r="CJ46" s="5">
        <v>47.372456999999997</v>
      </c>
      <c r="CK46" s="3">
        <f t="shared" si="7"/>
        <v>260.97777777777776</v>
      </c>
      <c r="CL46" s="3">
        <f t="shared" si="8"/>
        <v>14.397750000000002</v>
      </c>
      <c r="CP46" s="1">
        <v>70</v>
      </c>
      <c r="CQ46" s="5">
        <v>73.250910599999997</v>
      </c>
      <c r="CR46" s="3">
        <v>360.94925000000001</v>
      </c>
      <c r="CS46" s="8">
        <f t="shared" si="19"/>
        <v>434.2001606</v>
      </c>
      <c r="CW46" s="5">
        <v>73.250910599999997</v>
      </c>
      <c r="CX46" s="3">
        <f t="shared" si="9"/>
        <v>344</v>
      </c>
      <c r="CY46" s="3">
        <f t="shared" si="10"/>
        <v>16.949250000000003</v>
      </c>
    </row>
    <row r="47" spans="2:103" ht="15" x14ac:dyDescent="0.25">
      <c r="B47" s="89"/>
      <c r="D47" s="1">
        <v>60</v>
      </c>
      <c r="P47" s="1">
        <v>80</v>
      </c>
      <c r="Q47" s="3">
        <v>18.118749999999999</v>
      </c>
      <c r="R47" s="3">
        <v>32.84975</v>
      </c>
      <c r="S47" s="8">
        <f t="shared" si="11"/>
        <v>50.968499999999999</v>
      </c>
      <c r="V47" s="3">
        <v>18.118749999999999</v>
      </c>
      <c r="W47">
        <v>27.2</v>
      </c>
      <c r="X47" s="3">
        <f t="shared" si="0"/>
        <v>5.6497500000000009</v>
      </c>
      <c r="AC47" s="1">
        <v>80</v>
      </c>
      <c r="AD47">
        <v>19.5</v>
      </c>
      <c r="AE47" s="3">
        <v>52.778750000000002</v>
      </c>
      <c r="AF47" s="8">
        <f t="shared" si="12"/>
        <v>72.278750000000002</v>
      </c>
      <c r="AI47">
        <v>19.5</v>
      </c>
      <c r="AJ47" s="3">
        <f t="shared" si="13"/>
        <v>46.4</v>
      </c>
      <c r="AK47" s="3">
        <f t="shared" si="14"/>
        <v>6.378750000000001</v>
      </c>
      <c r="AP47" s="1">
        <v>80</v>
      </c>
      <c r="AQ47" s="3">
        <v>21.680400000000002</v>
      </c>
      <c r="AR47" s="3">
        <v>93.001249999999999</v>
      </c>
      <c r="AS47" s="8">
        <f t="shared" si="15"/>
        <v>114.68165</v>
      </c>
      <c r="AW47" s="3">
        <v>21.680400000000002</v>
      </c>
      <c r="AX47" s="3">
        <f t="shared" si="1"/>
        <v>84.8</v>
      </c>
      <c r="AY47" s="3">
        <f t="shared" si="2"/>
        <v>8.2012500000000017</v>
      </c>
      <c r="BC47" s="1">
        <v>80</v>
      </c>
      <c r="BD47" s="5">
        <v>25.576847999999998</v>
      </c>
      <c r="BE47" s="3">
        <v>132.13024999999999</v>
      </c>
      <c r="BF47" s="8">
        <f t="shared" si="16"/>
        <v>157.70709799999997</v>
      </c>
      <c r="BJ47" s="5">
        <v>25.576847999999998</v>
      </c>
      <c r="BK47" s="3">
        <f t="shared" si="3"/>
        <v>123.19999999999999</v>
      </c>
      <c r="BL47" s="3">
        <f t="shared" si="4"/>
        <v>8.9302500000000009</v>
      </c>
      <c r="BP47" s="1">
        <v>80</v>
      </c>
      <c r="BQ47" s="5">
        <v>39.724552500000001</v>
      </c>
      <c r="BR47" s="3">
        <v>212.21074999999999</v>
      </c>
      <c r="BS47" s="8">
        <f t="shared" si="17"/>
        <v>251.93530249999998</v>
      </c>
      <c r="BW47" s="5">
        <v>39.724552500000001</v>
      </c>
      <c r="BX47" s="3">
        <f t="shared" si="5"/>
        <v>200</v>
      </c>
      <c r="BY47" s="3">
        <f t="shared" si="6"/>
        <v>12.210750000000001</v>
      </c>
      <c r="CC47" s="1">
        <v>80</v>
      </c>
      <c r="CD47" s="5">
        <v>47.372456999999997</v>
      </c>
      <c r="CE47" s="3">
        <v>311.49124999999998</v>
      </c>
      <c r="CF47" s="8">
        <f t="shared" si="18"/>
        <v>358.86370699999998</v>
      </c>
      <c r="CJ47" s="5">
        <v>47.372456999999997</v>
      </c>
      <c r="CK47" s="3">
        <f t="shared" si="7"/>
        <v>296</v>
      </c>
      <c r="CL47" s="3">
        <f t="shared" si="8"/>
        <v>15.491250000000003</v>
      </c>
      <c r="CP47" s="1">
        <v>80</v>
      </c>
      <c r="CQ47" s="5">
        <v>73.250910599999997</v>
      </c>
      <c r="CR47" s="3">
        <v>410.77175</v>
      </c>
      <c r="CS47" s="8">
        <f t="shared" si="19"/>
        <v>484.02266059999999</v>
      </c>
      <c r="CW47" s="5">
        <v>73.250910599999997</v>
      </c>
      <c r="CX47" s="3">
        <f t="shared" si="9"/>
        <v>392</v>
      </c>
      <c r="CY47" s="3">
        <f t="shared" si="10"/>
        <v>18.771750000000001</v>
      </c>
    </row>
    <row r="48" spans="2:103" ht="15" x14ac:dyDescent="0.25">
      <c r="B48" s="89"/>
      <c r="D48" s="1">
        <v>70</v>
      </c>
      <c r="P48" s="1">
        <v>90</v>
      </c>
      <c r="Q48" s="3">
        <v>18.118749999999999</v>
      </c>
      <c r="R48" s="3">
        <v>36.21425</v>
      </c>
      <c r="S48" s="8">
        <f t="shared" si="11"/>
        <v>54.332999999999998</v>
      </c>
      <c r="V48" s="3">
        <v>18.118749999999999</v>
      </c>
      <c r="W48">
        <v>30.2</v>
      </c>
      <c r="X48" s="3">
        <f t="shared" si="0"/>
        <v>6.0142500000000005</v>
      </c>
      <c r="AC48" s="1">
        <v>90</v>
      </c>
      <c r="AD48">
        <v>19.5</v>
      </c>
      <c r="AE48" s="3">
        <v>57.578750000000007</v>
      </c>
      <c r="AF48" s="8">
        <f t="shared" si="12"/>
        <v>77.078750000000014</v>
      </c>
      <c r="AI48">
        <v>19.5</v>
      </c>
      <c r="AJ48" s="3">
        <f t="shared" si="13"/>
        <v>51.2</v>
      </c>
      <c r="AK48" s="3">
        <f t="shared" si="14"/>
        <v>6.378750000000001</v>
      </c>
      <c r="AP48" s="1">
        <v>90</v>
      </c>
      <c r="AQ48" s="3">
        <v>21.680400000000002</v>
      </c>
      <c r="AR48" s="3">
        <v>102.96575000000001</v>
      </c>
      <c r="AS48" s="8">
        <f t="shared" si="15"/>
        <v>124.64615000000002</v>
      </c>
      <c r="AW48" s="3">
        <v>21.680400000000002</v>
      </c>
      <c r="AX48" s="3">
        <f t="shared" si="1"/>
        <v>94.4</v>
      </c>
      <c r="AY48" s="3">
        <f t="shared" si="2"/>
        <v>8.5657500000000013</v>
      </c>
      <c r="BC48" s="1">
        <v>90</v>
      </c>
      <c r="BD48" s="5">
        <v>25.576847999999998</v>
      </c>
      <c r="BE48" s="3">
        <v>147.77353571428574</v>
      </c>
      <c r="BF48" s="8">
        <f t="shared" si="16"/>
        <v>173.35038371428573</v>
      </c>
      <c r="BJ48" s="5">
        <v>25.576847999999998</v>
      </c>
      <c r="BK48" s="3">
        <f t="shared" si="3"/>
        <v>138.11428571428573</v>
      </c>
      <c r="BL48" s="3">
        <f t="shared" si="4"/>
        <v>9.6592500000000019</v>
      </c>
      <c r="BP48" s="1">
        <v>90</v>
      </c>
      <c r="BQ48" s="5">
        <v>39.724552500000001</v>
      </c>
      <c r="BR48" s="3">
        <v>237.56583695652176</v>
      </c>
      <c r="BS48" s="8">
        <f t="shared" si="17"/>
        <v>277.29038945652178</v>
      </c>
      <c r="BW48" s="5">
        <v>39.724552500000001</v>
      </c>
      <c r="BX48" s="3">
        <f t="shared" si="5"/>
        <v>224.62608695652176</v>
      </c>
      <c r="BY48" s="3">
        <f t="shared" si="6"/>
        <v>12.939750000000002</v>
      </c>
      <c r="CC48" s="1">
        <v>90</v>
      </c>
      <c r="CD48" s="5">
        <v>47.372456999999997</v>
      </c>
      <c r="CE48" s="3">
        <v>348.92592647058825</v>
      </c>
      <c r="CF48" s="8">
        <f t="shared" si="18"/>
        <v>396.29838347058825</v>
      </c>
      <c r="CJ48" s="5">
        <v>47.372456999999997</v>
      </c>
      <c r="CK48" s="3">
        <f t="shared" si="7"/>
        <v>332.34117647058827</v>
      </c>
      <c r="CL48" s="3">
        <f t="shared" si="8"/>
        <v>16.584750000000003</v>
      </c>
      <c r="CP48" s="1">
        <v>90</v>
      </c>
      <c r="CQ48" s="5">
        <v>73.250910599999997</v>
      </c>
      <c r="CR48" s="3">
        <v>460.22975000000002</v>
      </c>
      <c r="CS48" s="8">
        <f t="shared" si="19"/>
        <v>533.48066059999996</v>
      </c>
      <c r="CW48" s="5">
        <v>73.250910599999997</v>
      </c>
      <c r="CX48" s="3">
        <f t="shared" si="9"/>
        <v>440</v>
      </c>
      <c r="CY48" s="3">
        <f t="shared" si="10"/>
        <v>20.229750000000003</v>
      </c>
    </row>
    <row r="49" spans="1:211" ht="15" x14ac:dyDescent="0.25">
      <c r="B49" s="89"/>
      <c r="D49" s="1">
        <v>80</v>
      </c>
      <c r="P49" s="1">
        <v>100</v>
      </c>
      <c r="Q49" s="3">
        <v>18.118749999999999</v>
      </c>
      <c r="R49" s="3">
        <v>39.578750000000007</v>
      </c>
      <c r="S49" s="8">
        <f t="shared" si="11"/>
        <v>57.697500000000005</v>
      </c>
      <c r="V49" s="3">
        <v>18.118749999999999</v>
      </c>
      <c r="W49">
        <v>33.200000000000003</v>
      </c>
      <c r="X49" s="3">
        <f t="shared" si="0"/>
        <v>6.3787500000000037</v>
      </c>
      <c r="AC49" s="1">
        <v>100</v>
      </c>
      <c r="AD49">
        <v>19.5</v>
      </c>
      <c r="AE49" s="3">
        <v>62.743250000000003</v>
      </c>
      <c r="AF49" s="8">
        <f t="shared" si="12"/>
        <v>82.243250000000003</v>
      </c>
      <c r="AI49">
        <v>19.5</v>
      </c>
      <c r="AJ49" s="3">
        <f t="shared" si="13"/>
        <v>56</v>
      </c>
      <c r="AK49" s="3">
        <f t="shared" si="14"/>
        <v>6.7432500000000006</v>
      </c>
      <c r="AP49" s="1">
        <v>100</v>
      </c>
      <c r="AQ49" s="3">
        <v>21.680400000000002</v>
      </c>
      <c r="AR49" s="3">
        <v>112.93025</v>
      </c>
      <c r="AS49" s="8">
        <f t="shared" si="15"/>
        <v>134.61064999999999</v>
      </c>
      <c r="AW49" s="3">
        <v>21.680400000000002</v>
      </c>
      <c r="AX49" s="3">
        <f t="shared" si="1"/>
        <v>104</v>
      </c>
      <c r="AY49" s="3">
        <f t="shared" si="2"/>
        <v>8.9302500000000009</v>
      </c>
      <c r="BC49" s="1">
        <v>100</v>
      </c>
      <c r="BD49" s="5">
        <v>25.576847999999998</v>
      </c>
      <c r="BE49" s="3">
        <v>162.02375000000001</v>
      </c>
      <c r="BF49" s="8">
        <f t="shared" si="16"/>
        <v>187.60059799999999</v>
      </c>
      <c r="BJ49" s="5">
        <v>25.576847999999998</v>
      </c>
      <c r="BK49" s="3">
        <f t="shared" si="3"/>
        <v>152</v>
      </c>
      <c r="BL49" s="3">
        <f t="shared" si="4"/>
        <v>10.023750000000001</v>
      </c>
      <c r="BP49" s="1">
        <v>100</v>
      </c>
      <c r="BQ49" s="5">
        <v>39.724552500000001</v>
      </c>
      <c r="BR49" s="3">
        <v>261.66874999999999</v>
      </c>
      <c r="BS49" s="8">
        <f t="shared" si="17"/>
        <v>301.3933025</v>
      </c>
      <c r="BW49" s="5">
        <v>39.724552500000001</v>
      </c>
      <c r="BX49" s="3">
        <f t="shared" si="5"/>
        <v>248</v>
      </c>
      <c r="BY49" s="3">
        <f t="shared" si="6"/>
        <v>13.668750000000001</v>
      </c>
      <c r="CC49" s="1">
        <v>100</v>
      </c>
      <c r="CD49" s="5">
        <v>47.372456999999997</v>
      </c>
      <c r="CE49" s="3">
        <v>386.73748684210528</v>
      </c>
      <c r="CF49" s="8">
        <f t="shared" si="18"/>
        <v>434.10994384210528</v>
      </c>
      <c r="CJ49" s="5">
        <v>47.372456999999997</v>
      </c>
      <c r="CK49" s="3">
        <f t="shared" si="7"/>
        <v>368.69473684210527</v>
      </c>
      <c r="CL49" s="3">
        <f t="shared" si="8"/>
        <v>18.042750000000002</v>
      </c>
      <c r="CP49" s="1">
        <v>100</v>
      </c>
      <c r="CQ49" s="5">
        <v>73.250910599999997</v>
      </c>
      <c r="CR49" s="3">
        <v>510.05225000000002</v>
      </c>
      <c r="CS49" s="8">
        <f t="shared" si="19"/>
        <v>583.30316059999996</v>
      </c>
      <c r="CW49" s="5">
        <v>73.250910599999997</v>
      </c>
      <c r="CX49" s="3">
        <f t="shared" si="9"/>
        <v>488</v>
      </c>
      <c r="CY49" s="3">
        <f t="shared" si="10"/>
        <v>22.052250000000004</v>
      </c>
    </row>
    <row r="50" spans="1:211" ht="15" x14ac:dyDescent="0.25">
      <c r="B50" s="89"/>
      <c r="D50" s="1">
        <v>90</v>
      </c>
    </row>
    <row r="51" spans="1:211" ht="15.75" thickBot="1" x14ac:dyDescent="0.3">
      <c r="B51" s="89"/>
      <c r="D51" s="1">
        <v>100</v>
      </c>
    </row>
    <row r="52" spans="1:211" s="34" customFormat="1" ht="21" thickBot="1" x14ac:dyDescent="0.35">
      <c r="A52" s="33"/>
      <c r="B52" s="88">
        <v>50</v>
      </c>
      <c r="C52" s="34" t="s">
        <v>51</v>
      </c>
      <c r="P52" s="35" t="s">
        <v>513</v>
      </c>
      <c r="AB52" s="36"/>
      <c r="AO52" s="36"/>
      <c r="BB52" s="36"/>
      <c r="BO52" s="36"/>
      <c r="CB52" s="36"/>
      <c r="CO52" s="36"/>
      <c r="DC52" s="36"/>
      <c r="DP52" s="36"/>
      <c r="EC52" s="36"/>
      <c r="EP52" s="36"/>
      <c r="FC52" s="36"/>
      <c r="FP52" s="36"/>
      <c r="GC52" s="36"/>
      <c r="GP52" s="36"/>
      <c r="HC52" s="36"/>
    </row>
    <row r="53" spans="1:211" x14ac:dyDescent="0.2">
      <c r="B53" s="89"/>
      <c r="C53" t="s">
        <v>39</v>
      </c>
    </row>
    <row r="54" spans="1:211" ht="15" x14ac:dyDescent="0.25">
      <c r="B54" s="89"/>
      <c r="D54" s="1">
        <v>12</v>
      </c>
      <c r="R54" s="86" t="s">
        <v>289</v>
      </c>
      <c r="S54" s="86"/>
      <c r="T54" s="86"/>
      <c r="U54" s="86"/>
      <c r="V54" s="86" t="s">
        <v>291</v>
      </c>
      <c r="W54" s="86"/>
      <c r="X54" s="86"/>
      <c r="Y54" s="86"/>
      <c r="Z54" s="86"/>
      <c r="AA54" s="86"/>
      <c r="AB54" s="87"/>
      <c r="AE54" s="86" t="s">
        <v>289</v>
      </c>
      <c r="AF54" s="86"/>
      <c r="AG54" s="86"/>
      <c r="AH54" s="86"/>
      <c r="AI54" s="86" t="s">
        <v>291</v>
      </c>
      <c r="AJ54" s="86"/>
      <c r="AK54" s="86"/>
      <c r="AL54" s="86"/>
      <c r="AM54" s="86"/>
      <c r="AN54" s="86"/>
      <c r="AO54" s="87"/>
      <c r="AR54" s="86" t="s">
        <v>289</v>
      </c>
      <c r="AS54" s="86"/>
      <c r="AT54" s="86"/>
      <c r="AU54" s="86"/>
      <c r="AV54" s="86" t="s">
        <v>291</v>
      </c>
      <c r="AW54" s="86"/>
      <c r="AX54" s="86"/>
      <c r="AY54" s="86"/>
      <c r="AZ54" s="86"/>
      <c r="BA54" s="86"/>
      <c r="BB54" s="87"/>
      <c r="BE54" s="86" t="s">
        <v>289</v>
      </c>
      <c r="BF54" s="86"/>
      <c r="BG54" s="86"/>
      <c r="BH54" s="86"/>
      <c r="BI54" s="86" t="s">
        <v>291</v>
      </c>
      <c r="BJ54" s="86"/>
      <c r="BK54" s="86"/>
      <c r="BL54" s="86"/>
      <c r="BM54" s="86"/>
      <c r="BN54" s="86"/>
      <c r="BO54" s="87"/>
      <c r="BR54" s="86" t="s">
        <v>289</v>
      </c>
      <c r="BS54" s="86"/>
      <c r="BT54" s="86"/>
      <c r="BU54" s="86"/>
      <c r="BV54" s="86" t="s">
        <v>291</v>
      </c>
      <c r="BW54" s="86"/>
      <c r="BX54" s="86"/>
      <c r="BY54" s="86"/>
      <c r="BZ54" s="86"/>
      <c r="CA54" s="86"/>
      <c r="CB54" s="87"/>
      <c r="CE54" s="86" t="s">
        <v>289</v>
      </c>
      <c r="CF54" s="86"/>
      <c r="CG54" s="86"/>
      <c r="CH54" s="86"/>
      <c r="CI54" s="86" t="s">
        <v>291</v>
      </c>
      <c r="CJ54" s="86"/>
      <c r="CK54" s="86"/>
      <c r="CL54" s="86"/>
      <c r="CM54" s="86"/>
      <c r="CN54" s="86"/>
      <c r="CO54" s="87"/>
      <c r="CR54" s="86" t="s">
        <v>289</v>
      </c>
      <c r="CS54" s="86"/>
      <c r="CT54" s="86"/>
      <c r="CU54" s="86"/>
      <c r="CV54" s="86" t="s">
        <v>291</v>
      </c>
      <c r="CW54" s="86"/>
      <c r="CX54" s="86"/>
      <c r="CY54" s="86"/>
      <c r="CZ54" s="86"/>
      <c r="DA54" s="86"/>
      <c r="DB54" s="86"/>
      <c r="DC54" s="87"/>
    </row>
    <row r="55" spans="1:211" ht="15" x14ac:dyDescent="0.25">
      <c r="B55" s="89"/>
      <c r="D55" s="1">
        <v>20</v>
      </c>
      <c r="P55" t="s">
        <v>49</v>
      </c>
      <c r="Q55" s="2" t="s">
        <v>12</v>
      </c>
      <c r="R55" t="s">
        <v>31</v>
      </c>
      <c r="S55" t="s">
        <v>53</v>
      </c>
      <c r="T55" t="s">
        <v>54</v>
      </c>
      <c r="U55" t="s">
        <v>290</v>
      </c>
      <c r="V55" t="s">
        <v>30</v>
      </c>
      <c r="W55" t="s">
        <v>29</v>
      </c>
      <c r="X55" t="s">
        <v>15</v>
      </c>
      <c r="Y55" t="s">
        <v>55</v>
      </c>
      <c r="Z55" t="s">
        <v>10</v>
      </c>
      <c r="AA55" t="s">
        <v>23</v>
      </c>
      <c r="AB55" s="10" t="s">
        <v>42</v>
      </c>
      <c r="AC55" t="s">
        <v>49</v>
      </c>
      <c r="AD55" s="2" t="s">
        <v>12</v>
      </c>
      <c r="AE55" t="s">
        <v>31</v>
      </c>
      <c r="AF55" t="s">
        <v>53</v>
      </c>
      <c r="AG55" t="s">
        <v>54</v>
      </c>
      <c r="AH55" t="s">
        <v>290</v>
      </c>
      <c r="AI55" t="s">
        <v>30</v>
      </c>
      <c r="AJ55" t="s">
        <v>29</v>
      </c>
      <c r="AK55" t="s">
        <v>15</v>
      </c>
      <c r="AL55" t="s">
        <v>55</v>
      </c>
      <c r="AM55" t="s">
        <v>10</v>
      </c>
      <c r="AN55" t="s">
        <v>23</v>
      </c>
      <c r="AO55" s="10" t="s">
        <v>42</v>
      </c>
      <c r="AP55" t="s">
        <v>49</v>
      </c>
      <c r="AQ55" s="2" t="s">
        <v>12</v>
      </c>
      <c r="AR55" t="s">
        <v>31</v>
      </c>
      <c r="AS55" t="s">
        <v>53</v>
      </c>
      <c r="AT55" t="s">
        <v>54</v>
      </c>
      <c r="AU55" t="s">
        <v>290</v>
      </c>
      <c r="AV55" t="s">
        <v>30</v>
      </c>
      <c r="AW55" t="s">
        <v>29</v>
      </c>
      <c r="AX55" t="s">
        <v>15</v>
      </c>
      <c r="AY55" t="s">
        <v>55</v>
      </c>
      <c r="AZ55" t="s">
        <v>10</v>
      </c>
      <c r="BA55" t="s">
        <v>23</v>
      </c>
      <c r="BB55" s="10" t="s">
        <v>42</v>
      </c>
      <c r="BC55" t="s">
        <v>49</v>
      </c>
      <c r="BD55" s="2" t="s">
        <v>12</v>
      </c>
      <c r="BE55" t="s">
        <v>31</v>
      </c>
      <c r="BF55" t="s">
        <v>53</v>
      </c>
      <c r="BG55" t="s">
        <v>54</v>
      </c>
      <c r="BH55" t="s">
        <v>290</v>
      </c>
      <c r="BI55" t="s">
        <v>30</v>
      </c>
      <c r="BJ55" t="s">
        <v>29</v>
      </c>
      <c r="BK55" t="s">
        <v>15</v>
      </c>
      <c r="BL55" t="s">
        <v>55</v>
      </c>
      <c r="BM55" t="s">
        <v>47</v>
      </c>
      <c r="BN55" t="s">
        <v>23</v>
      </c>
      <c r="BO55" s="10" t="s">
        <v>42</v>
      </c>
      <c r="BP55" t="s">
        <v>49</v>
      </c>
      <c r="BQ55" s="2" t="s">
        <v>12</v>
      </c>
      <c r="BR55" t="s">
        <v>31</v>
      </c>
      <c r="BS55" t="s">
        <v>53</v>
      </c>
      <c r="BT55" t="s">
        <v>54</v>
      </c>
      <c r="BU55" t="s">
        <v>290</v>
      </c>
      <c r="BV55" t="s">
        <v>30</v>
      </c>
      <c r="BW55" t="s">
        <v>29</v>
      </c>
      <c r="BX55" t="s">
        <v>15</v>
      </c>
      <c r="BY55" t="s">
        <v>55</v>
      </c>
      <c r="BZ55" t="s">
        <v>10</v>
      </c>
      <c r="CA55" t="s">
        <v>23</v>
      </c>
      <c r="CB55" s="10" t="s">
        <v>42</v>
      </c>
      <c r="CC55" t="s">
        <v>49</v>
      </c>
      <c r="CD55" s="2" t="s">
        <v>12</v>
      </c>
      <c r="CE55" t="s">
        <v>31</v>
      </c>
      <c r="CF55" t="s">
        <v>53</v>
      </c>
      <c r="CG55" t="s">
        <v>54</v>
      </c>
      <c r="CH55" t="s">
        <v>290</v>
      </c>
      <c r="CI55" t="s">
        <v>30</v>
      </c>
      <c r="CJ55" t="s">
        <v>29</v>
      </c>
      <c r="CK55" t="s">
        <v>15</v>
      </c>
      <c r="CL55" t="s">
        <v>55</v>
      </c>
      <c r="CM55" t="s">
        <v>10</v>
      </c>
      <c r="CN55" t="s">
        <v>23</v>
      </c>
      <c r="CO55" s="10" t="s">
        <v>42</v>
      </c>
      <c r="CP55" t="s">
        <v>49</v>
      </c>
      <c r="CQ55" s="2" t="s">
        <v>12</v>
      </c>
      <c r="CR55" t="s">
        <v>31</v>
      </c>
      <c r="CS55" t="s">
        <v>53</v>
      </c>
      <c r="CT55" t="s">
        <v>54</v>
      </c>
      <c r="CU55" t="s">
        <v>290</v>
      </c>
      <c r="CV55" t="s">
        <v>30</v>
      </c>
      <c r="CW55" t="s">
        <v>29</v>
      </c>
      <c r="CX55" t="s">
        <v>15</v>
      </c>
      <c r="CY55" t="s">
        <v>55</v>
      </c>
      <c r="CZ55" t="s">
        <v>10</v>
      </c>
      <c r="DA55" t="s">
        <v>23</v>
      </c>
      <c r="DB55" s="10" t="s">
        <v>42</v>
      </c>
      <c r="DC55" s="10" t="s">
        <v>290</v>
      </c>
    </row>
    <row r="56" spans="1:211" ht="15" x14ac:dyDescent="0.25">
      <c r="B56" s="89"/>
      <c r="D56" s="1">
        <v>30</v>
      </c>
      <c r="P56" t="s">
        <v>51</v>
      </c>
      <c r="Q56" s="1">
        <v>12</v>
      </c>
      <c r="R56">
        <v>790</v>
      </c>
      <c r="S56">
        <v>141</v>
      </c>
      <c r="T56">
        <v>2820</v>
      </c>
      <c r="U56">
        <v>3750</v>
      </c>
      <c r="V56">
        <v>15.2</v>
      </c>
      <c r="W56">
        <f>66.3+122</f>
        <v>188.3</v>
      </c>
      <c r="X56">
        <v>2620</v>
      </c>
      <c r="Y56">
        <v>22.6</v>
      </c>
      <c r="Z56">
        <v>394</v>
      </c>
      <c r="AA56">
        <v>26.9</v>
      </c>
      <c r="AB56" s="10">
        <v>1560</v>
      </c>
      <c r="AC56" t="s">
        <v>52</v>
      </c>
      <c r="AD56" s="1">
        <v>12</v>
      </c>
      <c r="AE56">
        <v>1870</v>
      </c>
      <c r="AF56">
        <v>214</v>
      </c>
      <c r="AG56">
        <v>2950</v>
      </c>
      <c r="AH56">
        <v>5030</v>
      </c>
      <c r="AI56" s="5">
        <v>18</v>
      </c>
      <c r="AJ56">
        <f>115+191</f>
        <v>306</v>
      </c>
      <c r="AK56">
        <v>2700</v>
      </c>
      <c r="AL56">
        <v>34.5</v>
      </c>
      <c r="AM56">
        <v>506</v>
      </c>
      <c r="AN56">
        <v>39.6</v>
      </c>
      <c r="AO56" s="10">
        <v>1560</v>
      </c>
      <c r="AP56" t="s">
        <v>51</v>
      </c>
      <c r="AQ56" s="1">
        <v>12</v>
      </c>
      <c r="AR56">
        <v>1490</v>
      </c>
      <c r="AS56">
        <v>359</v>
      </c>
      <c r="AT56">
        <v>4130</v>
      </c>
      <c r="AU56">
        <v>5980</v>
      </c>
      <c r="AV56">
        <v>23.6</v>
      </c>
      <c r="AW56">
        <f>211+279</f>
        <v>490</v>
      </c>
      <c r="AX56">
        <v>2480</v>
      </c>
      <c r="AY56">
        <v>58.4</v>
      </c>
      <c r="AZ56">
        <v>680</v>
      </c>
      <c r="BA56">
        <v>64.400000000000006</v>
      </c>
      <c r="BB56" s="10">
        <v>2340</v>
      </c>
      <c r="BC56" t="s">
        <v>51</v>
      </c>
      <c r="BD56" s="1">
        <v>12</v>
      </c>
      <c r="BE56">
        <v>439</v>
      </c>
      <c r="BF56">
        <v>509</v>
      </c>
      <c r="BG56">
        <v>4840</v>
      </c>
      <c r="BH56">
        <v>5780</v>
      </c>
      <c r="BI56">
        <f>27.1+2.97</f>
        <v>30.07</v>
      </c>
      <c r="BJ56">
        <f>364+264</f>
        <v>628</v>
      </c>
      <c r="BK56">
        <v>2050</v>
      </c>
      <c r="BL56">
        <v>82.3</v>
      </c>
      <c r="BM56">
        <v>295</v>
      </c>
      <c r="BN56">
        <v>91.3</v>
      </c>
      <c r="BO56" s="10">
        <v>2780</v>
      </c>
      <c r="BP56" t="s">
        <v>51</v>
      </c>
      <c r="BQ56" s="1">
        <v>12</v>
      </c>
      <c r="BR56">
        <v>3040</v>
      </c>
      <c r="BS56">
        <v>722</v>
      </c>
      <c r="BT56">
        <v>5550</v>
      </c>
      <c r="BU56">
        <v>9310</v>
      </c>
      <c r="BV56">
        <v>44.4</v>
      </c>
      <c r="BW56">
        <v>1060</v>
      </c>
      <c r="BX56">
        <v>3310</v>
      </c>
      <c r="BY56">
        <v>122</v>
      </c>
      <c r="BZ56">
        <v>1510</v>
      </c>
      <c r="CA56">
        <v>106</v>
      </c>
      <c r="CB56" s="10">
        <v>3230</v>
      </c>
      <c r="CC56" t="s">
        <v>51</v>
      </c>
      <c r="CD56" s="1">
        <v>12</v>
      </c>
      <c r="CE56">
        <v>3720</v>
      </c>
      <c r="CF56">
        <v>969</v>
      </c>
      <c r="CG56">
        <v>6260</v>
      </c>
      <c r="CH56">
        <v>10900</v>
      </c>
      <c r="CI56">
        <v>56.2</v>
      </c>
      <c r="CJ56">
        <v>1340</v>
      </c>
      <c r="CK56">
        <v>3790</v>
      </c>
      <c r="CL56">
        <v>170</v>
      </c>
      <c r="CM56">
        <v>1890</v>
      </c>
      <c r="CN56">
        <v>111</v>
      </c>
      <c r="CO56" s="10">
        <v>3670</v>
      </c>
      <c r="CP56" t="s">
        <v>51</v>
      </c>
      <c r="CQ56" s="1">
        <v>12</v>
      </c>
      <c r="CR56">
        <v>5060</v>
      </c>
      <c r="CS56">
        <v>1230</v>
      </c>
      <c r="CT56">
        <v>6610</v>
      </c>
      <c r="CU56">
        <v>12900</v>
      </c>
      <c r="CV56">
        <v>77.900000000000006</v>
      </c>
      <c r="CW56">
        <v>1990</v>
      </c>
      <c r="CX56">
        <v>4160</v>
      </c>
      <c r="CY56">
        <v>218</v>
      </c>
      <c r="CZ56">
        <v>2520</v>
      </c>
      <c r="DA56">
        <v>127</v>
      </c>
      <c r="DB56" s="10">
        <v>3890</v>
      </c>
    </row>
    <row r="57" spans="1:211" ht="15" x14ac:dyDescent="0.25">
      <c r="B57" s="89"/>
      <c r="D57" s="1">
        <v>40</v>
      </c>
      <c r="P57" t="s">
        <v>51</v>
      </c>
      <c r="Q57" s="1">
        <v>20</v>
      </c>
      <c r="R57">
        <v>790</v>
      </c>
      <c r="Z57">
        <v>394</v>
      </c>
      <c r="AC57" t="s">
        <v>52</v>
      </c>
      <c r="AD57" s="1">
        <v>20</v>
      </c>
      <c r="AE57">
        <v>1870</v>
      </c>
      <c r="AI57" s="5">
        <f>AF41*$AI$70</f>
        <v>20.757994937846426</v>
      </c>
      <c r="AJ57">
        <f>$AJ$70*(AG23+$AE$8)</f>
        <v>405.77886820579465</v>
      </c>
      <c r="AK57">
        <f>$AK$70*(AK23+$AE$7)</f>
        <v>2832.48932680501</v>
      </c>
      <c r="AL57">
        <f>$AL$70*AI23</f>
        <v>50.454395604395586</v>
      </c>
      <c r="AM57">
        <v>506</v>
      </c>
      <c r="AP57" t="s">
        <v>51</v>
      </c>
      <c r="AQ57" s="1">
        <v>20</v>
      </c>
      <c r="BC57" t="s">
        <v>51</v>
      </c>
      <c r="BD57" s="1">
        <v>20</v>
      </c>
      <c r="BE57">
        <v>439</v>
      </c>
      <c r="BM57">
        <v>295</v>
      </c>
      <c r="BP57" t="s">
        <v>51</v>
      </c>
      <c r="BQ57" s="1">
        <v>20</v>
      </c>
      <c r="CC57" t="s">
        <v>51</v>
      </c>
      <c r="CD57" s="1">
        <v>20</v>
      </c>
      <c r="CP57" t="s">
        <v>51</v>
      </c>
      <c r="CQ57" s="1">
        <v>20</v>
      </c>
      <c r="DB57" s="10"/>
    </row>
    <row r="58" spans="1:211" ht="15" x14ac:dyDescent="0.25">
      <c r="B58" s="89"/>
      <c r="D58" s="1">
        <v>50</v>
      </c>
      <c r="P58" t="s">
        <v>51</v>
      </c>
      <c r="Q58" s="1">
        <v>30</v>
      </c>
      <c r="R58">
        <v>790</v>
      </c>
      <c r="Z58">
        <v>394</v>
      </c>
      <c r="AC58" t="s">
        <v>52</v>
      </c>
      <c r="AD58" s="1">
        <v>30</v>
      </c>
      <c r="AE58">
        <v>1870</v>
      </c>
      <c r="AI58" s="5">
        <f t="shared" ref="AI58:AI64" si="20">AF42*$AI$70</f>
        <v>24.34951622286879</v>
      </c>
      <c r="AJ58">
        <f>$AJ$70*(AG24+$AE$8)</f>
        <v>502.70057239507685</v>
      </c>
      <c r="AK58">
        <f t="shared" ref="AK58:AK64" si="21">$AK$70*(AK24+$AE$7)</f>
        <v>3097.4984350593627</v>
      </c>
      <c r="AL58">
        <f t="shared" ref="AL58:AL64" si="22">$AL$70*AI24</f>
        <v>70.370604395604374</v>
      </c>
      <c r="AM58">
        <v>506</v>
      </c>
      <c r="AP58" t="s">
        <v>51</v>
      </c>
      <c r="AQ58" s="1">
        <v>30</v>
      </c>
      <c r="BC58" t="s">
        <v>51</v>
      </c>
      <c r="BD58" s="1">
        <v>30</v>
      </c>
      <c r="BE58">
        <v>439</v>
      </c>
      <c r="BM58">
        <v>295</v>
      </c>
      <c r="BP58" t="s">
        <v>51</v>
      </c>
      <c r="BQ58" s="1">
        <v>30</v>
      </c>
      <c r="CC58" t="s">
        <v>51</v>
      </c>
      <c r="CD58" s="1">
        <v>30</v>
      </c>
      <c r="CP58" t="s">
        <v>51</v>
      </c>
      <c r="CQ58" s="1">
        <v>30</v>
      </c>
      <c r="DB58" s="10"/>
    </row>
    <row r="59" spans="1:211" ht="15" x14ac:dyDescent="0.25">
      <c r="B59" s="89"/>
      <c r="D59" s="1">
        <v>60</v>
      </c>
      <c r="P59" t="s">
        <v>51</v>
      </c>
      <c r="Q59" s="1">
        <v>40</v>
      </c>
      <c r="R59">
        <v>790</v>
      </c>
      <c r="Z59">
        <v>394</v>
      </c>
      <c r="AC59" t="s">
        <v>52</v>
      </c>
      <c r="AD59" s="1">
        <v>40</v>
      </c>
      <c r="AE59">
        <v>1870</v>
      </c>
      <c r="AI59" s="5">
        <f t="shared" si="20"/>
        <v>27.941037507891156</v>
      </c>
      <c r="AJ59">
        <f t="shared" ref="AJ59:AJ64" si="23">$AJ$70*(AG25+$AE$8)</f>
        <v>599.62227658435904</v>
      </c>
      <c r="AK59">
        <f t="shared" si="21"/>
        <v>3362.5075433137149</v>
      </c>
      <c r="AL59">
        <f t="shared" si="22"/>
        <v>90.286813186813163</v>
      </c>
      <c r="AM59">
        <v>506</v>
      </c>
      <c r="AP59" t="s">
        <v>51</v>
      </c>
      <c r="AQ59" s="1">
        <v>40</v>
      </c>
      <c r="BC59" t="s">
        <v>51</v>
      </c>
      <c r="BD59" s="1">
        <v>40</v>
      </c>
      <c r="BE59">
        <v>439</v>
      </c>
      <c r="BM59">
        <v>295</v>
      </c>
      <c r="BP59" t="s">
        <v>51</v>
      </c>
      <c r="BQ59" s="1">
        <v>40</v>
      </c>
      <c r="CC59" t="s">
        <v>51</v>
      </c>
      <c r="CD59" s="1">
        <v>40</v>
      </c>
      <c r="CP59" t="s">
        <v>51</v>
      </c>
      <c r="CQ59" s="1">
        <v>40</v>
      </c>
      <c r="DB59" s="10"/>
    </row>
    <row r="60" spans="1:211" ht="15" x14ac:dyDescent="0.25">
      <c r="B60" s="89"/>
      <c r="D60" s="1">
        <v>70</v>
      </c>
      <c r="P60" t="s">
        <v>51</v>
      </c>
      <c r="Q60" s="1">
        <v>50</v>
      </c>
      <c r="R60">
        <v>790</v>
      </c>
      <c r="Z60">
        <v>394</v>
      </c>
      <c r="AC60" t="s">
        <v>52</v>
      </c>
      <c r="AD60" s="1">
        <v>50</v>
      </c>
      <c r="AE60">
        <v>1870</v>
      </c>
      <c r="AI60" s="5">
        <f t="shared" si="20"/>
        <v>30.218318552538026</v>
      </c>
      <c r="AJ60">
        <f t="shared" si="23"/>
        <v>668.54437734118198</v>
      </c>
      <c r="AK60">
        <f t="shared" si="21"/>
        <v>3362.5075433137149</v>
      </c>
      <c r="AL60">
        <f t="shared" si="22"/>
        <v>104.44945054945053</v>
      </c>
      <c r="AM60">
        <v>506</v>
      </c>
      <c r="AP60" t="s">
        <v>51</v>
      </c>
      <c r="AQ60" s="1">
        <v>50</v>
      </c>
      <c r="BC60" t="s">
        <v>51</v>
      </c>
      <c r="BD60" s="1">
        <v>50</v>
      </c>
      <c r="BE60">
        <v>439</v>
      </c>
      <c r="BM60">
        <v>295</v>
      </c>
      <c r="BP60" t="s">
        <v>51</v>
      </c>
      <c r="BQ60" s="1">
        <v>50</v>
      </c>
      <c r="CC60" t="s">
        <v>51</v>
      </c>
      <c r="CD60" s="1">
        <v>50</v>
      </c>
      <c r="CP60" t="s">
        <v>51</v>
      </c>
      <c r="CQ60" s="1">
        <v>50</v>
      </c>
      <c r="DB60" s="10"/>
    </row>
    <row r="61" spans="1:211" ht="15" x14ac:dyDescent="0.25">
      <c r="B61" s="89"/>
      <c r="D61" s="1">
        <v>80</v>
      </c>
      <c r="P61" t="s">
        <v>51</v>
      </c>
      <c r="Q61" s="1">
        <v>60</v>
      </c>
      <c r="R61">
        <v>790</v>
      </c>
      <c r="Z61">
        <v>394</v>
      </c>
      <c r="AC61" t="s">
        <v>52</v>
      </c>
      <c r="AD61" s="1">
        <v>60</v>
      </c>
      <c r="AE61">
        <v>1870</v>
      </c>
      <c r="AI61" s="5">
        <f t="shared" si="20"/>
        <v>33.259467266340458</v>
      </c>
      <c r="AJ61">
        <f t="shared" si="23"/>
        <v>754.69700328721046</v>
      </c>
      <c r="AK61">
        <f t="shared" si="21"/>
        <v>3495.0120974408915</v>
      </c>
      <c r="AL61">
        <f t="shared" si="22"/>
        <v>122.1527472527472</v>
      </c>
      <c r="AM61">
        <v>506</v>
      </c>
      <c r="AP61" t="s">
        <v>51</v>
      </c>
      <c r="AQ61" s="1">
        <v>60</v>
      </c>
      <c r="BC61" t="s">
        <v>51</v>
      </c>
      <c r="BD61" s="1">
        <v>60</v>
      </c>
      <c r="BE61">
        <v>439</v>
      </c>
      <c r="BM61">
        <v>295</v>
      </c>
      <c r="BP61" t="s">
        <v>51</v>
      </c>
      <c r="BQ61" s="1">
        <v>60</v>
      </c>
      <c r="CC61" t="s">
        <v>51</v>
      </c>
      <c r="CD61" s="1">
        <v>60</v>
      </c>
      <c r="CP61" t="s">
        <v>51</v>
      </c>
      <c r="CQ61" s="1">
        <v>60</v>
      </c>
      <c r="DB61" s="10"/>
    </row>
    <row r="62" spans="1:211" ht="15" x14ac:dyDescent="0.25">
      <c r="B62" s="89"/>
      <c r="D62" s="1">
        <v>90</v>
      </c>
      <c r="P62" t="s">
        <v>51</v>
      </c>
      <c r="Q62" s="1">
        <v>70</v>
      </c>
      <c r="R62">
        <v>790</v>
      </c>
      <c r="Z62">
        <v>394</v>
      </c>
      <c r="AC62" t="s">
        <v>52</v>
      </c>
      <c r="AD62" s="1">
        <v>70</v>
      </c>
      <c r="AE62">
        <v>1870</v>
      </c>
      <c r="AI62" s="5">
        <f t="shared" si="20"/>
        <v>35.714660892600357</v>
      </c>
      <c r="AJ62">
        <f t="shared" si="23"/>
        <v>829.00364316566015</v>
      </c>
      <c r="AK62">
        <f t="shared" si="21"/>
        <v>3495.0120974408915</v>
      </c>
      <c r="AL62">
        <f t="shared" si="22"/>
        <v>137.4218406593406</v>
      </c>
      <c r="AM62">
        <v>506</v>
      </c>
      <c r="AP62" t="s">
        <v>51</v>
      </c>
      <c r="AQ62" s="1">
        <v>70</v>
      </c>
      <c r="BC62" t="s">
        <v>51</v>
      </c>
      <c r="BD62" s="1">
        <v>70</v>
      </c>
      <c r="BE62">
        <v>439</v>
      </c>
      <c r="BM62">
        <v>295</v>
      </c>
      <c r="BP62" t="s">
        <v>51</v>
      </c>
      <c r="BQ62" s="1">
        <v>70</v>
      </c>
      <c r="CC62" t="s">
        <v>51</v>
      </c>
      <c r="CD62" s="1">
        <v>70</v>
      </c>
      <c r="CP62" t="s">
        <v>51</v>
      </c>
      <c r="CQ62" s="1">
        <v>70</v>
      </c>
      <c r="DB62" s="10"/>
    </row>
    <row r="63" spans="1:211" ht="15" x14ac:dyDescent="0.25">
      <c r="B63" s="89"/>
      <c r="D63" s="1">
        <v>100</v>
      </c>
      <c r="P63" t="s">
        <v>51</v>
      </c>
      <c r="Q63" s="1">
        <v>80</v>
      </c>
      <c r="R63">
        <v>790</v>
      </c>
      <c r="Z63">
        <v>394</v>
      </c>
      <c r="AC63" t="s">
        <v>52</v>
      </c>
      <c r="AD63" s="1">
        <v>80</v>
      </c>
      <c r="AE63">
        <v>1870</v>
      </c>
      <c r="AI63" s="5">
        <f t="shared" si="20"/>
        <v>38.577897024789763</v>
      </c>
      <c r="AJ63">
        <f t="shared" si="23"/>
        <v>909.77172999006189</v>
      </c>
      <c r="AK63">
        <f t="shared" si="21"/>
        <v>3627.5166515680676</v>
      </c>
      <c r="AL63">
        <f t="shared" si="22"/>
        <v>154.01868131868127</v>
      </c>
      <c r="AM63">
        <v>506</v>
      </c>
      <c r="AP63" t="s">
        <v>51</v>
      </c>
      <c r="AQ63" s="1">
        <v>80</v>
      </c>
      <c r="BC63" t="s">
        <v>51</v>
      </c>
      <c r="BD63" s="1">
        <v>80</v>
      </c>
      <c r="BE63">
        <v>439</v>
      </c>
      <c r="BM63">
        <v>295</v>
      </c>
      <c r="BP63" t="s">
        <v>51</v>
      </c>
      <c r="BQ63" s="1">
        <v>80</v>
      </c>
      <c r="CC63" t="s">
        <v>51</v>
      </c>
      <c r="CD63" s="1">
        <v>80</v>
      </c>
      <c r="CP63" t="s">
        <v>51</v>
      </c>
      <c r="CQ63" s="1">
        <v>80</v>
      </c>
      <c r="DB63" s="10"/>
    </row>
    <row r="64" spans="1:211" ht="15" x14ac:dyDescent="0.25">
      <c r="B64" s="88">
        <v>75</v>
      </c>
      <c r="C64" t="s">
        <v>51</v>
      </c>
      <c r="P64" t="s">
        <v>51</v>
      </c>
      <c r="Q64" s="1">
        <v>90</v>
      </c>
      <c r="R64">
        <v>790</v>
      </c>
      <c r="Z64">
        <v>394</v>
      </c>
      <c r="AC64" t="s">
        <v>52</v>
      </c>
      <c r="AD64" s="1">
        <v>90</v>
      </c>
      <c r="AE64">
        <v>1870</v>
      </c>
      <c r="AI64" s="5">
        <f t="shared" si="20"/>
        <v>41.139838200017493</v>
      </c>
      <c r="AJ64">
        <f t="shared" si="23"/>
        <v>987.30909334148771</v>
      </c>
      <c r="AK64">
        <f t="shared" si="21"/>
        <v>3627.5166515680676</v>
      </c>
      <c r="AL64">
        <f t="shared" si="22"/>
        <v>169.95164835164832</v>
      </c>
      <c r="AM64">
        <v>506</v>
      </c>
      <c r="AP64" t="s">
        <v>51</v>
      </c>
      <c r="AQ64" s="1">
        <v>90</v>
      </c>
      <c r="BC64" t="s">
        <v>51</v>
      </c>
      <c r="BD64" s="1">
        <v>90</v>
      </c>
      <c r="BE64">
        <v>439</v>
      </c>
      <c r="BM64">
        <v>295</v>
      </c>
      <c r="BP64" t="s">
        <v>51</v>
      </c>
      <c r="BQ64" s="1">
        <v>90</v>
      </c>
      <c r="CC64" t="s">
        <v>51</v>
      </c>
      <c r="CD64" s="1">
        <v>90</v>
      </c>
      <c r="CP64" t="s">
        <v>51</v>
      </c>
      <c r="CQ64" s="1">
        <v>90</v>
      </c>
      <c r="DB64" s="10"/>
    </row>
    <row r="65" spans="2:106" ht="15" x14ac:dyDescent="0.25">
      <c r="B65" s="89"/>
      <c r="C65" t="s">
        <v>39</v>
      </c>
      <c r="P65" t="s">
        <v>51</v>
      </c>
      <c r="Q65" s="1">
        <v>100</v>
      </c>
      <c r="R65">
        <v>790</v>
      </c>
      <c r="S65">
        <v>677</v>
      </c>
      <c r="T65">
        <v>5660</v>
      </c>
      <c r="U65">
        <v>7120</v>
      </c>
      <c r="V65">
        <v>30.8</v>
      </c>
      <c r="W65">
        <f>197+485</f>
        <v>682</v>
      </c>
      <c r="X65">
        <v>2680</v>
      </c>
      <c r="Y65">
        <v>110</v>
      </c>
      <c r="Z65">
        <v>394</v>
      </c>
      <c r="AA65">
        <v>120</v>
      </c>
      <c r="AB65" s="10">
        <v>3340</v>
      </c>
      <c r="AC65" t="s">
        <v>52</v>
      </c>
      <c r="AD65" s="1">
        <v>100</v>
      </c>
      <c r="AE65">
        <v>1870</v>
      </c>
      <c r="AF65">
        <v>1060</v>
      </c>
      <c r="AG65">
        <v>5790</v>
      </c>
      <c r="AH65">
        <v>8720</v>
      </c>
      <c r="AI65" s="5">
        <v>43.9</v>
      </c>
      <c r="AJ65">
        <f>335+802</f>
        <v>1137</v>
      </c>
      <c r="AK65">
        <v>3760</v>
      </c>
      <c r="AL65">
        <v>186</v>
      </c>
      <c r="AM65">
        <v>506</v>
      </c>
      <c r="AN65">
        <v>120</v>
      </c>
      <c r="AO65" s="10">
        <v>3340</v>
      </c>
      <c r="AP65" t="s">
        <v>51</v>
      </c>
      <c r="AQ65" s="1">
        <v>100</v>
      </c>
      <c r="AR65">
        <v>1490</v>
      </c>
      <c r="AS65">
        <v>1900</v>
      </c>
      <c r="AT65">
        <v>8030</v>
      </c>
      <c r="AU65">
        <v>11400</v>
      </c>
      <c r="AV65">
        <v>71.7</v>
      </c>
      <c r="AW65">
        <f>624+1430</f>
        <v>2054</v>
      </c>
      <c r="AX65">
        <v>3940</v>
      </c>
      <c r="AY65">
        <v>345</v>
      </c>
      <c r="AZ65">
        <v>680</v>
      </c>
      <c r="BA65">
        <v>156</v>
      </c>
      <c r="BB65" s="10">
        <v>4780</v>
      </c>
      <c r="BC65" t="s">
        <v>51</v>
      </c>
      <c r="BD65" s="1">
        <v>100</v>
      </c>
      <c r="BE65">
        <v>439</v>
      </c>
      <c r="BF65">
        <v>2740</v>
      </c>
      <c r="BG65">
        <v>9100</v>
      </c>
      <c r="BH65">
        <f>BE65+BF65+BG65</f>
        <v>12279</v>
      </c>
      <c r="BI65">
        <v>100</v>
      </c>
      <c r="BM65">
        <v>295</v>
      </c>
      <c r="BN65">
        <v>192</v>
      </c>
      <c r="BO65" s="10">
        <v>5450</v>
      </c>
      <c r="BP65" t="s">
        <v>51</v>
      </c>
      <c r="BQ65" s="1">
        <v>100</v>
      </c>
      <c r="BR65">
        <v>3040</v>
      </c>
      <c r="BS65">
        <v>4420</v>
      </c>
      <c r="BT65">
        <v>12600</v>
      </c>
      <c r="BU65">
        <v>20100</v>
      </c>
      <c r="BV65">
        <v>161</v>
      </c>
      <c r="BW65">
        <v>3840</v>
      </c>
      <c r="BX65">
        <v>5960</v>
      </c>
      <c r="BY65">
        <v>823</v>
      </c>
      <c r="BZ65">
        <v>1510</v>
      </c>
      <c r="CA65">
        <v>261</v>
      </c>
      <c r="CB65" s="10">
        <v>7670</v>
      </c>
      <c r="CC65" t="s">
        <v>51</v>
      </c>
      <c r="CD65" s="1">
        <v>100</v>
      </c>
      <c r="CE65">
        <v>3720</v>
      </c>
      <c r="CF65">
        <v>6530</v>
      </c>
      <c r="CG65">
        <v>16900</v>
      </c>
      <c r="CH65">
        <v>27200</v>
      </c>
      <c r="CI65">
        <v>231</v>
      </c>
      <c r="CJ65">
        <v>5520</v>
      </c>
      <c r="CK65">
        <v>7770</v>
      </c>
      <c r="CL65">
        <v>1220</v>
      </c>
      <c r="CM65">
        <v>1890</v>
      </c>
      <c r="CN65">
        <v>353</v>
      </c>
      <c r="CO65" s="10">
        <v>10300</v>
      </c>
      <c r="CP65" t="s">
        <v>51</v>
      </c>
      <c r="CQ65" s="1">
        <v>100</v>
      </c>
      <c r="CR65">
        <v>5060</v>
      </c>
      <c r="CS65">
        <v>8620</v>
      </c>
      <c r="CT65">
        <v>20800</v>
      </c>
      <c r="CU65">
        <v>34500</v>
      </c>
      <c r="CV65">
        <v>310</v>
      </c>
      <c r="CW65">
        <v>7560</v>
      </c>
      <c r="CX65">
        <v>9460</v>
      </c>
      <c r="CY65">
        <v>1620</v>
      </c>
      <c r="CZ65">
        <v>2520</v>
      </c>
      <c r="DA65">
        <v>439</v>
      </c>
      <c r="DB65" s="10">
        <v>12800</v>
      </c>
    </row>
    <row r="66" spans="2:106" ht="15" x14ac:dyDescent="0.25">
      <c r="B66" s="89"/>
      <c r="D66" s="1">
        <v>12</v>
      </c>
      <c r="DB66" s="10"/>
    </row>
    <row r="67" spans="2:106" ht="15" x14ac:dyDescent="0.25">
      <c r="B67" s="89"/>
      <c r="D67" s="1">
        <v>20</v>
      </c>
      <c r="P67" t="s">
        <v>39</v>
      </c>
      <c r="Q67" s="1">
        <v>12</v>
      </c>
      <c r="R67">
        <v>1860</v>
      </c>
      <c r="S67">
        <v>141</v>
      </c>
      <c r="T67">
        <v>2820</v>
      </c>
      <c r="U67">
        <f>R67+S67+T67</f>
        <v>4821</v>
      </c>
      <c r="Z67">
        <v>394</v>
      </c>
      <c r="AD67" s="1"/>
      <c r="AI67">
        <f>AI56/AF40</f>
        <v>0.53369308200342458</v>
      </c>
      <c r="AJ67">
        <f>AJ56/(AG22+AE8)</f>
        <v>1.5799664386214017E-2</v>
      </c>
      <c r="AK67">
        <f>AK56/(AE7+AK22)</f>
        <v>0.14541048167222054</v>
      </c>
      <c r="AL67">
        <f>AL56/AI22</f>
        <v>2.8846153846153841</v>
      </c>
      <c r="AP67" t="s">
        <v>39</v>
      </c>
      <c r="AQ67" s="1">
        <v>12</v>
      </c>
      <c r="BC67" t="s">
        <v>39</v>
      </c>
      <c r="BD67" s="1">
        <v>12</v>
      </c>
      <c r="BE67">
        <v>6700</v>
      </c>
      <c r="BF67">
        <v>507</v>
      </c>
      <c r="BG67">
        <v>4840</v>
      </c>
      <c r="BH67">
        <v>12000</v>
      </c>
      <c r="BI67">
        <v>30.4</v>
      </c>
      <c r="BJ67">
        <v>498</v>
      </c>
      <c r="BK67">
        <v>8440</v>
      </c>
      <c r="BL67">
        <v>82.3</v>
      </c>
      <c r="BM67">
        <v>295</v>
      </c>
      <c r="BN67">
        <v>91.3</v>
      </c>
      <c r="BO67" s="10">
        <v>2780</v>
      </c>
      <c r="BP67" t="s">
        <v>39</v>
      </c>
      <c r="BQ67" s="1">
        <v>12</v>
      </c>
      <c r="BZ67">
        <v>1510</v>
      </c>
      <c r="CC67" t="s">
        <v>39</v>
      </c>
      <c r="CD67" s="1">
        <v>12</v>
      </c>
      <c r="CP67" t="s">
        <v>39</v>
      </c>
      <c r="CQ67" s="1">
        <v>12</v>
      </c>
      <c r="DB67" s="10"/>
    </row>
    <row r="68" spans="2:106" ht="15" x14ac:dyDescent="0.25">
      <c r="B68" s="89"/>
      <c r="D68" s="1">
        <v>30</v>
      </c>
      <c r="P68" t="s">
        <v>39</v>
      </c>
      <c r="Q68" s="1">
        <v>20</v>
      </c>
      <c r="R68">
        <v>1860</v>
      </c>
      <c r="Z68">
        <v>394</v>
      </c>
      <c r="AD68" s="1"/>
      <c r="AI68">
        <f>AI65/AF49</f>
        <v>0.5337824076747939</v>
      </c>
      <c r="AJ68">
        <f>AJ65/(AG31+AE8)</f>
        <v>1.8096450740092314E-2</v>
      </c>
      <c r="AK68">
        <f>AK65/(AE7+AK31)</f>
        <v>0.14540884151499769</v>
      </c>
      <c r="AL68">
        <f>AL65/AI31</f>
        <v>2.8881987577639747</v>
      </c>
      <c r="AP68" t="s">
        <v>39</v>
      </c>
      <c r="AQ68" s="1">
        <v>20</v>
      </c>
      <c r="BC68" t="s">
        <v>39</v>
      </c>
      <c r="BD68" s="1">
        <v>20</v>
      </c>
      <c r="BE68">
        <v>6700</v>
      </c>
      <c r="BM68">
        <v>295</v>
      </c>
      <c r="BP68" t="s">
        <v>39</v>
      </c>
      <c r="BQ68" s="1">
        <v>20</v>
      </c>
      <c r="CC68" t="s">
        <v>39</v>
      </c>
      <c r="CD68" s="1">
        <v>20</v>
      </c>
      <c r="CP68" t="s">
        <v>39</v>
      </c>
      <c r="CQ68" s="1">
        <v>20</v>
      </c>
      <c r="DB68" s="10"/>
    </row>
    <row r="69" spans="2:106" ht="15" x14ac:dyDescent="0.25">
      <c r="B69" s="89"/>
      <c r="D69" s="1">
        <v>40</v>
      </c>
      <c r="P69" t="s">
        <v>39</v>
      </c>
      <c r="Q69" s="1">
        <v>30</v>
      </c>
      <c r="R69">
        <v>1860</v>
      </c>
      <c r="Z69">
        <v>394</v>
      </c>
      <c r="AD69" s="1"/>
      <c r="AP69" t="s">
        <v>39</v>
      </c>
      <c r="AQ69" s="1">
        <v>30</v>
      </c>
      <c r="BC69" t="s">
        <v>39</v>
      </c>
      <c r="BD69" s="1">
        <v>30</v>
      </c>
      <c r="BE69">
        <v>6700</v>
      </c>
      <c r="BM69">
        <v>295</v>
      </c>
      <c r="BP69" t="s">
        <v>39</v>
      </c>
      <c r="BQ69" s="1">
        <v>30</v>
      </c>
      <c r="CC69" t="s">
        <v>39</v>
      </c>
      <c r="CD69" s="1">
        <v>30</v>
      </c>
      <c r="CP69" t="s">
        <v>39</v>
      </c>
      <c r="CQ69" s="1">
        <v>30</v>
      </c>
      <c r="DB69" s="10"/>
    </row>
    <row r="70" spans="2:106" ht="15" x14ac:dyDescent="0.25">
      <c r="B70" s="89"/>
      <c r="D70" s="1">
        <v>50</v>
      </c>
      <c r="P70" t="s">
        <v>39</v>
      </c>
      <c r="Q70" s="1">
        <v>40</v>
      </c>
      <c r="R70">
        <v>1860</v>
      </c>
      <c r="Z70">
        <v>394</v>
      </c>
      <c r="AD70" s="1"/>
      <c r="AI70">
        <f>AVERAGE(AI67:AI68)</f>
        <v>0.53373774483910918</v>
      </c>
      <c r="AJ70">
        <f>AVERAGE(AJ67:AJ68)</f>
        <v>1.6948057563153165E-2</v>
      </c>
      <c r="AK70">
        <f>AVERAGE(AK67:AK68)</f>
        <v>0.14540966159360913</v>
      </c>
      <c r="AL70">
        <f>AVERAGE(AL67:AL68)</f>
        <v>2.8864070711896792</v>
      </c>
      <c r="AP70" t="s">
        <v>39</v>
      </c>
      <c r="AQ70" s="1">
        <v>40</v>
      </c>
      <c r="BC70" t="s">
        <v>39</v>
      </c>
      <c r="BD70" s="1">
        <v>40</v>
      </c>
      <c r="BE70">
        <v>6700</v>
      </c>
      <c r="BM70">
        <v>295</v>
      </c>
      <c r="BP70" t="s">
        <v>39</v>
      </c>
      <c r="BQ70" s="1">
        <v>40</v>
      </c>
      <c r="CC70" t="s">
        <v>39</v>
      </c>
      <c r="CD70" s="1">
        <v>40</v>
      </c>
      <c r="CP70" t="s">
        <v>39</v>
      </c>
      <c r="CQ70" s="1">
        <v>40</v>
      </c>
      <c r="DB70" s="10"/>
    </row>
    <row r="71" spans="2:106" ht="15" x14ac:dyDescent="0.25">
      <c r="B71" s="89"/>
      <c r="D71" s="1">
        <v>60</v>
      </c>
      <c r="P71" t="s">
        <v>39</v>
      </c>
      <c r="Q71" s="1">
        <v>50</v>
      </c>
      <c r="R71">
        <v>1860</v>
      </c>
      <c r="Z71">
        <v>394</v>
      </c>
      <c r="AD71" s="1"/>
      <c r="AP71" t="s">
        <v>39</v>
      </c>
      <c r="AQ71" s="1">
        <v>50</v>
      </c>
      <c r="BC71" t="s">
        <v>39</v>
      </c>
      <c r="BD71" s="1">
        <v>50</v>
      </c>
      <c r="BE71">
        <v>6700</v>
      </c>
      <c r="BM71">
        <v>295</v>
      </c>
      <c r="BP71" t="s">
        <v>39</v>
      </c>
      <c r="BQ71" s="1">
        <v>50</v>
      </c>
      <c r="CC71" t="s">
        <v>39</v>
      </c>
      <c r="CD71" s="1">
        <v>50</v>
      </c>
      <c r="CP71" t="s">
        <v>39</v>
      </c>
      <c r="CQ71" s="1">
        <v>50</v>
      </c>
      <c r="DB71" s="10"/>
    </row>
    <row r="72" spans="2:106" ht="15" x14ac:dyDescent="0.25">
      <c r="B72" s="89"/>
      <c r="D72" s="1">
        <v>70</v>
      </c>
      <c r="P72" t="s">
        <v>39</v>
      </c>
      <c r="Q72" s="1">
        <v>60</v>
      </c>
      <c r="R72">
        <v>1860</v>
      </c>
      <c r="Z72">
        <v>394</v>
      </c>
      <c r="AD72" s="1"/>
      <c r="AP72" t="s">
        <v>39</v>
      </c>
      <c r="AQ72" s="1">
        <v>60</v>
      </c>
      <c r="BC72" t="s">
        <v>39</v>
      </c>
      <c r="BD72" s="1">
        <v>60</v>
      </c>
      <c r="BE72">
        <v>6700</v>
      </c>
      <c r="BM72">
        <v>295</v>
      </c>
      <c r="BP72" t="s">
        <v>39</v>
      </c>
      <c r="BQ72" s="1">
        <v>60</v>
      </c>
      <c r="CC72" t="s">
        <v>39</v>
      </c>
      <c r="CD72" s="1">
        <v>60</v>
      </c>
      <c r="CP72" t="s">
        <v>39</v>
      </c>
      <c r="CQ72" s="1">
        <v>60</v>
      </c>
      <c r="DB72" s="10"/>
    </row>
    <row r="73" spans="2:106" ht="15" x14ac:dyDescent="0.25">
      <c r="B73" s="89"/>
      <c r="D73" s="1">
        <v>80</v>
      </c>
      <c r="P73" t="s">
        <v>39</v>
      </c>
      <c r="Q73" s="1">
        <v>70</v>
      </c>
      <c r="R73">
        <v>1860</v>
      </c>
      <c r="Z73">
        <v>394</v>
      </c>
      <c r="AD73" s="1"/>
      <c r="AP73" t="s">
        <v>39</v>
      </c>
      <c r="AQ73" s="1">
        <v>70</v>
      </c>
      <c r="BC73" t="s">
        <v>39</v>
      </c>
      <c r="BD73" s="1">
        <v>70</v>
      </c>
      <c r="BE73">
        <v>6700</v>
      </c>
      <c r="BM73">
        <v>295</v>
      </c>
      <c r="BP73" t="s">
        <v>39</v>
      </c>
      <c r="BQ73" s="1">
        <v>70</v>
      </c>
      <c r="CC73" t="s">
        <v>39</v>
      </c>
      <c r="CD73" s="1">
        <v>70</v>
      </c>
      <c r="CP73" t="s">
        <v>39</v>
      </c>
      <c r="CQ73" s="1">
        <v>70</v>
      </c>
      <c r="DB73" s="10"/>
    </row>
    <row r="74" spans="2:106" ht="15" x14ac:dyDescent="0.25">
      <c r="B74" s="89"/>
      <c r="D74" s="1">
        <v>90</v>
      </c>
      <c r="P74" t="s">
        <v>39</v>
      </c>
      <c r="Q74" s="1">
        <v>80</v>
      </c>
      <c r="R74">
        <v>1860</v>
      </c>
      <c r="Z74">
        <v>394</v>
      </c>
      <c r="AD74" s="1"/>
      <c r="AP74" t="s">
        <v>39</v>
      </c>
      <c r="AQ74" s="1">
        <v>80</v>
      </c>
      <c r="BC74" t="s">
        <v>39</v>
      </c>
      <c r="BD74" s="1">
        <v>80</v>
      </c>
      <c r="BE74">
        <v>6700</v>
      </c>
      <c r="BM74">
        <v>295</v>
      </c>
      <c r="BP74" t="s">
        <v>39</v>
      </c>
      <c r="BQ74" s="1">
        <v>80</v>
      </c>
      <c r="CC74" t="s">
        <v>39</v>
      </c>
      <c r="CD74" s="1">
        <v>80</v>
      </c>
      <c r="CP74" t="s">
        <v>39</v>
      </c>
      <c r="CQ74" s="1">
        <v>80</v>
      </c>
      <c r="DB74" s="10"/>
    </row>
    <row r="75" spans="2:106" ht="15" x14ac:dyDescent="0.25">
      <c r="B75" s="89"/>
      <c r="D75" s="1">
        <v>100</v>
      </c>
      <c r="P75" t="s">
        <v>39</v>
      </c>
      <c r="Q75" s="1">
        <v>90</v>
      </c>
      <c r="R75">
        <v>1860</v>
      </c>
      <c r="Z75">
        <v>394</v>
      </c>
      <c r="AD75" s="1"/>
      <c r="AP75" t="s">
        <v>39</v>
      </c>
      <c r="AQ75" s="1">
        <v>90</v>
      </c>
      <c r="BC75" t="s">
        <v>39</v>
      </c>
      <c r="BD75" s="1">
        <v>90</v>
      </c>
      <c r="BE75">
        <v>6700</v>
      </c>
      <c r="BM75">
        <v>295</v>
      </c>
      <c r="BP75" t="s">
        <v>39</v>
      </c>
      <c r="BQ75" s="1">
        <v>90</v>
      </c>
      <c r="CC75" t="s">
        <v>39</v>
      </c>
      <c r="CD75" s="1">
        <v>90</v>
      </c>
      <c r="CP75" t="s">
        <v>39</v>
      </c>
      <c r="CQ75" s="1">
        <v>90</v>
      </c>
      <c r="DB75" s="10"/>
    </row>
    <row r="76" spans="2:106" ht="15" x14ac:dyDescent="0.25">
      <c r="B76" s="88">
        <v>100</v>
      </c>
      <c r="C76" t="s">
        <v>51</v>
      </c>
      <c r="P76" t="s">
        <v>39</v>
      </c>
      <c r="Q76" s="1">
        <v>100</v>
      </c>
      <c r="R76">
        <v>1860</v>
      </c>
      <c r="S76">
        <v>677</v>
      </c>
      <c r="T76">
        <v>5660</v>
      </c>
      <c r="U76">
        <v>8190</v>
      </c>
      <c r="V76">
        <v>30.8</v>
      </c>
      <c r="W76">
        <v>508</v>
      </c>
      <c r="X76">
        <v>3770</v>
      </c>
      <c r="Y76">
        <v>110</v>
      </c>
      <c r="Z76">
        <v>394</v>
      </c>
      <c r="AA76">
        <v>120</v>
      </c>
      <c r="AB76" s="10">
        <v>3340</v>
      </c>
      <c r="AD76" s="1"/>
      <c r="AP76" t="s">
        <v>39</v>
      </c>
      <c r="AQ76" s="1">
        <v>100</v>
      </c>
      <c r="AR76">
        <v>6780</v>
      </c>
      <c r="AS76">
        <v>1900</v>
      </c>
      <c r="AT76">
        <v>8030</v>
      </c>
      <c r="AU76">
        <v>15900</v>
      </c>
      <c r="AV76">
        <v>71.7</v>
      </c>
      <c r="AX76">
        <v>9340</v>
      </c>
      <c r="AY76">
        <v>345</v>
      </c>
      <c r="AZ76">
        <v>680</v>
      </c>
      <c r="BA76">
        <v>156</v>
      </c>
      <c r="BB76" s="10">
        <v>4780</v>
      </c>
      <c r="BC76" t="s">
        <v>39</v>
      </c>
      <c r="BD76" s="1">
        <v>100</v>
      </c>
      <c r="BE76">
        <v>6700</v>
      </c>
      <c r="BF76">
        <v>2740</v>
      </c>
      <c r="BG76">
        <v>9100</v>
      </c>
      <c r="BH76">
        <v>18500</v>
      </c>
      <c r="BI76">
        <v>100</v>
      </c>
      <c r="BJ76">
        <v>2170</v>
      </c>
      <c r="BK76">
        <v>10000</v>
      </c>
      <c r="BL76">
        <v>504</v>
      </c>
      <c r="BM76">
        <v>295</v>
      </c>
      <c r="BN76">
        <v>192</v>
      </c>
      <c r="BO76" s="10">
        <v>5450</v>
      </c>
      <c r="BP76" t="s">
        <v>39</v>
      </c>
      <c r="BQ76" s="1">
        <v>100</v>
      </c>
      <c r="BR76">
        <v>11600</v>
      </c>
      <c r="BS76">
        <v>4420</v>
      </c>
      <c r="BT76">
        <v>12600</v>
      </c>
      <c r="BU76">
        <v>28700</v>
      </c>
      <c r="BV76">
        <v>161</v>
      </c>
      <c r="BW76">
        <v>3520</v>
      </c>
      <c r="BX76">
        <v>15300</v>
      </c>
      <c r="BY76">
        <v>823</v>
      </c>
      <c r="BZ76">
        <v>1510</v>
      </c>
      <c r="CA76">
        <v>261</v>
      </c>
      <c r="CB76" s="10">
        <v>7670</v>
      </c>
      <c r="CC76" t="s">
        <v>39</v>
      </c>
      <c r="CD76" s="1">
        <v>100</v>
      </c>
      <c r="CE76">
        <v>13700</v>
      </c>
      <c r="CF76">
        <v>6530</v>
      </c>
      <c r="CG76">
        <v>16900</v>
      </c>
      <c r="CH76">
        <v>37100</v>
      </c>
      <c r="CI76">
        <v>231</v>
      </c>
      <c r="CJ76">
        <v>5150</v>
      </c>
      <c r="CK76">
        <v>18300</v>
      </c>
      <c r="CL76">
        <v>1220</v>
      </c>
      <c r="CM76">
        <v>1890</v>
      </c>
      <c r="CN76">
        <v>353</v>
      </c>
      <c r="CO76" s="10">
        <v>10300</v>
      </c>
      <c r="CP76" t="s">
        <v>39</v>
      </c>
      <c r="CQ76" s="1">
        <v>100</v>
      </c>
      <c r="CR76">
        <v>14300</v>
      </c>
      <c r="CS76">
        <v>8620</v>
      </c>
      <c r="CT76">
        <v>20800</v>
      </c>
      <c r="CU76">
        <v>43800</v>
      </c>
      <c r="CV76">
        <v>310</v>
      </c>
      <c r="CW76">
        <v>6720</v>
      </c>
      <c r="CX76">
        <v>19800</v>
      </c>
      <c r="CY76">
        <v>1620</v>
      </c>
      <c r="CZ76">
        <v>2520</v>
      </c>
      <c r="DA76">
        <v>439</v>
      </c>
      <c r="DB76" s="10">
        <v>12800</v>
      </c>
    </row>
    <row r="77" spans="2:106" x14ac:dyDescent="0.2">
      <c r="B77" s="89"/>
      <c r="C77" t="s">
        <v>39</v>
      </c>
    </row>
    <row r="78" spans="2:106" ht="15" x14ac:dyDescent="0.25">
      <c r="B78" s="89"/>
      <c r="D78" s="1">
        <v>12</v>
      </c>
    </row>
    <row r="79" spans="2:106" ht="15" x14ac:dyDescent="0.25">
      <c r="B79" s="89"/>
      <c r="D79" s="1">
        <v>20</v>
      </c>
    </row>
    <row r="80" spans="2:106" ht="15" x14ac:dyDescent="0.25">
      <c r="B80" s="89"/>
      <c r="D80" s="1">
        <v>30</v>
      </c>
    </row>
    <row r="81" spans="1:211" ht="15.75" thickBot="1" x14ac:dyDescent="0.3">
      <c r="B81" s="89"/>
      <c r="D81" s="1">
        <v>40</v>
      </c>
    </row>
    <row r="82" spans="1:211" s="34" customFormat="1" ht="18.75" thickBot="1" x14ac:dyDescent="0.3">
      <c r="A82" s="33"/>
      <c r="B82" s="89"/>
      <c r="D82" s="44">
        <v>50</v>
      </c>
      <c r="P82" s="43" t="s">
        <v>303</v>
      </c>
      <c r="AB82" s="36"/>
      <c r="AO82" s="36"/>
      <c r="BB82" s="36"/>
      <c r="BO82" s="36"/>
      <c r="CB82" s="36"/>
      <c r="CO82" s="36"/>
      <c r="DC82" s="36"/>
      <c r="DP82" s="36"/>
      <c r="EC82" s="36"/>
      <c r="EP82" s="36"/>
      <c r="FC82" s="36"/>
      <c r="FP82" s="36"/>
      <c r="GC82" s="36"/>
      <c r="GP82" s="36"/>
      <c r="HC82" s="36"/>
    </row>
    <row r="83" spans="1:211" ht="15" x14ac:dyDescent="0.25">
      <c r="B83" s="89"/>
      <c r="D83" s="1">
        <v>60</v>
      </c>
      <c r="P83" t="s">
        <v>40</v>
      </c>
    </row>
    <row r="84" spans="1:211" ht="45.75" customHeight="1" thickBot="1" x14ac:dyDescent="0.3">
      <c r="B84" s="89"/>
      <c r="D84" s="1">
        <v>70</v>
      </c>
      <c r="P84" s="60" t="s">
        <v>61</v>
      </c>
      <c r="Q84" s="65"/>
      <c r="R84" s="61"/>
    </row>
    <row r="85" spans="1:211" ht="45.75" thickBot="1" x14ac:dyDescent="0.3">
      <c r="B85" s="89"/>
      <c r="D85" s="1">
        <v>80</v>
      </c>
      <c r="P85" s="62" t="s">
        <v>570</v>
      </c>
      <c r="Q85" s="65">
        <v>5.0000000000000001E-3</v>
      </c>
      <c r="R85" s="63" t="s">
        <v>571</v>
      </c>
    </row>
    <row r="86" spans="1:211" ht="30.75" thickBot="1" x14ac:dyDescent="0.3">
      <c r="B86" s="89"/>
      <c r="D86" s="1">
        <v>90</v>
      </c>
      <c r="P86" s="62" t="s">
        <v>572</v>
      </c>
      <c r="Q86" s="65">
        <v>11</v>
      </c>
      <c r="R86" s="61" t="s">
        <v>573</v>
      </c>
    </row>
    <row r="87" spans="1:211" ht="15.75" thickBot="1" x14ac:dyDescent="0.3">
      <c r="B87" s="89"/>
      <c r="D87" s="1">
        <v>100</v>
      </c>
      <c r="P87" s="60" t="s">
        <v>574</v>
      </c>
      <c r="Q87" s="65"/>
      <c r="R87" s="61"/>
    </row>
    <row r="88" spans="1:211" ht="45.75" thickBot="1" x14ac:dyDescent="0.25">
      <c r="P88" s="62" t="s">
        <v>570</v>
      </c>
      <c r="Q88" s="65">
        <v>0.19500000000000001</v>
      </c>
      <c r="R88" s="63" t="s">
        <v>571</v>
      </c>
    </row>
    <row r="89" spans="1:211" ht="30.75" thickBot="1" x14ac:dyDescent="0.25">
      <c r="P89" s="62" t="s">
        <v>572</v>
      </c>
      <c r="Q89" s="65">
        <v>-0.3</v>
      </c>
      <c r="R89" s="61" t="s">
        <v>573</v>
      </c>
    </row>
    <row r="90" spans="1:211" x14ac:dyDescent="0.2">
      <c r="U90" t="s">
        <v>315</v>
      </c>
    </row>
    <row r="91" spans="1:211" ht="15" x14ac:dyDescent="0.2">
      <c r="P91" s="66" t="s">
        <v>290</v>
      </c>
      <c r="Q91" s="66" t="s">
        <v>592</v>
      </c>
      <c r="R91" s="66" t="s">
        <v>593</v>
      </c>
      <c r="U91" s="66" t="s">
        <v>592</v>
      </c>
      <c r="V91" s="66" t="s">
        <v>593</v>
      </c>
    </row>
    <row r="92" spans="1:211" x14ac:dyDescent="0.2">
      <c r="Q92">
        <f>Q88+Q85</f>
        <v>0.2</v>
      </c>
      <c r="R92">
        <v>10.7</v>
      </c>
      <c r="U92">
        <v>265</v>
      </c>
      <c r="V92">
        <v>28</v>
      </c>
    </row>
    <row r="94" spans="1:211" x14ac:dyDescent="0.2">
      <c r="Q94" t="str">
        <f>R94</f>
        <v>g PE-1 d-1</v>
      </c>
      <c r="R94" t="s">
        <v>594</v>
      </c>
    </row>
    <row r="97" spans="17:42" x14ac:dyDescent="0.2">
      <c r="Q97" t="s">
        <v>89</v>
      </c>
      <c r="R97" t="s">
        <v>595</v>
      </c>
      <c r="S97" t="s">
        <v>596</v>
      </c>
      <c r="U97" t="s">
        <v>599</v>
      </c>
      <c r="V97" t="s">
        <v>600</v>
      </c>
      <c r="W97" t="s">
        <v>598</v>
      </c>
      <c r="AD97" t="s">
        <v>89</v>
      </c>
      <c r="AE97" t="s">
        <v>384</v>
      </c>
      <c r="AF97" t="s">
        <v>385</v>
      </c>
      <c r="AG97" t="s">
        <v>386</v>
      </c>
      <c r="AI97" t="str">
        <f>Tankering!U16</f>
        <v>No. tankers</v>
      </c>
      <c r="AJ97" t="str">
        <f>Tankering!V16</f>
        <v>Lorry Weight Class</v>
      </c>
      <c r="AN97" t="str">
        <f>'ABR-Exc'!R87</f>
        <v>Tanker</v>
      </c>
      <c r="AO97"/>
    </row>
    <row r="98" spans="17:42" x14ac:dyDescent="0.2">
      <c r="Q98">
        <v>5</v>
      </c>
      <c r="R98">
        <f>(($Q98*Q$92*365.25)/1000)</f>
        <v>0.36525000000000002</v>
      </c>
      <c r="S98">
        <f>(($Q98*R$92*365.25)/1000)</f>
        <v>19.540875</v>
      </c>
      <c r="U98">
        <f>R98*U$92</f>
        <v>96.791250000000005</v>
      </c>
      <c r="V98">
        <f>S98*V$92</f>
        <v>547.14449999999999</v>
      </c>
      <c r="W98">
        <f>R98*$U$92+$V$92*S98</f>
        <v>643.93574999999998</v>
      </c>
      <c r="Y98">
        <f>W98/Q98</f>
        <v>128.78715</v>
      </c>
      <c r="AA98">
        <v>19.358250000000002</v>
      </c>
      <c r="AD98">
        <v>5</v>
      </c>
      <c r="AE98">
        <f>'[1]Septic Tank Design'!E4</f>
        <v>2.9</v>
      </c>
      <c r="AF98">
        <f>AE98*0.33</f>
        <v>0.95699999999999996</v>
      </c>
      <c r="AG98">
        <f>AF98*1000</f>
        <v>957</v>
      </c>
      <c r="AI98">
        <f>Tankering!U17</f>
        <v>1</v>
      </c>
      <c r="AJ98" t="str">
        <f>Tankering!V17</f>
        <v>3.5 - 7.5</v>
      </c>
      <c r="AL98" t="str">
        <f>'ABR-Exc'!P88</f>
        <v>Travel Distance (mi)</v>
      </c>
      <c r="AM98" t="str">
        <f>'ABR-Exc'!Q88</f>
        <v>Travel Distance (km)</v>
      </c>
      <c r="AN98" t="str">
        <f>'ABR-Exc'!R88</f>
        <v>3.5 - 7.5</v>
      </c>
      <c r="AO98" t="str">
        <f>'ABR-Exc'!S88</f>
        <v>7.5 - 16</v>
      </c>
      <c r="AP98" t="str">
        <f>'ABR-Exc'!T88</f>
        <v>16-32</v>
      </c>
    </row>
    <row r="99" spans="17:42" x14ac:dyDescent="0.2">
      <c r="Q99">
        <v>10</v>
      </c>
      <c r="R99">
        <f t="shared" ref="R99" si="24">(($Q99*Q$92*365.25)/1000)</f>
        <v>0.73050000000000004</v>
      </c>
      <c r="S99">
        <f>(($Q99*R$92*365.25)/1000)</f>
        <v>39.08175</v>
      </c>
      <c r="U99">
        <f t="shared" ref="U99:U112" si="25">R99*U$92</f>
        <v>193.58250000000001</v>
      </c>
      <c r="V99">
        <f t="shared" ref="V99:V112" si="26">S99*V$92</f>
        <v>1094.289</v>
      </c>
      <c r="W99">
        <f t="shared" ref="W99:W112" si="27">R99*$U$92+$V$92*S99</f>
        <v>1287.8715</v>
      </c>
      <c r="Y99">
        <f t="shared" ref="Y99:Y112" si="28">W99/Q99</f>
        <v>128.78715</v>
      </c>
      <c r="AD99">
        <v>10</v>
      </c>
      <c r="AE99">
        <f>'[1]Septic Tank Design'!E5</f>
        <v>3.8</v>
      </c>
      <c r="AF99">
        <f t="shared" ref="AF99:AF112" si="29">AE99*0.33</f>
        <v>1.254</v>
      </c>
      <c r="AG99">
        <f t="shared" ref="AG99:AG112" si="30">AF99*1000</f>
        <v>1254</v>
      </c>
      <c r="AI99">
        <f>Tankering!U18</f>
        <v>1</v>
      </c>
      <c r="AJ99" t="str">
        <f>Tankering!V18</f>
        <v>3.5 - 7.5</v>
      </c>
      <c r="AL99">
        <f>'ABR-Exc'!P89</f>
        <v>5</v>
      </c>
      <c r="AM99">
        <f>'ABR-Exc'!Q89</f>
        <v>8</v>
      </c>
      <c r="AN99">
        <f>'ABR-Exc'!R89</f>
        <v>31.754999999999999</v>
      </c>
      <c r="AO99">
        <f>'ABR-Exc'!S89</f>
        <v>26.37</v>
      </c>
      <c r="AP99">
        <f>'ABR-Exc'!T89</f>
        <v>43.648000000000003</v>
      </c>
    </row>
    <row r="100" spans="17:42" x14ac:dyDescent="0.2">
      <c r="Q100">
        <v>20</v>
      </c>
      <c r="R100">
        <f t="shared" ref="R100" si="31">(($Q100*Q$92*365.25)/1000)</f>
        <v>1.4610000000000001</v>
      </c>
      <c r="S100">
        <f>(($Q100*R$92*365.25)/1000)</f>
        <v>78.163499999999999</v>
      </c>
      <c r="U100">
        <f t="shared" si="25"/>
        <v>387.16500000000002</v>
      </c>
      <c r="V100">
        <f t="shared" si="26"/>
        <v>2188.578</v>
      </c>
      <c r="W100">
        <f t="shared" si="27"/>
        <v>2575.7429999999999</v>
      </c>
      <c r="Y100">
        <f t="shared" si="28"/>
        <v>128.78715</v>
      </c>
      <c r="AD100">
        <v>20</v>
      </c>
      <c r="AE100">
        <f>'[1]Septic Tank Design'!E6</f>
        <v>5.6</v>
      </c>
      <c r="AF100">
        <f t="shared" si="29"/>
        <v>1.8479999999999999</v>
      </c>
      <c r="AG100">
        <f t="shared" si="30"/>
        <v>1847.9999999999998</v>
      </c>
      <c r="AI100">
        <f>Tankering!U19</f>
        <v>1</v>
      </c>
      <c r="AJ100" t="str">
        <f>Tankering!V19</f>
        <v>3.5 - 7.5</v>
      </c>
      <c r="AL100">
        <f>'ABR-Exc'!P90</f>
        <v>10</v>
      </c>
      <c r="AM100">
        <f>'ABR-Exc'!Q90</f>
        <v>16</v>
      </c>
      <c r="AN100">
        <f>'ABR-Exc'!R90</f>
        <v>63.51</v>
      </c>
      <c r="AO100">
        <f>'ABR-Exc'!S90</f>
        <v>52.74</v>
      </c>
      <c r="AP100">
        <f>'ABR-Exc'!T90</f>
        <v>87.296000000000006</v>
      </c>
    </row>
    <row r="101" spans="17:42" x14ac:dyDescent="0.2">
      <c r="Q101">
        <v>30</v>
      </c>
      <c r="R101">
        <f>(($Q101*Q$92*365.25)/1000)</f>
        <v>2.1915</v>
      </c>
      <c r="S101">
        <f t="shared" ref="S101" si="32">(($Q101*R$92*365.25)/1000)</f>
        <v>117.24525</v>
      </c>
      <c r="U101">
        <f t="shared" si="25"/>
        <v>580.74749999999995</v>
      </c>
      <c r="V101">
        <f t="shared" si="26"/>
        <v>3282.8670000000002</v>
      </c>
      <c r="W101">
        <f t="shared" si="27"/>
        <v>3863.6145000000001</v>
      </c>
      <c r="Y101">
        <f t="shared" si="28"/>
        <v>128.78715</v>
      </c>
      <c r="AD101">
        <v>30</v>
      </c>
      <c r="AE101">
        <f>'[1]Septic Tank Design'!E7</f>
        <v>7.4</v>
      </c>
      <c r="AF101">
        <f t="shared" si="29"/>
        <v>2.4420000000000002</v>
      </c>
      <c r="AG101">
        <f t="shared" si="30"/>
        <v>2442</v>
      </c>
      <c r="AI101">
        <f>Tankering!U20</f>
        <v>1</v>
      </c>
      <c r="AJ101" t="str">
        <f>Tankering!V20</f>
        <v>7.5 - 16</v>
      </c>
      <c r="AL101">
        <f>'ABR-Exc'!P91</f>
        <v>20</v>
      </c>
      <c r="AM101">
        <f>'ABR-Exc'!Q91</f>
        <v>32</v>
      </c>
      <c r="AN101">
        <f>'ABR-Exc'!R91</f>
        <v>127.02</v>
      </c>
      <c r="AO101">
        <f>'ABR-Exc'!S91</f>
        <v>105.48</v>
      </c>
      <c r="AP101">
        <f>'ABR-Exc'!T91</f>
        <v>174.59200000000001</v>
      </c>
    </row>
    <row r="102" spans="17:42" x14ac:dyDescent="0.2">
      <c r="Q102">
        <v>50</v>
      </c>
      <c r="R102">
        <f t="shared" ref="R102:S102" si="33">(($Q102*Q$92*365.25)/1000)</f>
        <v>3.6524999999999999</v>
      </c>
      <c r="S102">
        <f t="shared" si="33"/>
        <v>195.40875</v>
      </c>
      <c r="U102">
        <f t="shared" si="25"/>
        <v>967.91249999999991</v>
      </c>
      <c r="V102">
        <f t="shared" si="26"/>
        <v>5471.4449999999997</v>
      </c>
      <c r="W102">
        <f t="shared" si="27"/>
        <v>6439.3575000000001</v>
      </c>
      <c r="Y102">
        <f t="shared" si="28"/>
        <v>128.78715</v>
      </c>
      <c r="AD102">
        <v>50</v>
      </c>
      <c r="AE102">
        <f>'[1]Septic Tank Design'!E8</f>
        <v>11</v>
      </c>
      <c r="AF102">
        <f t="shared" si="29"/>
        <v>3.6300000000000003</v>
      </c>
      <c r="AG102">
        <f t="shared" si="30"/>
        <v>3630.0000000000005</v>
      </c>
      <c r="AI102">
        <f>Tankering!U21</f>
        <v>1</v>
      </c>
      <c r="AJ102" t="str">
        <f>Tankering!V21</f>
        <v>7.5 - 16</v>
      </c>
      <c r="AL102">
        <f>'ABR-Exc'!P92</f>
        <v>30</v>
      </c>
      <c r="AM102">
        <f>'ABR-Exc'!Q92</f>
        <v>48</v>
      </c>
      <c r="AN102">
        <f>'ABR-Exc'!R92</f>
        <v>190.53</v>
      </c>
      <c r="AO102">
        <f>'ABR-Exc'!S92</f>
        <v>158.22</v>
      </c>
      <c r="AP102">
        <f>'ABR-Exc'!T92</f>
        <v>261.88800000000003</v>
      </c>
    </row>
    <row r="103" spans="17:42" x14ac:dyDescent="0.2">
      <c r="Q103">
        <v>75</v>
      </c>
      <c r="R103">
        <f t="shared" ref="R103:S103" si="34">(($Q103*Q$92*365.25)/1000)</f>
        <v>5.4787499999999998</v>
      </c>
      <c r="S103">
        <f t="shared" si="34"/>
        <v>293.11312500000003</v>
      </c>
      <c r="U103">
        <f t="shared" si="25"/>
        <v>1451.8687499999999</v>
      </c>
      <c r="V103">
        <f t="shared" si="26"/>
        <v>8207.1675000000014</v>
      </c>
      <c r="W103">
        <f t="shared" si="27"/>
        <v>9659.036250000001</v>
      </c>
      <c r="Y103">
        <f t="shared" si="28"/>
        <v>128.78715000000003</v>
      </c>
      <c r="AD103">
        <v>75</v>
      </c>
      <c r="AE103">
        <f>'[1]Septic Tank Design'!E9</f>
        <v>15.5</v>
      </c>
      <c r="AF103">
        <f t="shared" si="29"/>
        <v>5.1150000000000002</v>
      </c>
      <c r="AG103">
        <f t="shared" si="30"/>
        <v>5115</v>
      </c>
      <c r="AI103">
        <f>Tankering!U22</f>
        <v>1</v>
      </c>
      <c r="AJ103" t="str">
        <f>Tankering!V22</f>
        <v>7.5 - 16</v>
      </c>
      <c r="AL103">
        <f>'ABR-Exc'!P93</f>
        <v>40</v>
      </c>
      <c r="AM103">
        <f>'ABR-Exc'!Q93</f>
        <v>64</v>
      </c>
      <c r="AN103">
        <f>'ABR-Exc'!R93</f>
        <v>254.04</v>
      </c>
      <c r="AO103">
        <f>'ABR-Exc'!S93</f>
        <v>210.96</v>
      </c>
      <c r="AP103">
        <f>'ABR-Exc'!T93</f>
        <v>349.18400000000003</v>
      </c>
    </row>
    <row r="104" spans="17:42" x14ac:dyDescent="0.2">
      <c r="Q104">
        <v>100</v>
      </c>
      <c r="R104">
        <f t="shared" ref="R104:S104" si="35">(($Q104*Q$92*365.25)/1000)</f>
        <v>7.3049999999999997</v>
      </c>
      <c r="S104">
        <f t="shared" si="35"/>
        <v>390.8175</v>
      </c>
      <c r="U104">
        <f t="shared" si="25"/>
        <v>1935.8249999999998</v>
      </c>
      <c r="V104">
        <f t="shared" si="26"/>
        <v>10942.89</v>
      </c>
      <c r="W104">
        <f t="shared" si="27"/>
        <v>12878.715</v>
      </c>
      <c r="Y104">
        <f t="shared" si="28"/>
        <v>128.78715</v>
      </c>
      <c r="AD104">
        <v>100</v>
      </c>
      <c r="AE104">
        <f>'[1]Septic Tank Design'!E10</f>
        <v>20</v>
      </c>
      <c r="AF104">
        <f t="shared" si="29"/>
        <v>6.6000000000000005</v>
      </c>
      <c r="AG104">
        <f t="shared" si="30"/>
        <v>6600.0000000000009</v>
      </c>
      <c r="AI104">
        <f>Tankering!U23</f>
        <v>1</v>
      </c>
      <c r="AJ104" t="str">
        <f>Tankering!V23</f>
        <v>7.5 - 16</v>
      </c>
      <c r="AL104">
        <f>'ABR-Exc'!P94</f>
        <v>50</v>
      </c>
      <c r="AM104">
        <f>'ABR-Exc'!Q94</f>
        <v>80</v>
      </c>
      <c r="AN104">
        <f>'ABR-Exc'!R94</f>
        <v>317.55</v>
      </c>
      <c r="AO104">
        <f>'ABR-Exc'!S94</f>
        <v>263.7</v>
      </c>
      <c r="AP104">
        <f>'ABR-Exc'!T94</f>
        <v>436.48</v>
      </c>
    </row>
    <row r="105" spans="17:42" x14ac:dyDescent="0.2">
      <c r="Q105">
        <v>150</v>
      </c>
      <c r="R105">
        <f t="shared" ref="R105:S105" si="36">(($Q105*Q$92*365.25)/1000)</f>
        <v>10.9575</v>
      </c>
      <c r="S105">
        <f t="shared" si="36"/>
        <v>586.22625000000005</v>
      </c>
      <c r="U105">
        <f t="shared" si="25"/>
        <v>2903.7374999999997</v>
      </c>
      <c r="V105">
        <f t="shared" si="26"/>
        <v>16414.335000000003</v>
      </c>
      <c r="W105">
        <f t="shared" si="27"/>
        <v>19318.072500000002</v>
      </c>
      <c r="Y105">
        <f t="shared" si="28"/>
        <v>128.78715000000003</v>
      </c>
      <c r="AD105">
        <v>150</v>
      </c>
      <c r="AE105">
        <f>'[1]Septic Tank Design'!E11</f>
        <v>29</v>
      </c>
      <c r="AF105">
        <f t="shared" si="29"/>
        <v>9.57</v>
      </c>
      <c r="AG105">
        <f t="shared" si="30"/>
        <v>9570</v>
      </c>
      <c r="AI105">
        <f>Tankering!U24</f>
        <v>1</v>
      </c>
      <c r="AJ105" t="str">
        <f>Tankering!V24</f>
        <v>7.5 - 16</v>
      </c>
      <c r="AL105">
        <f>'ABR-Exc'!P95</f>
        <v>60</v>
      </c>
      <c r="AM105">
        <f>'ABR-Exc'!Q95</f>
        <v>96</v>
      </c>
      <c r="AN105">
        <f>'ABR-Exc'!R95</f>
        <v>381.06</v>
      </c>
      <c r="AO105">
        <f>'ABR-Exc'!S95</f>
        <v>316.44</v>
      </c>
      <c r="AP105">
        <f>'ABR-Exc'!T95</f>
        <v>523.77600000000007</v>
      </c>
    </row>
    <row r="106" spans="17:42" x14ac:dyDescent="0.2">
      <c r="Q106">
        <v>200</v>
      </c>
      <c r="R106">
        <f t="shared" ref="R106:S106" si="37">(($Q106*Q$92*365.25)/1000)</f>
        <v>14.61</v>
      </c>
      <c r="S106">
        <f t="shared" si="37"/>
        <v>781.63499999999999</v>
      </c>
      <c r="U106">
        <f t="shared" si="25"/>
        <v>3871.6499999999996</v>
      </c>
      <c r="V106">
        <f t="shared" si="26"/>
        <v>21885.78</v>
      </c>
      <c r="W106">
        <f t="shared" si="27"/>
        <v>25757.43</v>
      </c>
      <c r="Y106">
        <f t="shared" si="28"/>
        <v>128.78715</v>
      </c>
      <c r="AD106">
        <v>200</v>
      </c>
      <c r="AE106">
        <f>'[1]Septic Tank Design'!E12</f>
        <v>38</v>
      </c>
      <c r="AF106">
        <f t="shared" si="29"/>
        <v>12.540000000000001</v>
      </c>
      <c r="AG106">
        <f t="shared" si="30"/>
        <v>12540.000000000002</v>
      </c>
      <c r="AI106">
        <f>Tankering!U25</f>
        <v>1</v>
      </c>
      <c r="AJ106" t="str">
        <f>Tankering!V25</f>
        <v>16-32</v>
      </c>
      <c r="AL106">
        <f>'ABR-Exc'!P96</f>
        <v>70</v>
      </c>
      <c r="AM106">
        <f>'ABR-Exc'!Q96</f>
        <v>112</v>
      </c>
      <c r="AN106">
        <f>'ABR-Exc'!R96</f>
        <v>444.57</v>
      </c>
      <c r="AO106">
        <f>'ABR-Exc'!S96</f>
        <v>369.18</v>
      </c>
      <c r="AP106">
        <f>'ABR-Exc'!T96</f>
        <v>611.072</v>
      </c>
    </row>
    <row r="107" spans="17:42" x14ac:dyDescent="0.2">
      <c r="Q107">
        <v>300</v>
      </c>
      <c r="R107">
        <f t="shared" ref="R107:S107" si="38">(($Q107*Q$92*365.25)/1000)</f>
        <v>21.914999999999999</v>
      </c>
      <c r="S107">
        <f t="shared" si="38"/>
        <v>1172.4525000000001</v>
      </c>
      <c r="U107">
        <f t="shared" si="25"/>
        <v>5807.4749999999995</v>
      </c>
      <c r="V107">
        <f t="shared" si="26"/>
        <v>32828.670000000006</v>
      </c>
      <c r="W107">
        <f t="shared" si="27"/>
        <v>38636.145000000004</v>
      </c>
      <c r="Y107">
        <f t="shared" si="28"/>
        <v>128.78715000000003</v>
      </c>
      <c r="AD107">
        <v>300</v>
      </c>
      <c r="AE107">
        <f>'[1]Septic Tank Design'!E13</f>
        <v>56</v>
      </c>
      <c r="AF107">
        <f t="shared" si="29"/>
        <v>18.48</v>
      </c>
      <c r="AG107">
        <f t="shared" si="30"/>
        <v>18480</v>
      </c>
      <c r="AI107">
        <f>Tankering!U26</f>
        <v>1</v>
      </c>
      <c r="AJ107" t="str">
        <f>Tankering!V26</f>
        <v>16-32</v>
      </c>
      <c r="AL107">
        <f>'ABR-Exc'!P97</f>
        <v>80</v>
      </c>
      <c r="AM107">
        <f>'ABR-Exc'!Q97</f>
        <v>128</v>
      </c>
      <c r="AN107">
        <f>'ABR-Exc'!R97</f>
        <v>508.08</v>
      </c>
      <c r="AO107">
        <f>'ABR-Exc'!S97</f>
        <v>421.92</v>
      </c>
      <c r="AP107">
        <f>'ABR-Exc'!T97</f>
        <v>698.36800000000005</v>
      </c>
    </row>
    <row r="108" spans="17:42" x14ac:dyDescent="0.2">
      <c r="Q108">
        <v>400</v>
      </c>
      <c r="R108">
        <f t="shared" ref="R108:S108" si="39">(($Q108*Q$92*365.25)/1000)</f>
        <v>29.22</v>
      </c>
      <c r="S108">
        <f t="shared" si="39"/>
        <v>1563.27</v>
      </c>
      <c r="U108">
        <f t="shared" si="25"/>
        <v>7743.2999999999993</v>
      </c>
      <c r="V108">
        <f t="shared" si="26"/>
        <v>43771.56</v>
      </c>
      <c r="W108">
        <f t="shared" si="27"/>
        <v>51514.86</v>
      </c>
      <c r="Y108">
        <f t="shared" si="28"/>
        <v>128.78715</v>
      </c>
      <c r="AD108">
        <v>400</v>
      </c>
      <c r="AE108">
        <f>'[1]Septic Tank Design'!E14</f>
        <v>74</v>
      </c>
      <c r="AF108">
        <f t="shared" si="29"/>
        <v>24.42</v>
      </c>
      <c r="AG108">
        <f t="shared" si="30"/>
        <v>24420</v>
      </c>
      <c r="AI108">
        <f>Tankering!U27</f>
        <v>2</v>
      </c>
      <c r="AJ108" t="str">
        <f>Tankering!V27</f>
        <v>16-32</v>
      </c>
    </row>
    <row r="109" spans="17:42" x14ac:dyDescent="0.2">
      <c r="Q109">
        <v>500</v>
      </c>
      <c r="R109">
        <f t="shared" ref="R109:S109" si="40">(($Q109*Q$92*365.25)/1000)</f>
        <v>36.524999999999999</v>
      </c>
      <c r="S109">
        <f t="shared" si="40"/>
        <v>1954.0875000000001</v>
      </c>
      <c r="U109">
        <f t="shared" si="25"/>
        <v>9679.125</v>
      </c>
      <c r="V109">
        <f t="shared" si="26"/>
        <v>54714.450000000004</v>
      </c>
      <c r="W109">
        <f t="shared" si="27"/>
        <v>64393.575000000004</v>
      </c>
      <c r="Y109">
        <f t="shared" si="28"/>
        <v>128.78715</v>
      </c>
      <c r="AD109">
        <v>500</v>
      </c>
      <c r="AE109">
        <f>'[1]Septic Tank Design'!E15</f>
        <v>92</v>
      </c>
      <c r="AF109">
        <f t="shared" si="29"/>
        <v>30.360000000000003</v>
      </c>
      <c r="AG109">
        <f t="shared" si="30"/>
        <v>30360.000000000004</v>
      </c>
      <c r="AI109">
        <f>Tankering!U28</f>
        <v>2</v>
      </c>
      <c r="AJ109" t="str">
        <f>Tankering!V28</f>
        <v>16-32</v>
      </c>
    </row>
    <row r="110" spans="17:42" x14ac:dyDescent="0.2">
      <c r="Q110">
        <v>600</v>
      </c>
      <c r="R110">
        <f t="shared" ref="R110:S110" si="41">(($Q110*Q$92*365.25)/1000)</f>
        <v>43.83</v>
      </c>
      <c r="S110">
        <f t="shared" si="41"/>
        <v>2344.9050000000002</v>
      </c>
      <c r="U110">
        <f t="shared" si="25"/>
        <v>11614.949999999999</v>
      </c>
      <c r="V110">
        <f t="shared" si="26"/>
        <v>65657.340000000011</v>
      </c>
      <c r="W110">
        <f t="shared" si="27"/>
        <v>77272.290000000008</v>
      </c>
      <c r="Y110">
        <f t="shared" si="28"/>
        <v>128.78715000000003</v>
      </c>
      <c r="AD110">
        <v>600</v>
      </c>
      <c r="AE110">
        <f>'[1]Septic Tank Design'!E16</f>
        <v>110</v>
      </c>
      <c r="AF110">
        <f t="shared" si="29"/>
        <v>36.300000000000004</v>
      </c>
      <c r="AG110">
        <f t="shared" si="30"/>
        <v>36300.000000000007</v>
      </c>
      <c r="AI110">
        <f>Tankering!U29</f>
        <v>2</v>
      </c>
      <c r="AJ110" t="str">
        <f>Tankering!V29</f>
        <v>16-32</v>
      </c>
    </row>
    <row r="111" spans="17:42" x14ac:dyDescent="0.2">
      <c r="Q111">
        <v>800</v>
      </c>
      <c r="R111">
        <f t="shared" ref="R111:S111" si="42">(($Q111*Q$92*365.25)/1000)</f>
        <v>58.44</v>
      </c>
      <c r="S111">
        <f t="shared" si="42"/>
        <v>3126.54</v>
      </c>
      <c r="U111">
        <f t="shared" si="25"/>
        <v>15486.599999999999</v>
      </c>
      <c r="V111">
        <f t="shared" si="26"/>
        <v>87543.12</v>
      </c>
      <c r="W111">
        <f t="shared" si="27"/>
        <v>103029.72</v>
      </c>
      <c r="Y111">
        <f t="shared" si="28"/>
        <v>128.78715</v>
      </c>
      <c r="AD111">
        <v>800</v>
      </c>
      <c r="AE111">
        <f>'[1]Septic Tank Design'!E17</f>
        <v>146</v>
      </c>
      <c r="AF111">
        <f t="shared" si="29"/>
        <v>48.18</v>
      </c>
      <c r="AG111">
        <f t="shared" si="30"/>
        <v>48180</v>
      </c>
      <c r="AI111">
        <f>Tankering!U30</f>
        <v>3</v>
      </c>
      <c r="AJ111" t="str">
        <f>Tankering!V30</f>
        <v>16-32</v>
      </c>
      <c r="AM111" t="str">
        <f>'ABR-Exc'!Q100</f>
        <v>3.5 - 7.5</v>
      </c>
      <c r="AN111" t="str">
        <f>'ABR-Exc'!R100</f>
        <v>7.5 - 16</v>
      </c>
      <c r="AO111" s="10" t="str">
        <f>'ABR-Exc'!S100</f>
        <v>16-32</v>
      </c>
    </row>
    <row r="112" spans="17:42" x14ac:dyDescent="0.2">
      <c r="Q112">
        <v>1000</v>
      </c>
      <c r="R112">
        <f>(($Q112*Q$92*365.25)/1000)</f>
        <v>73.05</v>
      </c>
      <c r="S112">
        <f>(($Q112*R$92*365.25)/1000)</f>
        <v>3908.1750000000002</v>
      </c>
      <c r="U112">
        <f t="shared" si="25"/>
        <v>19358.25</v>
      </c>
      <c r="V112">
        <f t="shared" si="26"/>
        <v>109428.90000000001</v>
      </c>
      <c r="W112">
        <f t="shared" si="27"/>
        <v>128787.15000000001</v>
      </c>
      <c r="Y112">
        <f t="shared" si="28"/>
        <v>128.78715</v>
      </c>
      <c r="AD112">
        <v>1000</v>
      </c>
      <c r="AE112">
        <f>'[1]Septic Tank Design'!E18</f>
        <v>182</v>
      </c>
      <c r="AF112">
        <f t="shared" si="29"/>
        <v>60.06</v>
      </c>
      <c r="AG112">
        <f t="shared" si="30"/>
        <v>60060</v>
      </c>
      <c r="AI112">
        <f>Tankering!U31</f>
        <v>4</v>
      </c>
      <c r="AJ112" t="str">
        <f>Tankering!V31</f>
        <v>16-32</v>
      </c>
      <c r="AM112">
        <f>'ABR-Exc'!Q101</f>
        <v>0.52925</v>
      </c>
      <c r="AN112">
        <f>'ABR-Exc'!R101</f>
        <v>0.21975</v>
      </c>
      <c r="AO112" s="10">
        <f>'ABR-Exc'!S101</f>
        <v>0.17050000000000001</v>
      </c>
    </row>
    <row r="113" spans="30:57" x14ac:dyDescent="0.2">
      <c r="AL113" t="str">
        <f>'ABR-Exc'!P102</f>
        <v>Dry Mass</v>
      </c>
      <c r="AM113">
        <f>'ABR-Exc'!Q102</f>
        <v>7.5</v>
      </c>
      <c r="AN113">
        <f>'ABR-Exc'!R102</f>
        <v>15</v>
      </c>
      <c r="AO113" s="10">
        <f>'ABR-Exc'!S102</f>
        <v>32</v>
      </c>
    </row>
    <row r="114" spans="30:57" x14ac:dyDescent="0.2">
      <c r="AS114" t="s">
        <v>544</v>
      </c>
    </row>
    <row r="115" spans="30:57" ht="15" x14ac:dyDescent="0.25">
      <c r="AI115" t="s">
        <v>623</v>
      </c>
      <c r="AM115" t="s">
        <v>624</v>
      </c>
      <c r="AS115" s="1" t="s">
        <v>543</v>
      </c>
    </row>
    <row r="116" spans="30:57" ht="15" x14ac:dyDescent="0.25">
      <c r="AE116" t="s">
        <v>539</v>
      </c>
      <c r="AF116" t="s">
        <v>540</v>
      </c>
      <c r="AG116" t="s">
        <v>541</v>
      </c>
      <c r="AI116" t="s">
        <v>535</v>
      </c>
      <c r="AJ116" t="s">
        <v>536</v>
      </c>
      <c r="AK116" s="1"/>
      <c r="AM116" s="1" t="s">
        <v>538</v>
      </c>
      <c r="AR116" t="s">
        <v>539</v>
      </c>
      <c r="AS116">
        <v>4</v>
      </c>
      <c r="AT116">
        <v>3</v>
      </c>
      <c r="AU116">
        <v>2</v>
      </c>
      <c r="AV116">
        <v>1</v>
      </c>
      <c r="AW116">
        <v>0.5</v>
      </c>
      <c r="AX116">
        <v>0.25</v>
      </c>
      <c r="BD116" t="s">
        <v>539</v>
      </c>
      <c r="BE116">
        <v>0.5</v>
      </c>
    </row>
    <row r="117" spans="30:57" ht="15" x14ac:dyDescent="0.25">
      <c r="AD117" s="92">
        <v>5</v>
      </c>
      <c r="AE117">
        <v>5</v>
      </c>
      <c r="AF117">
        <f>AE117*1.6*($AM$113+$AF$98)</f>
        <v>67.656000000000006</v>
      </c>
      <c r="AG117">
        <v>1</v>
      </c>
      <c r="AI117">
        <f>AN99</f>
        <v>31.754999999999999</v>
      </c>
      <c r="AJ117">
        <f>AF117*AG117</f>
        <v>67.656000000000006</v>
      </c>
      <c r="AM117">
        <f>(AI117+AJ117)*$AM$112</f>
        <v>52.613271750000003</v>
      </c>
      <c r="AQ117" s="93">
        <v>5</v>
      </c>
      <c r="AR117">
        <v>5</v>
      </c>
      <c r="AS117">
        <f>$AM117*AS$116</f>
        <v>210.45308700000001</v>
      </c>
      <c r="AT117">
        <f t="shared" ref="AT117:AX132" si="43">$AM117*AT$116</f>
        <v>157.83981525000002</v>
      </c>
      <c r="AU117">
        <f t="shared" si="43"/>
        <v>105.22654350000001</v>
      </c>
      <c r="AV117">
        <f t="shared" si="43"/>
        <v>52.613271750000003</v>
      </c>
      <c r="AW117" s="1">
        <f t="shared" si="43"/>
        <v>26.306635875000001</v>
      </c>
      <c r="AX117">
        <f t="shared" si="43"/>
        <v>13.153317937500001</v>
      </c>
    </row>
    <row r="118" spans="30:57" ht="15" x14ac:dyDescent="0.25">
      <c r="AD118" s="92"/>
      <c r="AE118">
        <v>10</v>
      </c>
      <c r="AF118">
        <f t="shared" ref="AF118:AF124" si="44">AE118*1.6*($AM$113+$AF$98)</f>
        <v>135.31200000000001</v>
      </c>
      <c r="AG118">
        <v>1</v>
      </c>
      <c r="AI118">
        <f t="shared" ref="AI118:AI125" si="45">AN100</f>
        <v>63.51</v>
      </c>
      <c r="AJ118">
        <f t="shared" ref="AJ118:AJ181" si="46">AF118*AG118</f>
        <v>135.31200000000001</v>
      </c>
      <c r="AM118">
        <f t="shared" ref="AM118:AM143" si="47">(AI118+AJ118)*$AM$112</f>
        <v>105.22654350000001</v>
      </c>
      <c r="AQ118" s="93"/>
      <c r="AR118">
        <v>10</v>
      </c>
      <c r="AS118">
        <f t="shared" ref="AS118:AX149" si="48">$AM118*AS$116</f>
        <v>420.90617400000002</v>
      </c>
      <c r="AT118">
        <f t="shared" si="43"/>
        <v>315.67963050000003</v>
      </c>
      <c r="AU118">
        <f t="shared" si="43"/>
        <v>210.45308700000001</v>
      </c>
      <c r="AV118">
        <f t="shared" si="43"/>
        <v>105.22654350000001</v>
      </c>
      <c r="AW118" s="1">
        <f t="shared" si="43"/>
        <v>52.613271750000003</v>
      </c>
      <c r="AX118">
        <f t="shared" si="43"/>
        <v>26.306635875000001</v>
      </c>
    </row>
    <row r="119" spans="30:57" ht="15" x14ac:dyDescent="0.25">
      <c r="AD119" s="92"/>
      <c r="AE119">
        <v>20</v>
      </c>
      <c r="AF119">
        <f t="shared" si="44"/>
        <v>270.62400000000002</v>
      </c>
      <c r="AG119">
        <v>1</v>
      </c>
      <c r="AI119">
        <f t="shared" si="45"/>
        <v>127.02</v>
      </c>
      <c r="AJ119">
        <f t="shared" si="46"/>
        <v>270.62400000000002</v>
      </c>
      <c r="AM119">
        <f t="shared" si="47"/>
        <v>210.45308700000001</v>
      </c>
      <c r="AQ119" s="93"/>
      <c r="AR119">
        <v>20</v>
      </c>
      <c r="AS119">
        <f t="shared" si="48"/>
        <v>841.81234800000004</v>
      </c>
      <c r="AT119">
        <f t="shared" si="43"/>
        <v>631.35926100000006</v>
      </c>
      <c r="AU119">
        <f t="shared" si="43"/>
        <v>420.90617400000002</v>
      </c>
      <c r="AV119">
        <f t="shared" si="43"/>
        <v>210.45308700000001</v>
      </c>
      <c r="AW119" s="1">
        <f t="shared" si="43"/>
        <v>105.22654350000001</v>
      </c>
      <c r="AX119">
        <f t="shared" si="43"/>
        <v>52.613271750000003</v>
      </c>
      <c r="BD119">
        <v>20</v>
      </c>
      <c r="BE119">
        <v>105.22654350000001</v>
      </c>
    </row>
    <row r="120" spans="30:57" ht="15" x14ac:dyDescent="0.25">
      <c r="AD120" s="92"/>
      <c r="AE120">
        <v>30</v>
      </c>
      <c r="AF120">
        <f t="shared" si="44"/>
        <v>405.93600000000004</v>
      </c>
      <c r="AG120">
        <v>1</v>
      </c>
      <c r="AI120">
        <f t="shared" si="45"/>
        <v>190.53</v>
      </c>
      <c r="AJ120">
        <f t="shared" si="46"/>
        <v>405.93600000000004</v>
      </c>
      <c r="AM120">
        <f t="shared" si="47"/>
        <v>315.67963050000003</v>
      </c>
      <c r="AQ120" s="93"/>
      <c r="AR120">
        <v>30</v>
      </c>
      <c r="AS120">
        <f t="shared" si="48"/>
        <v>1262.7185220000001</v>
      </c>
      <c r="AT120">
        <f t="shared" si="43"/>
        <v>947.03889150000009</v>
      </c>
      <c r="AU120">
        <f t="shared" si="43"/>
        <v>631.35926100000006</v>
      </c>
      <c r="AV120">
        <f t="shared" si="43"/>
        <v>315.67963050000003</v>
      </c>
      <c r="AW120" s="1">
        <f t="shared" si="43"/>
        <v>157.83981525000002</v>
      </c>
      <c r="AX120">
        <f t="shared" si="43"/>
        <v>78.919907625000008</v>
      </c>
    </row>
    <row r="121" spans="30:57" ht="15" x14ac:dyDescent="0.25">
      <c r="AD121" s="92"/>
      <c r="AE121">
        <v>40</v>
      </c>
      <c r="AF121">
        <f t="shared" si="44"/>
        <v>541.24800000000005</v>
      </c>
      <c r="AG121">
        <v>1</v>
      </c>
      <c r="AI121">
        <f t="shared" si="45"/>
        <v>254.04</v>
      </c>
      <c r="AJ121">
        <f t="shared" si="46"/>
        <v>541.24800000000005</v>
      </c>
      <c r="AM121">
        <f t="shared" si="47"/>
        <v>420.90617400000002</v>
      </c>
      <c r="AQ121" s="93"/>
      <c r="AR121">
        <v>40</v>
      </c>
      <c r="AS121">
        <f t="shared" si="48"/>
        <v>1683.6246960000001</v>
      </c>
      <c r="AT121">
        <f t="shared" si="43"/>
        <v>1262.7185220000001</v>
      </c>
      <c r="AU121">
        <f t="shared" si="43"/>
        <v>841.81234800000004</v>
      </c>
      <c r="AV121">
        <f t="shared" si="43"/>
        <v>420.90617400000002</v>
      </c>
      <c r="AW121" s="1">
        <f t="shared" si="43"/>
        <v>210.45308700000001</v>
      </c>
      <c r="AX121">
        <f t="shared" si="43"/>
        <v>105.22654350000001</v>
      </c>
    </row>
    <row r="122" spans="30:57" ht="15" x14ac:dyDescent="0.25">
      <c r="AD122" s="92"/>
      <c r="AE122">
        <v>50</v>
      </c>
      <c r="AF122">
        <f t="shared" si="44"/>
        <v>676.56000000000006</v>
      </c>
      <c r="AG122">
        <v>1</v>
      </c>
      <c r="AI122">
        <f t="shared" si="45"/>
        <v>317.55</v>
      </c>
      <c r="AJ122">
        <f t="shared" si="46"/>
        <v>676.56000000000006</v>
      </c>
      <c r="AM122">
        <f t="shared" si="47"/>
        <v>526.13271750000001</v>
      </c>
      <c r="AQ122" s="93"/>
      <c r="AR122">
        <v>50</v>
      </c>
      <c r="AS122">
        <f t="shared" si="48"/>
        <v>2104.53087</v>
      </c>
      <c r="AT122">
        <f t="shared" si="43"/>
        <v>1578.3981524999999</v>
      </c>
      <c r="AU122">
        <f t="shared" si="43"/>
        <v>1052.265435</v>
      </c>
      <c r="AV122">
        <f t="shared" si="43"/>
        <v>526.13271750000001</v>
      </c>
      <c r="AW122" s="1">
        <f t="shared" si="43"/>
        <v>263.06635875000001</v>
      </c>
      <c r="AX122">
        <f t="shared" si="43"/>
        <v>131.533179375</v>
      </c>
    </row>
    <row r="123" spans="30:57" ht="15" x14ac:dyDescent="0.25">
      <c r="AD123" s="92"/>
      <c r="AE123">
        <v>60</v>
      </c>
      <c r="AF123">
        <f t="shared" si="44"/>
        <v>811.87200000000007</v>
      </c>
      <c r="AG123">
        <v>1</v>
      </c>
      <c r="AI123">
        <f t="shared" si="45"/>
        <v>381.06</v>
      </c>
      <c r="AJ123">
        <f t="shared" si="46"/>
        <v>811.87200000000007</v>
      </c>
      <c r="AM123">
        <f t="shared" si="47"/>
        <v>631.35926100000006</v>
      </c>
      <c r="AQ123" s="93"/>
      <c r="AR123">
        <v>60</v>
      </c>
      <c r="AS123">
        <f t="shared" si="48"/>
        <v>2525.4370440000002</v>
      </c>
      <c r="AT123">
        <f t="shared" si="43"/>
        <v>1894.0777830000002</v>
      </c>
      <c r="AU123">
        <f t="shared" si="43"/>
        <v>1262.7185220000001</v>
      </c>
      <c r="AV123">
        <f t="shared" si="43"/>
        <v>631.35926100000006</v>
      </c>
      <c r="AW123" s="1">
        <f t="shared" si="43"/>
        <v>315.67963050000003</v>
      </c>
      <c r="AX123">
        <f t="shared" si="43"/>
        <v>157.83981525000002</v>
      </c>
    </row>
    <row r="124" spans="30:57" ht="15" x14ac:dyDescent="0.25">
      <c r="AD124" s="92"/>
      <c r="AE124">
        <v>70</v>
      </c>
      <c r="AF124">
        <f t="shared" si="44"/>
        <v>947.18400000000008</v>
      </c>
      <c r="AG124">
        <v>1</v>
      </c>
      <c r="AI124">
        <f t="shared" si="45"/>
        <v>444.57</v>
      </c>
      <c r="AJ124">
        <f t="shared" si="46"/>
        <v>947.18400000000008</v>
      </c>
      <c r="AM124">
        <f t="shared" si="47"/>
        <v>736.58580450000011</v>
      </c>
      <c r="AQ124" s="93"/>
      <c r="AR124">
        <v>70</v>
      </c>
      <c r="AS124">
        <f t="shared" si="48"/>
        <v>2946.3432180000004</v>
      </c>
      <c r="AT124">
        <f t="shared" si="43"/>
        <v>2209.7574135000004</v>
      </c>
      <c r="AU124">
        <f t="shared" si="43"/>
        <v>1473.1716090000002</v>
      </c>
      <c r="AV124">
        <f t="shared" si="43"/>
        <v>736.58580450000011</v>
      </c>
      <c r="AW124" s="1">
        <f t="shared" si="43"/>
        <v>368.29290225000005</v>
      </c>
      <c r="AX124">
        <f t="shared" si="43"/>
        <v>184.14645112500003</v>
      </c>
    </row>
    <row r="125" spans="30:57" ht="15" x14ac:dyDescent="0.25">
      <c r="AD125" s="92"/>
      <c r="AE125">
        <v>80</v>
      </c>
      <c r="AF125">
        <f>AE125*1.6*($AM$113+$AF$98)</f>
        <v>1082.4960000000001</v>
      </c>
      <c r="AG125">
        <v>1</v>
      </c>
      <c r="AI125">
        <f t="shared" si="45"/>
        <v>508.08</v>
      </c>
      <c r="AJ125">
        <f t="shared" si="46"/>
        <v>1082.4960000000001</v>
      </c>
      <c r="AM125">
        <f t="shared" si="47"/>
        <v>841.81234800000004</v>
      </c>
      <c r="AQ125" s="93"/>
      <c r="AR125">
        <v>80</v>
      </c>
      <c r="AS125">
        <f t="shared" si="48"/>
        <v>3367.2493920000002</v>
      </c>
      <c r="AT125">
        <f t="shared" si="43"/>
        <v>2525.4370440000002</v>
      </c>
      <c r="AU125">
        <f t="shared" si="43"/>
        <v>1683.6246960000001</v>
      </c>
      <c r="AV125">
        <f t="shared" si="43"/>
        <v>841.81234800000004</v>
      </c>
      <c r="AW125" s="1">
        <f t="shared" si="43"/>
        <v>420.90617400000002</v>
      </c>
      <c r="AX125">
        <f t="shared" si="43"/>
        <v>210.45308700000001</v>
      </c>
    </row>
    <row r="126" spans="30:57" ht="15" x14ac:dyDescent="0.25">
      <c r="AD126" s="92">
        <v>10</v>
      </c>
      <c r="AE126">
        <v>5</v>
      </c>
      <c r="AF126">
        <f>AE126*1.6*($AM$113+$AF$99)</f>
        <v>70.031999999999996</v>
      </c>
      <c r="AG126">
        <v>1</v>
      </c>
      <c r="AI126">
        <f t="shared" ref="AI126:AI134" si="49">AI117</f>
        <v>31.754999999999999</v>
      </c>
      <c r="AJ126">
        <f t="shared" si="46"/>
        <v>70.031999999999996</v>
      </c>
      <c r="AM126">
        <f t="shared" si="47"/>
        <v>53.870769749999994</v>
      </c>
      <c r="AQ126" s="93">
        <v>10</v>
      </c>
      <c r="AR126">
        <v>5</v>
      </c>
      <c r="AS126">
        <f t="shared" si="48"/>
        <v>215.48307899999998</v>
      </c>
      <c r="AT126">
        <f t="shared" si="43"/>
        <v>161.61230924999998</v>
      </c>
      <c r="AU126">
        <f t="shared" si="43"/>
        <v>107.74153949999999</v>
      </c>
      <c r="AV126">
        <f t="shared" si="43"/>
        <v>53.870769749999994</v>
      </c>
      <c r="AW126" s="1">
        <f t="shared" si="43"/>
        <v>26.935384874999997</v>
      </c>
      <c r="AX126">
        <f t="shared" si="43"/>
        <v>13.467692437499998</v>
      </c>
    </row>
    <row r="127" spans="30:57" ht="15" x14ac:dyDescent="0.25">
      <c r="AD127" s="92"/>
      <c r="AE127">
        <v>10</v>
      </c>
      <c r="AF127">
        <f t="shared" ref="AF127:AF134" si="50">AE127*1.6*($AM$113+$AF$99)</f>
        <v>140.06399999999999</v>
      </c>
      <c r="AG127">
        <v>1</v>
      </c>
      <c r="AI127">
        <f t="shared" si="49"/>
        <v>63.51</v>
      </c>
      <c r="AJ127">
        <f t="shared" si="46"/>
        <v>140.06399999999999</v>
      </c>
      <c r="AM127">
        <f t="shared" si="47"/>
        <v>107.74153949999999</v>
      </c>
      <c r="AQ127" s="93"/>
      <c r="AR127">
        <v>10</v>
      </c>
      <c r="AS127">
        <f t="shared" si="48"/>
        <v>430.96615799999995</v>
      </c>
      <c r="AT127">
        <f t="shared" si="43"/>
        <v>323.22461849999996</v>
      </c>
      <c r="AU127">
        <f t="shared" si="43"/>
        <v>215.48307899999998</v>
      </c>
      <c r="AV127">
        <f t="shared" si="43"/>
        <v>107.74153949999999</v>
      </c>
      <c r="AW127" s="1">
        <f t="shared" si="43"/>
        <v>53.870769749999994</v>
      </c>
      <c r="AX127">
        <f t="shared" si="43"/>
        <v>26.935384874999997</v>
      </c>
    </row>
    <row r="128" spans="30:57" ht="15" x14ac:dyDescent="0.25">
      <c r="AD128" s="92"/>
      <c r="AE128">
        <v>20</v>
      </c>
      <c r="AF128">
        <f t="shared" si="50"/>
        <v>280.12799999999999</v>
      </c>
      <c r="AG128">
        <v>1</v>
      </c>
      <c r="AI128">
        <f t="shared" si="49"/>
        <v>127.02</v>
      </c>
      <c r="AJ128">
        <f t="shared" si="46"/>
        <v>280.12799999999999</v>
      </c>
      <c r="AM128">
        <f t="shared" si="47"/>
        <v>215.48307899999998</v>
      </c>
      <c r="AQ128" s="93"/>
      <c r="AR128">
        <v>20</v>
      </c>
      <c r="AS128">
        <f t="shared" si="48"/>
        <v>861.9323159999999</v>
      </c>
      <c r="AT128">
        <f t="shared" si="43"/>
        <v>646.44923699999993</v>
      </c>
      <c r="AU128">
        <f t="shared" si="43"/>
        <v>430.96615799999995</v>
      </c>
      <c r="AV128">
        <f t="shared" si="43"/>
        <v>215.48307899999998</v>
      </c>
      <c r="AW128" s="1">
        <f t="shared" si="43"/>
        <v>107.74153949999999</v>
      </c>
      <c r="AX128">
        <f t="shared" si="43"/>
        <v>53.870769749999994</v>
      </c>
      <c r="BD128">
        <v>20</v>
      </c>
      <c r="BE128">
        <v>107.74153949999999</v>
      </c>
    </row>
    <row r="129" spans="30:57" ht="15" x14ac:dyDescent="0.25">
      <c r="AD129" s="92"/>
      <c r="AE129">
        <v>30</v>
      </c>
      <c r="AF129">
        <f t="shared" si="50"/>
        <v>420.19200000000001</v>
      </c>
      <c r="AG129">
        <v>1</v>
      </c>
      <c r="AI129">
        <f t="shared" si="49"/>
        <v>190.53</v>
      </c>
      <c r="AJ129">
        <f t="shared" si="46"/>
        <v>420.19200000000001</v>
      </c>
      <c r="AM129">
        <f t="shared" si="47"/>
        <v>323.22461849999996</v>
      </c>
      <c r="AQ129" s="93"/>
      <c r="AR129">
        <v>30</v>
      </c>
      <c r="AS129">
        <f t="shared" si="48"/>
        <v>1292.8984739999999</v>
      </c>
      <c r="AT129">
        <f t="shared" si="43"/>
        <v>969.67385549999995</v>
      </c>
      <c r="AU129">
        <f t="shared" si="43"/>
        <v>646.44923699999993</v>
      </c>
      <c r="AV129">
        <f t="shared" si="43"/>
        <v>323.22461849999996</v>
      </c>
      <c r="AW129" s="1">
        <f t="shared" si="43"/>
        <v>161.61230924999998</v>
      </c>
      <c r="AX129">
        <f t="shared" si="43"/>
        <v>80.806154624999991</v>
      </c>
    </row>
    <row r="130" spans="30:57" ht="15" x14ac:dyDescent="0.25">
      <c r="AD130" s="92"/>
      <c r="AE130">
        <v>40</v>
      </c>
      <c r="AF130">
        <f t="shared" si="50"/>
        <v>560.25599999999997</v>
      </c>
      <c r="AG130">
        <v>1</v>
      </c>
      <c r="AI130">
        <f t="shared" si="49"/>
        <v>254.04</v>
      </c>
      <c r="AJ130">
        <f t="shared" si="46"/>
        <v>560.25599999999997</v>
      </c>
      <c r="AM130">
        <f t="shared" si="47"/>
        <v>430.96615799999995</v>
      </c>
      <c r="AQ130" s="93"/>
      <c r="AR130">
        <v>40</v>
      </c>
      <c r="AS130">
        <f t="shared" si="48"/>
        <v>1723.8646319999998</v>
      </c>
      <c r="AT130">
        <f t="shared" si="43"/>
        <v>1292.8984739999999</v>
      </c>
      <c r="AU130">
        <f t="shared" si="43"/>
        <v>861.9323159999999</v>
      </c>
      <c r="AV130">
        <f t="shared" si="43"/>
        <v>430.96615799999995</v>
      </c>
      <c r="AW130" s="1">
        <f t="shared" si="43"/>
        <v>215.48307899999998</v>
      </c>
      <c r="AX130">
        <f t="shared" si="43"/>
        <v>107.74153949999999</v>
      </c>
    </row>
    <row r="131" spans="30:57" ht="15" x14ac:dyDescent="0.25">
      <c r="AD131" s="92"/>
      <c r="AE131">
        <v>50</v>
      </c>
      <c r="AF131">
        <f t="shared" si="50"/>
        <v>700.31999999999994</v>
      </c>
      <c r="AG131">
        <v>1</v>
      </c>
      <c r="AI131">
        <f t="shared" si="49"/>
        <v>317.55</v>
      </c>
      <c r="AJ131">
        <f t="shared" si="46"/>
        <v>700.31999999999994</v>
      </c>
      <c r="AM131">
        <f t="shared" si="47"/>
        <v>538.70769749999999</v>
      </c>
      <c r="AQ131" s="93"/>
      <c r="AR131">
        <v>50</v>
      </c>
      <c r="AS131">
        <f t="shared" si="48"/>
        <v>2154.83079</v>
      </c>
      <c r="AT131">
        <f t="shared" si="43"/>
        <v>1616.1230925</v>
      </c>
      <c r="AU131">
        <f t="shared" si="43"/>
        <v>1077.415395</v>
      </c>
      <c r="AV131">
        <f t="shared" si="43"/>
        <v>538.70769749999999</v>
      </c>
      <c r="AW131" s="1">
        <f t="shared" si="43"/>
        <v>269.35384875</v>
      </c>
      <c r="AX131">
        <f t="shared" si="43"/>
        <v>134.676924375</v>
      </c>
    </row>
    <row r="132" spans="30:57" ht="15" x14ac:dyDescent="0.25">
      <c r="AD132" s="92"/>
      <c r="AE132">
        <v>60</v>
      </c>
      <c r="AF132">
        <f t="shared" si="50"/>
        <v>840.38400000000001</v>
      </c>
      <c r="AG132">
        <v>1</v>
      </c>
      <c r="AI132">
        <f t="shared" si="49"/>
        <v>381.06</v>
      </c>
      <c r="AJ132">
        <f t="shared" si="46"/>
        <v>840.38400000000001</v>
      </c>
      <c r="AM132">
        <f t="shared" si="47"/>
        <v>646.44923699999993</v>
      </c>
      <c r="AQ132" s="93"/>
      <c r="AR132">
        <v>60</v>
      </c>
      <c r="AS132">
        <f t="shared" si="48"/>
        <v>2585.7969479999997</v>
      </c>
      <c r="AT132">
        <f t="shared" si="43"/>
        <v>1939.3477109999999</v>
      </c>
      <c r="AU132">
        <f t="shared" si="43"/>
        <v>1292.8984739999999</v>
      </c>
      <c r="AV132">
        <f t="shared" si="43"/>
        <v>646.44923699999993</v>
      </c>
      <c r="AW132" s="1">
        <f t="shared" si="43"/>
        <v>323.22461849999996</v>
      </c>
      <c r="AX132">
        <f t="shared" si="43"/>
        <v>161.61230924999998</v>
      </c>
    </row>
    <row r="133" spans="30:57" ht="15" x14ac:dyDescent="0.25">
      <c r="AD133" s="92"/>
      <c r="AE133">
        <v>70</v>
      </c>
      <c r="AF133">
        <f t="shared" si="50"/>
        <v>980.44799999999998</v>
      </c>
      <c r="AG133">
        <v>1</v>
      </c>
      <c r="AI133">
        <f t="shared" si="49"/>
        <v>444.57</v>
      </c>
      <c r="AJ133">
        <f t="shared" si="46"/>
        <v>980.44799999999998</v>
      </c>
      <c r="AM133">
        <f t="shared" si="47"/>
        <v>754.19077649999997</v>
      </c>
      <c r="AQ133" s="93"/>
      <c r="AR133">
        <v>70</v>
      </c>
      <c r="AS133">
        <f t="shared" si="48"/>
        <v>3016.7631059999999</v>
      </c>
      <c r="AT133">
        <f t="shared" si="48"/>
        <v>2262.5723294999998</v>
      </c>
      <c r="AU133">
        <f t="shared" si="48"/>
        <v>1508.3815529999999</v>
      </c>
      <c r="AV133">
        <f t="shared" si="48"/>
        <v>754.19077649999997</v>
      </c>
      <c r="AW133" s="1">
        <f t="shared" si="48"/>
        <v>377.09538824999998</v>
      </c>
      <c r="AX133">
        <f t="shared" si="48"/>
        <v>188.54769412499999</v>
      </c>
    </row>
    <row r="134" spans="30:57" ht="15" x14ac:dyDescent="0.25">
      <c r="AD134" s="92"/>
      <c r="AE134">
        <v>80</v>
      </c>
      <c r="AF134">
        <f t="shared" si="50"/>
        <v>1120.5119999999999</v>
      </c>
      <c r="AG134">
        <v>1</v>
      </c>
      <c r="AI134">
        <f t="shared" si="49"/>
        <v>508.08</v>
      </c>
      <c r="AJ134">
        <f t="shared" si="46"/>
        <v>1120.5119999999999</v>
      </c>
      <c r="AM134">
        <f t="shared" si="47"/>
        <v>861.9323159999999</v>
      </c>
      <c r="AQ134" s="93"/>
      <c r="AR134">
        <v>80</v>
      </c>
      <c r="AS134">
        <f t="shared" si="48"/>
        <v>3447.7292639999996</v>
      </c>
      <c r="AT134">
        <f t="shared" si="48"/>
        <v>2585.7969479999997</v>
      </c>
      <c r="AU134">
        <f t="shared" si="48"/>
        <v>1723.8646319999998</v>
      </c>
      <c r="AV134">
        <f t="shared" si="48"/>
        <v>861.9323159999999</v>
      </c>
      <c r="AW134" s="1">
        <f t="shared" si="48"/>
        <v>430.96615799999995</v>
      </c>
      <c r="AX134">
        <f t="shared" si="48"/>
        <v>215.48307899999998</v>
      </c>
    </row>
    <row r="135" spans="30:57" ht="15" x14ac:dyDescent="0.25">
      <c r="AD135" s="92">
        <v>20</v>
      </c>
      <c r="AE135">
        <v>5</v>
      </c>
      <c r="AF135">
        <f>AE135*1.6*($AM$113+$AF$100)</f>
        <v>74.783999999999992</v>
      </c>
      <c r="AG135">
        <v>1</v>
      </c>
      <c r="AI135">
        <f t="shared" ref="AI135:AI143" si="51">AI117</f>
        <v>31.754999999999999</v>
      </c>
      <c r="AJ135">
        <f t="shared" si="46"/>
        <v>74.783999999999992</v>
      </c>
      <c r="AM135">
        <f t="shared" si="47"/>
        <v>56.38576574999999</v>
      </c>
      <c r="AQ135" s="93">
        <v>20</v>
      </c>
      <c r="AR135">
        <v>5</v>
      </c>
      <c r="AS135">
        <f t="shared" si="48"/>
        <v>225.54306299999996</v>
      </c>
      <c r="AT135">
        <f t="shared" si="48"/>
        <v>169.15729724999997</v>
      </c>
      <c r="AU135">
        <f t="shared" si="48"/>
        <v>112.77153149999998</v>
      </c>
      <c r="AV135">
        <f t="shared" si="48"/>
        <v>56.38576574999999</v>
      </c>
      <c r="AW135" s="1">
        <f t="shared" si="48"/>
        <v>28.192882874999995</v>
      </c>
      <c r="AX135">
        <f t="shared" si="48"/>
        <v>14.096441437499998</v>
      </c>
    </row>
    <row r="136" spans="30:57" ht="15" x14ac:dyDescent="0.25">
      <c r="AD136" s="92"/>
      <c r="AE136">
        <v>10</v>
      </c>
      <c r="AF136">
        <f t="shared" ref="AF136:AF143" si="52">AE136*1.6*($AM$113+$AF$100)</f>
        <v>149.56799999999998</v>
      </c>
      <c r="AG136">
        <v>1</v>
      </c>
      <c r="AI136">
        <f t="shared" si="51"/>
        <v>63.51</v>
      </c>
      <c r="AJ136">
        <f t="shared" si="46"/>
        <v>149.56799999999998</v>
      </c>
      <c r="AM136">
        <f t="shared" si="47"/>
        <v>112.77153149999998</v>
      </c>
      <c r="AQ136" s="93"/>
      <c r="AR136">
        <v>10</v>
      </c>
      <c r="AS136">
        <f t="shared" si="48"/>
        <v>451.08612599999992</v>
      </c>
      <c r="AT136">
        <f t="shared" si="48"/>
        <v>338.31459449999994</v>
      </c>
      <c r="AU136">
        <f t="shared" si="48"/>
        <v>225.54306299999996</v>
      </c>
      <c r="AV136">
        <f t="shared" si="48"/>
        <v>112.77153149999998</v>
      </c>
      <c r="AW136" s="1">
        <f t="shared" si="48"/>
        <v>56.38576574999999</v>
      </c>
      <c r="AX136">
        <f t="shared" si="48"/>
        <v>28.192882874999995</v>
      </c>
    </row>
    <row r="137" spans="30:57" ht="15" x14ac:dyDescent="0.25">
      <c r="AD137" s="92"/>
      <c r="AE137">
        <v>20</v>
      </c>
      <c r="AF137">
        <f t="shared" si="52"/>
        <v>299.13599999999997</v>
      </c>
      <c r="AG137">
        <v>1</v>
      </c>
      <c r="AI137">
        <f t="shared" si="51"/>
        <v>127.02</v>
      </c>
      <c r="AJ137">
        <f t="shared" si="46"/>
        <v>299.13599999999997</v>
      </c>
      <c r="AM137">
        <f t="shared" si="47"/>
        <v>225.54306299999996</v>
      </c>
      <c r="AQ137" s="93"/>
      <c r="AR137">
        <v>20</v>
      </c>
      <c r="AS137">
        <f t="shared" si="48"/>
        <v>902.17225199999984</v>
      </c>
      <c r="AT137">
        <f t="shared" si="48"/>
        <v>676.62918899999988</v>
      </c>
      <c r="AU137">
        <f t="shared" si="48"/>
        <v>451.08612599999992</v>
      </c>
      <c r="AV137">
        <f t="shared" si="48"/>
        <v>225.54306299999996</v>
      </c>
      <c r="AW137" s="1">
        <f t="shared" si="48"/>
        <v>112.77153149999998</v>
      </c>
      <c r="AX137">
        <f t="shared" si="48"/>
        <v>56.38576574999999</v>
      </c>
      <c r="BD137">
        <v>20</v>
      </c>
      <c r="BE137">
        <v>112.77153149999998</v>
      </c>
    </row>
    <row r="138" spans="30:57" ht="15" x14ac:dyDescent="0.25">
      <c r="AD138" s="92"/>
      <c r="AE138">
        <v>30</v>
      </c>
      <c r="AF138">
        <f t="shared" si="52"/>
        <v>448.70399999999995</v>
      </c>
      <c r="AG138">
        <v>1</v>
      </c>
      <c r="AI138">
        <f t="shared" si="51"/>
        <v>190.53</v>
      </c>
      <c r="AJ138">
        <f t="shared" si="46"/>
        <v>448.70399999999995</v>
      </c>
      <c r="AM138">
        <f t="shared" si="47"/>
        <v>338.31459449999994</v>
      </c>
      <c r="AQ138" s="93"/>
      <c r="AR138">
        <v>30</v>
      </c>
      <c r="AS138">
        <f t="shared" si="48"/>
        <v>1353.2583779999998</v>
      </c>
      <c r="AT138">
        <f t="shared" si="48"/>
        <v>1014.9437834999999</v>
      </c>
      <c r="AU138">
        <f t="shared" si="48"/>
        <v>676.62918899999988</v>
      </c>
      <c r="AV138">
        <f t="shared" si="48"/>
        <v>338.31459449999994</v>
      </c>
      <c r="AW138" s="1">
        <f t="shared" si="48"/>
        <v>169.15729724999997</v>
      </c>
      <c r="AX138">
        <f t="shared" si="48"/>
        <v>84.578648624999985</v>
      </c>
    </row>
    <row r="139" spans="30:57" ht="15" x14ac:dyDescent="0.25">
      <c r="AD139" s="92"/>
      <c r="AE139">
        <v>40</v>
      </c>
      <c r="AF139">
        <f t="shared" si="52"/>
        <v>598.27199999999993</v>
      </c>
      <c r="AG139">
        <v>1</v>
      </c>
      <c r="AI139">
        <f t="shared" si="51"/>
        <v>254.04</v>
      </c>
      <c r="AJ139">
        <f t="shared" si="46"/>
        <v>598.27199999999993</v>
      </c>
      <c r="AM139">
        <f t="shared" si="47"/>
        <v>451.08612599999992</v>
      </c>
      <c r="AQ139" s="93"/>
      <c r="AR139">
        <v>40</v>
      </c>
      <c r="AS139">
        <f t="shared" si="48"/>
        <v>1804.3445039999997</v>
      </c>
      <c r="AT139">
        <f t="shared" si="48"/>
        <v>1353.2583779999998</v>
      </c>
      <c r="AU139">
        <f t="shared" si="48"/>
        <v>902.17225199999984</v>
      </c>
      <c r="AV139">
        <f t="shared" si="48"/>
        <v>451.08612599999992</v>
      </c>
      <c r="AW139" s="1">
        <f t="shared" si="48"/>
        <v>225.54306299999996</v>
      </c>
      <c r="AX139">
        <f t="shared" si="48"/>
        <v>112.77153149999998</v>
      </c>
    </row>
    <row r="140" spans="30:57" ht="15" x14ac:dyDescent="0.25">
      <c r="AD140" s="92"/>
      <c r="AE140">
        <v>50</v>
      </c>
      <c r="AF140">
        <f t="shared" si="52"/>
        <v>747.83999999999992</v>
      </c>
      <c r="AG140">
        <v>1</v>
      </c>
      <c r="AI140">
        <f t="shared" si="51"/>
        <v>317.55</v>
      </c>
      <c r="AJ140">
        <f t="shared" si="46"/>
        <v>747.83999999999992</v>
      </c>
      <c r="AM140">
        <f t="shared" si="47"/>
        <v>563.85765749999996</v>
      </c>
      <c r="AQ140" s="93"/>
      <c r="AR140">
        <v>50</v>
      </c>
      <c r="AS140">
        <f t="shared" si="48"/>
        <v>2255.4306299999998</v>
      </c>
      <c r="AT140">
        <f t="shared" si="48"/>
        <v>1691.5729724999999</v>
      </c>
      <c r="AU140">
        <f t="shared" si="48"/>
        <v>1127.7153149999999</v>
      </c>
      <c r="AV140">
        <f t="shared" si="48"/>
        <v>563.85765749999996</v>
      </c>
      <c r="AW140" s="1">
        <f t="shared" si="48"/>
        <v>281.92882874999998</v>
      </c>
      <c r="AX140">
        <f t="shared" si="48"/>
        <v>140.96441437499999</v>
      </c>
    </row>
    <row r="141" spans="30:57" ht="15" x14ac:dyDescent="0.25">
      <c r="AD141" s="92"/>
      <c r="AE141">
        <v>60</v>
      </c>
      <c r="AF141">
        <f t="shared" si="52"/>
        <v>897.4079999999999</v>
      </c>
      <c r="AG141">
        <v>1</v>
      </c>
      <c r="AI141">
        <f t="shared" si="51"/>
        <v>381.06</v>
      </c>
      <c r="AJ141">
        <f t="shared" si="46"/>
        <v>897.4079999999999</v>
      </c>
      <c r="AM141">
        <f t="shared" si="47"/>
        <v>676.62918899999988</v>
      </c>
      <c r="AQ141" s="93"/>
      <c r="AR141">
        <v>60</v>
      </c>
      <c r="AS141">
        <f t="shared" si="48"/>
        <v>2706.5167559999995</v>
      </c>
      <c r="AT141">
        <f t="shared" si="48"/>
        <v>2029.8875669999998</v>
      </c>
      <c r="AU141">
        <f t="shared" si="48"/>
        <v>1353.2583779999998</v>
      </c>
      <c r="AV141">
        <f t="shared" si="48"/>
        <v>676.62918899999988</v>
      </c>
      <c r="AW141" s="1">
        <f t="shared" si="48"/>
        <v>338.31459449999994</v>
      </c>
      <c r="AX141">
        <f t="shared" si="48"/>
        <v>169.15729724999997</v>
      </c>
    </row>
    <row r="142" spans="30:57" ht="15" x14ac:dyDescent="0.25">
      <c r="AD142" s="92"/>
      <c r="AE142">
        <v>70</v>
      </c>
      <c r="AF142">
        <f t="shared" si="52"/>
        <v>1046.9759999999999</v>
      </c>
      <c r="AG142">
        <v>1</v>
      </c>
      <c r="AI142">
        <f t="shared" si="51"/>
        <v>444.57</v>
      </c>
      <c r="AJ142">
        <f t="shared" si="46"/>
        <v>1046.9759999999999</v>
      </c>
      <c r="AM142">
        <f t="shared" si="47"/>
        <v>789.40072049999992</v>
      </c>
      <c r="AQ142" s="93"/>
      <c r="AR142">
        <v>70</v>
      </c>
      <c r="AS142">
        <f t="shared" si="48"/>
        <v>3157.6028819999997</v>
      </c>
      <c r="AT142">
        <f t="shared" si="48"/>
        <v>2368.2021614999999</v>
      </c>
      <c r="AU142">
        <f t="shared" si="48"/>
        <v>1578.8014409999998</v>
      </c>
      <c r="AV142">
        <f t="shared" si="48"/>
        <v>789.40072049999992</v>
      </c>
      <c r="AW142" s="1">
        <f t="shared" si="48"/>
        <v>394.70036024999996</v>
      </c>
      <c r="AX142">
        <f t="shared" si="48"/>
        <v>197.35018012499998</v>
      </c>
    </row>
    <row r="143" spans="30:57" ht="15" x14ac:dyDescent="0.25">
      <c r="AD143" s="92"/>
      <c r="AE143">
        <v>80</v>
      </c>
      <c r="AF143">
        <f t="shared" si="52"/>
        <v>1196.5439999999999</v>
      </c>
      <c r="AG143">
        <v>1</v>
      </c>
      <c r="AI143">
        <f t="shared" si="51"/>
        <v>508.08</v>
      </c>
      <c r="AJ143">
        <f t="shared" si="46"/>
        <v>1196.5439999999999</v>
      </c>
      <c r="AM143">
        <f t="shared" si="47"/>
        <v>902.17225199999984</v>
      </c>
      <c r="AQ143" s="93"/>
      <c r="AR143">
        <v>80</v>
      </c>
      <c r="AS143">
        <f t="shared" si="48"/>
        <v>3608.6890079999994</v>
      </c>
      <c r="AT143">
        <f t="shared" si="48"/>
        <v>2706.5167559999995</v>
      </c>
      <c r="AU143">
        <f t="shared" si="48"/>
        <v>1804.3445039999997</v>
      </c>
      <c r="AV143">
        <f t="shared" si="48"/>
        <v>902.17225199999984</v>
      </c>
      <c r="AW143" s="1">
        <f t="shared" si="48"/>
        <v>451.08612599999992</v>
      </c>
      <c r="AX143">
        <f t="shared" si="48"/>
        <v>225.54306299999996</v>
      </c>
    </row>
    <row r="144" spans="30:57" ht="15" x14ac:dyDescent="0.25">
      <c r="AD144" s="92">
        <v>30</v>
      </c>
      <c r="AE144">
        <v>5</v>
      </c>
      <c r="AF144">
        <f>AE144*1.6*($AN$113+$AF$101)</f>
        <v>139.536</v>
      </c>
      <c r="AG144">
        <v>1</v>
      </c>
      <c r="AI144">
        <f t="shared" ref="AI144:AI152" si="53">AO99</f>
        <v>26.37</v>
      </c>
      <c r="AJ144">
        <f t="shared" si="46"/>
        <v>139.536</v>
      </c>
      <c r="AM144">
        <f>(AI144+AJ144)*$AN$112</f>
        <v>36.457843500000003</v>
      </c>
      <c r="AQ144" s="93">
        <v>30</v>
      </c>
      <c r="AR144">
        <v>5</v>
      </c>
      <c r="AS144">
        <f t="shared" si="48"/>
        <v>145.83137400000001</v>
      </c>
      <c r="AT144">
        <f t="shared" si="48"/>
        <v>109.37353050000002</v>
      </c>
      <c r="AU144">
        <f t="shared" si="48"/>
        <v>72.915687000000005</v>
      </c>
      <c r="AV144">
        <f t="shared" si="48"/>
        <v>36.457843500000003</v>
      </c>
      <c r="AW144" s="1">
        <f t="shared" si="48"/>
        <v>18.228921750000001</v>
      </c>
      <c r="AX144">
        <f t="shared" si="48"/>
        <v>9.1144608750000007</v>
      </c>
    </row>
    <row r="145" spans="30:57" ht="15" x14ac:dyDescent="0.25">
      <c r="AD145" s="92"/>
      <c r="AE145">
        <v>10</v>
      </c>
      <c r="AF145">
        <f t="shared" ref="AF145:AF152" si="54">AE145*1.6*($AN$113+$AF$101)</f>
        <v>279.072</v>
      </c>
      <c r="AG145">
        <v>1</v>
      </c>
      <c r="AI145">
        <f t="shared" si="53"/>
        <v>52.74</v>
      </c>
      <c r="AJ145">
        <f t="shared" si="46"/>
        <v>279.072</v>
      </c>
      <c r="AM145">
        <f t="shared" ref="AM145:AM188" si="55">(AI145+AJ145)*$AN$112</f>
        <v>72.915687000000005</v>
      </c>
      <c r="AQ145" s="93"/>
      <c r="AR145">
        <v>10</v>
      </c>
      <c r="AS145">
        <f t="shared" si="48"/>
        <v>291.66274800000002</v>
      </c>
      <c r="AT145">
        <f t="shared" si="48"/>
        <v>218.74706100000003</v>
      </c>
      <c r="AU145">
        <f t="shared" si="48"/>
        <v>145.83137400000001</v>
      </c>
      <c r="AV145">
        <f t="shared" si="48"/>
        <v>72.915687000000005</v>
      </c>
      <c r="AW145" s="1">
        <f t="shared" si="48"/>
        <v>36.457843500000003</v>
      </c>
      <c r="AX145">
        <f t="shared" si="48"/>
        <v>18.228921750000001</v>
      </c>
    </row>
    <row r="146" spans="30:57" ht="15" x14ac:dyDescent="0.25">
      <c r="AD146" s="92"/>
      <c r="AE146">
        <v>20</v>
      </c>
      <c r="AF146">
        <f t="shared" si="54"/>
        <v>558.14400000000001</v>
      </c>
      <c r="AG146">
        <v>1</v>
      </c>
      <c r="AI146">
        <f t="shared" si="53"/>
        <v>105.48</v>
      </c>
      <c r="AJ146">
        <f t="shared" si="46"/>
        <v>558.14400000000001</v>
      </c>
      <c r="AM146">
        <f t="shared" si="55"/>
        <v>145.83137400000001</v>
      </c>
      <c r="AQ146" s="93"/>
      <c r="AR146">
        <v>20</v>
      </c>
      <c r="AS146">
        <f t="shared" si="48"/>
        <v>583.32549600000004</v>
      </c>
      <c r="AT146">
        <f t="shared" si="48"/>
        <v>437.49412200000006</v>
      </c>
      <c r="AU146">
        <f t="shared" si="48"/>
        <v>291.66274800000002</v>
      </c>
      <c r="AV146">
        <f t="shared" si="48"/>
        <v>145.83137400000001</v>
      </c>
      <c r="AW146" s="1">
        <f t="shared" si="48"/>
        <v>72.915687000000005</v>
      </c>
      <c r="AX146">
        <f t="shared" si="48"/>
        <v>36.457843500000003</v>
      </c>
      <c r="BD146">
        <v>20</v>
      </c>
      <c r="BE146">
        <v>72.915687000000005</v>
      </c>
    </row>
    <row r="147" spans="30:57" ht="15" x14ac:dyDescent="0.25">
      <c r="AD147" s="92"/>
      <c r="AE147">
        <v>30</v>
      </c>
      <c r="AF147">
        <f t="shared" si="54"/>
        <v>837.21600000000001</v>
      </c>
      <c r="AG147">
        <v>1</v>
      </c>
      <c r="AI147">
        <f t="shared" si="53"/>
        <v>158.22</v>
      </c>
      <c r="AJ147">
        <f t="shared" si="46"/>
        <v>837.21600000000001</v>
      </c>
      <c r="AM147">
        <f t="shared" si="55"/>
        <v>218.747061</v>
      </c>
      <c r="AQ147" s="93"/>
      <c r="AR147">
        <v>30</v>
      </c>
      <c r="AS147">
        <f t="shared" si="48"/>
        <v>874.98824400000001</v>
      </c>
      <c r="AT147">
        <f t="shared" si="48"/>
        <v>656.24118299999998</v>
      </c>
      <c r="AU147">
        <f t="shared" si="48"/>
        <v>437.494122</v>
      </c>
      <c r="AV147">
        <f t="shared" si="48"/>
        <v>218.747061</v>
      </c>
      <c r="AW147" s="1">
        <f t="shared" si="48"/>
        <v>109.3735305</v>
      </c>
      <c r="AX147">
        <f t="shared" si="48"/>
        <v>54.686765250000001</v>
      </c>
    </row>
    <row r="148" spans="30:57" ht="15" x14ac:dyDescent="0.25">
      <c r="AD148" s="92"/>
      <c r="AE148">
        <v>40</v>
      </c>
      <c r="AF148">
        <f t="shared" si="54"/>
        <v>1116.288</v>
      </c>
      <c r="AG148">
        <v>1</v>
      </c>
      <c r="AI148">
        <f t="shared" si="53"/>
        <v>210.96</v>
      </c>
      <c r="AJ148">
        <f t="shared" si="46"/>
        <v>1116.288</v>
      </c>
      <c r="AM148">
        <f t="shared" si="55"/>
        <v>291.66274800000002</v>
      </c>
      <c r="AQ148" s="93"/>
      <c r="AR148">
        <v>40</v>
      </c>
      <c r="AS148">
        <f t="shared" si="48"/>
        <v>1166.6509920000001</v>
      </c>
      <c r="AT148">
        <f t="shared" si="48"/>
        <v>874.98824400000012</v>
      </c>
      <c r="AU148">
        <f t="shared" si="48"/>
        <v>583.32549600000004</v>
      </c>
      <c r="AV148">
        <f t="shared" si="48"/>
        <v>291.66274800000002</v>
      </c>
      <c r="AW148" s="1">
        <f t="shared" si="48"/>
        <v>145.83137400000001</v>
      </c>
      <c r="AX148">
        <f t="shared" si="48"/>
        <v>72.915687000000005</v>
      </c>
    </row>
    <row r="149" spans="30:57" ht="15" x14ac:dyDescent="0.25">
      <c r="AD149" s="92"/>
      <c r="AE149">
        <v>50</v>
      </c>
      <c r="AF149">
        <f t="shared" si="54"/>
        <v>1395.3600000000001</v>
      </c>
      <c r="AG149">
        <v>1</v>
      </c>
      <c r="AI149">
        <f t="shared" si="53"/>
        <v>263.7</v>
      </c>
      <c r="AJ149">
        <f t="shared" si="46"/>
        <v>1395.3600000000001</v>
      </c>
      <c r="AM149">
        <f t="shared" si="55"/>
        <v>364.57843500000001</v>
      </c>
      <c r="AQ149" s="93"/>
      <c r="AR149">
        <v>50</v>
      </c>
      <c r="AS149">
        <f t="shared" si="48"/>
        <v>1458.3137400000001</v>
      </c>
      <c r="AT149">
        <f t="shared" si="48"/>
        <v>1093.7353050000002</v>
      </c>
      <c r="AU149">
        <f t="shared" si="48"/>
        <v>729.15687000000003</v>
      </c>
      <c r="AV149">
        <f t="shared" si="48"/>
        <v>364.57843500000001</v>
      </c>
      <c r="AW149" s="1">
        <f t="shared" si="48"/>
        <v>182.28921750000001</v>
      </c>
      <c r="AX149">
        <f t="shared" si="48"/>
        <v>91.144608750000003</v>
      </c>
    </row>
    <row r="150" spans="30:57" ht="15" x14ac:dyDescent="0.25">
      <c r="AD150" s="92"/>
      <c r="AE150">
        <v>60</v>
      </c>
      <c r="AF150">
        <f t="shared" si="54"/>
        <v>1674.432</v>
      </c>
      <c r="AG150">
        <v>1</v>
      </c>
      <c r="AI150">
        <f t="shared" si="53"/>
        <v>316.44</v>
      </c>
      <c r="AJ150">
        <f t="shared" si="46"/>
        <v>1674.432</v>
      </c>
      <c r="AM150">
        <f t="shared" si="55"/>
        <v>437.494122</v>
      </c>
      <c r="AQ150" s="93"/>
      <c r="AR150">
        <v>60</v>
      </c>
      <c r="AS150">
        <f t="shared" ref="AS150:AX181" si="56">$AM150*AS$116</f>
        <v>1749.976488</v>
      </c>
      <c r="AT150">
        <f t="shared" si="56"/>
        <v>1312.482366</v>
      </c>
      <c r="AU150">
        <f t="shared" si="56"/>
        <v>874.98824400000001</v>
      </c>
      <c r="AV150">
        <f t="shared" si="56"/>
        <v>437.494122</v>
      </c>
      <c r="AW150" s="1">
        <f t="shared" si="56"/>
        <v>218.747061</v>
      </c>
      <c r="AX150">
        <f t="shared" si="56"/>
        <v>109.3735305</v>
      </c>
    </row>
    <row r="151" spans="30:57" ht="15" x14ac:dyDescent="0.25">
      <c r="AD151" s="92"/>
      <c r="AE151">
        <v>70</v>
      </c>
      <c r="AF151">
        <f t="shared" si="54"/>
        <v>1953.5039999999999</v>
      </c>
      <c r="AG151">
        <v>1</v>
      </c>
      <c r="AI151">
        <f t="shared" si="53"/>
        <v>369.18</v>
      </c>
      <c r="AJ151">
        <f t="shared" si="46"/>
        <v>1953.5039999999999</v>
      </c>
      <c r="AM151">
        <f t="shared" si="55"/>
        <v>510.40980899999994</v>
      </c>
      <c r="AQ151" s="93"/>
      <c r="AR151">
        <v>70</v>
      </c>
      <c r="AS151">
        <f t="shared" si="56"/>
        <v>2041.6392359999998</v>
      </c>
      <c r="AT151">
        <f t="shared" si="56"/>
        <v>1531.2294269999998</v>
      </c>
      <c r="AU151">
        <f t="shared" si="56"/>
        <v>1020.8196179999999</v>
      </c>
      <c r="AV151">
        <f t="shared" si="56"/>
        <v>510.40980899999994</v>
      </c>
      <c r="AW151" s="1">
        <f t="shared" si="56"/>
        <v>255.20490449999997</v>
      </c>
      <c r="AX151">
        <f t="shared" si="56"/>
        <v>127.60245224999998</v>
      </c>
    </row>
    <row r="152" spans="30:57" ht="15" x14ac:dyDescent="0.25">
      <c r="AD152" s="92"/>
      <c r="AE152">
        <v>80</v>
      </c>
      <c r="AF152">
        <f t="shared" si="54"/>
        <v>2232.576</v>
      </c>
      <c r="AG152">
        <v>1</v>
      </c>
      <c r="AI152">
        <f t="shared" si="53"/>
        <v>421.92</v>
      </c>
      <c r="AJ152">
        <f t="shared" si="46"/>
        <v>2232.576</v>
      </c>
      <c r="AM152">
        <f t="shared" si="55"/>
        <v>583.32549600000004</v>
      </c>
      <c r="AQ152" s="93"/>
      <c r="AR152">
        <v>80</v>
      </c>
      <c r="AS152">
        <f t="shared" si="56"/>
        <v>2333.3019840000002</v>
      </c>
      <c r="AT152">
        <f t="shared" si="56"/>
        <v>1749.9764880000002</v>
      </c>
      <c r="AU152">
        <f t="shared" si="56"/>
        <v>1166.6509920000001</v>
      </c>
      <c r="AV152">
        <f t="shared" si="56"/>
        <v>583.32549600000004</v>
      </c>
      <c r="AW152" s="1">
        <f t="shared" si="56"/>
        <v>291.66274800000002</v>
      </c>
      <c r="AX152">
        <f t="shared" si="56"/>
        <v>145.83137400000001</v>
      </c>
    </row>
    <row r="153" spans="30:57" ht="15" x14ac:dyDescent="0.25">
      <c r="AD153" s="92">
        <v>50</v>
      </c>
      <c r="AE153">
        <v>5</v>
      </c>
      <c r="AF153">
        <f>AE153*1.6*($AN$113+$AF$102)</f>
        <v>149.04</v>
      </c>
      <c r="AG153">
        <v>1</v>
      </c>
      <c r="AI153">
        <f t="shared" ref="AI153:AI161" si="57">AO99</f>
        <v>26.37</v>
      </c>
      <c r="AJ153">
        <f t="shared" si="46"/>
        <v>149.04</v>
      </c>
      <c r="AM153">
        <f t="shared" si="55"/>
        <v>38.546347499999996</v>
      </c>
      <c r="AQ153" s="93">
        <v>50</v>
      </c>
      <c r="AR153">
        <v>5</v>
      </c>
      <c r="AS153">
        <f t="shared" si="56"/>
        <v>154.18538999999998</v>
      </c>
      <c r="AT153">
        <f t="shared" si="56"/>
        <v>115.63904249999999</v>
      </c>
      <c r="AU153">
        <f t="shared" si="56"/>
        <v>77.092694999999992</v>
      </c>
      <c r="AV153">
        <f t="shared" si="56"/>
        <v>38.546347499999996</v>
      </c>
      <c r="AW153" s="1">
        <f t="shared" si="56"/>
        <v>19.273173749999998</v>
      </c>
      <c r="AX153">
        <f t="shared" si="56"/>
        <v>9.636586874999999</v>
      </c>
    </row>
    <row r="154" spans="30:57" ht="15" x14ac:dyDescent="0.25">
      <c r="AD154" s="92"/>
      <c r="AE154">
        <v>10</v>
      </c>
      <c r="AF154">
        <f t="shared" ref="AF154:AF161" si="58">AE154*1.6*($AN$113+$AF$102)</f>
        <v>298.08</v>
      </c>
      <c r="AG154">
        <v>1</v>
      </c>
      <c r="AI154">
        <f t="shared" si="57"/>
        <v>52.74</v>
      </c>
      <c r="AJ154">
        <f t="shared" si="46"/>
        <v>298.08</v>
      </c>
      <c r="AM154">
        <f t="shared" si="55"/>
        <v>77.092694999999992</v>
      </c>
      <c r="AQ154" s="93"/>
      <c r="AR154">
        <v>10</v>
      </c>
      <c r="AS154">
        <f t="shared" si="56"/>
        <v>308.37077999999997</v>
      </c>
      <c r="AT154">
        <f t="shared" si="56"/>
        <v>231.27808499999998</v>
      </c>
      <c r="AU154">
        <f t="shared" si="56"/>
        <v>154.18538999999998</v>
      </c>
      <c r="AV154">
        <f t="shared" si="56"/>
        <v>77.092694999999992</v>
      </c>
      <c r="AW154" s="1">
        <f t="shared" si="56"/>
        <v>38.546347499999996</v>
      </c>
      <c r="AX154">
        <f t="shared" si="56"/>
        <v>19.273173749999998</v>
      </c>
    </row>
    <row r="155" spans="30:57" ht="15" x14ac:dyDescent="0.25">
      <c r="AD155" s="92"/>
      <c r="AE155">
        <v>20</v>
      </c>
      <c r="AF155">
        <f t="shared" si="58"/>
        <v>596.16</v>
      </c>
      <c r="AG155">
        <v>1</v>
      </c>
      <c r="AI155">
        <f t="shared" si="57"/>
        <v>105.48</v>
      </c>
      <c r="AJ155">
        <f t="shared" si="46"/>
        <v>596.16</v>
      </c>
      <c r="AM155">
        <f t="shared" si="55"/>
        <v>154.18538999999998</v>
      </c>
      <c r="AQ155" s="93"/>
      <c r="AR155">
        <v>20</v>
      </c>
      <c r="AS155">
        <f t="shared" si="56"/>
        <v>616.74155999999994</v>
      </c>
      <c r="AT155">
        <f t="shared" si="56"/>
        <v>462.55616999999995</v>
      </c>
      <c r="AU155">
        <f t="shared" si="56"/>
        <v>308.37077999999997</v>
      </c>
      <c r="AV155">
        <f t="shared" si="56"/>
        <v>154.18538999999998</v>
      </c>
      <c r="AW155" s="1">
        <f t="shared" si="56"/>
        <v>77.092694999999992</v>
      </c>
      <c r="AX155">
        <f t="shared" si="56"/>
        <v>38.546347499999996</v>
      </c>
      <c r="BD155">
        <v>20</v>
      </c>
      <c r="BE155">
        <v>77.092694999999992</v>
      </c>
    </row>
    <row r="156" spans="30:57" ht="15" x14ac:dyDescent="0.25">
      <c r="AD156" s="92"/>
      <c r="AE156">
        <v>30</v>
      </c>
      <c r="AF156">
        <f t="shared" si="58"/>
        <v>894.24</v>
      </c>
      <c r="AG156">
        <v>1</v>
      </c>
      <c r="AI156">
        <f t="shared" si="57"/>
        <v>158.22</v>
      </c>
      <c r="AJ156">
        <f t="shared" si="46"/>
        <v>894.24</v>
      </c>
      <c r="AM156">
        <f t="shared" si="55"/>
        <v>231.278085</v>
      </c>
      <c r="AQ156" s="93"/>
      <c r="AR156">
        <v>30</v>
      </c>
      <c r="AS156">
        <f t="shared" si="56"/>
        <v>925.11234000000002</v>
      </c>
      <c r="AT156">
        <f t="shared" si="56"/>
        <v>693.83425499999998</v>
      </c>
      <c r="AU156">
        <f t="shared" si="56"/>
        <v>462.55617000000001</v>
      </c>
      <c r="AV156">
        <f t="shared" si="56"/>
        <v>231.278085</v>
      </c>
      <c r="AW156" s="1">
        <f t="shared" si="56"/>
        <v>115.6390425</v>
      </c>
      <c r="AX156">
        <f t="shared" si="56"/>
        <v>57.819521250000001</v>
      </c>
    </row>
    <row r="157" spans="30:57" ht="15" x14ac:dyDescent="0.25">
      <c r="AD157" s="92"/>
      <c r="AE157">
        <v>40</v>
      </c>
      <c r="AF157">
        <f t="shared" si="58"/>
        <v>1192.32</v>
      </c>
      <c r="AG157">
        <v>1</v>
      </c>
      <c r="AI157">
        <f t="shared" si="57"/>
        <v>210.96</v>
      </c>
      <c r="AJ157">
        <f t="shared" si="46"/>
        <v>1192.32</v>
      </c>
      <c r="AM157">
        <f t="shared" si="55"/>
        <v>308.37077999999997</v>
      </c>
      <c r="AQ157" s="93"/>
      <c r="AR157">
        <v>40</v>
      </c>
      <c r="AS157">
        <f t="shared" si="56"/>
        <v>1233.4831199999999</v>
      </c>
      <c r="AT157">
        <f t="shared" si="56"/>
        <v>925.1123399999999</v>
      </c>
      <c r="AU157">
        <f t="shared" si="56"/>
        <v>616.74155999999994</v>
      </c>
      <c r="AV157">
        <f t="shared" si="56"/>
        <v>308.37077999999997</v>
      </c>
      <c r="AW157" s="1">
        <f t="shared" si="56"/>
        <v>154.18538999999998</v>
      </c>
      <c r="AX157">
        <f t="shared" si="56"/>
        <v>77.092694999999992</v>
      </c>
    </row>
    <row r="158" spans="30:57" ht="15" x14ac:dyDescent="0.25">
      <c r="AD158" s="92"/>
      <c r="AE158">
        <v>50</v>
      </c>
      <c r="AF158">
        <f t="shared" si="58"/>
        <v>1490.3999999999999</v>
      </c>
      <c r="AG158">
        <v>1</v>
      </c>
      <c r="AI158">
        <f t="shared" si="57"/>
        <v>263.7</v>
      </c>
      <c r="AJ158">
        <f t="shared" si="46"/>
        <v>1490.3999999999999</v>
      </c>
      <c r="AM158">
        <f t="shared" si="55"/>
        <v>385.46347499999996</v>
      </c>
      <c r="AQ158" s="93"/>
      <c r="AR158">
        <v>50</v>
      </c>
      <c r="AS158">
        <f t="shared" si="56"/>
        <v>1541.8538999999998</v>
      </c>
      <c r="AT158">
        <f t="shared" si="56"/>
        <v>1156.3904249999998</v>
      </c>
      <c r="AU158">
        <f t="shared" si="56"/>
        <v>770.92694999999992</v>
      </c>
      <c r="AV158">
        <f t="shared" si="56"/>
        <v>385.46347499999996</v>
      </c>
      <c r="AW158" s="1">
        <f t="shared" si="56"/>
        <v>192.73173749999998</v>
      </c>
      <c r="AX158">
        <f t="shared" si="56"/>
        <v>96.36586874999999</v>
      </c>
    </row>
    <row r="159" spans="30:57" ht="15" x14ac:dyDescent="0.25">
      <c r="AD159" s="92"/>
      <c r="AE159">
        <v>60</v>
      </c>
      <c r="AF159">
        <f t="shared" si="58"/>
        <v>1788.48</v>
      </c>
      <c r="AG159">
        <v>1</v>
      </c>
      <c r="AI159">
        <f t="shared" si="57"/>
        <v>316.44</v>
      </c>
      <c r="AJ159">
        <f t="shared" si="46"/>
        <v>1788.48</v>
      </c>
      <c r="AM159">
        <f t="shared" si="55"/>
        <v>462.55617000000001</v>
      </c>
      <c r="AQ159" s="93"/>
      <c r="AR159">
        <v>60</v>
      </c>
      <c r="AS159">
        <f t="shared" si="56"/>
        <v>1850.22468</v>
      </c>
      <c r="AT159">
        <f t="shared" si="56"/>
        <v>1387.66851</v>
      </c>
      <c r="AU159">
        <f t="shared" si="56"/>
        <v>925.11234000000002</v>
      </c>
      <c r="AV159">
        <f t="shared" si="56"/>
        <v>462.55617000000001</v>
      </c>
      <c r="AW159" s="1">
        <f t="shared" si="56"/>
        <v>231.278085</v>
      </c>
      <c r="AX159">
        <f t="shared" si="56"/>
        <v>115.6390425</v>
      </c>
    </row>
    <row r="160" spans="30:57" ht="15" x14ac:dyDescent="0.25">
      <c r="AD160" s="92"/>
      <c r="AE160">
        <v>70</v>
      </c>
      <c r="AF160">
        <f t="shared" si="58"/>
        <v>2086.56</v>
      </c>
      <c r="AG160">
        <v>1</v>
      </c>
      <c r="AI160">
        <f t="shared" si="57"/>
        <v>369.18</v>
      </c>
      <c r="AJ160">
        <f t="shared" si="46"/>
        <v>2086.56</v>
      </c>
      <c r="AM160">
        <f t="shared" si="55"/>
        <v>539.648865</v>
      </c>
      <c r="AQ160" s="93"/>
      <c r="AR160">
        <v>70</v>
      </c>
      <c r="AS160">
        <f t="shared" si="56"/>
        <v>2158.59546</v>
      </c>
      <c r="AT160">
        <f t="shared" si="56"/>
        <v>1618.9465949999999</v>
      </c>
      <c r="AU160">
        <f t="shared" si="56"/>
        <v>1079.29773</v>
      </c>
      <c r="AV160">
        <f t="shared" si="56"/>
        <v>539.648865</v>
      </c>
      <c r="AW160" s="1">
        <f t="shared" si="56"/>
        <v>269.8244325</v>
      </c>
      <c r="AX160">
        <f t="shared" si="56"/>
        <v>134.91221625</v>
      </c>
    </row>
    <row r="161" spans="30:57" ht="15" x14ac:dyDescent="0.25">
      <c r="AD161" s="92"/>
      <c r="AE161">
        <v>80</v>
      </c>
      <c r="AF161">
        <f t="shared" si="58"/>
        <v>2384.64</v>
      </c>
      <c r="AG161">
        <v>1</v>
      </c>
      <c r="AI161">
        <f t="shared" si="57"/>
        <v>421.92</v>
      </c>
      <c r="AJ161">
        <f t="shared" si="46"/>
        <v>2384.64</v>
      </c>
      <c r="AM161">
        <f t="shared" si="55"/>
        <v>616.74155999999994</v>
      </c>
      <c r="AQ161" s="93"/>
      <c r="AR161">
        <v>80</v>
      </c>
      <c r="AS161">
        <f t="shared" si="56"/>
        <v>2466.9662399999997</v>
      </c>
      <c r="AT161">
        <f t="shared" si="56"/>
        <v>1850.2246799999998</v>
      </c>
      <c r="AU161">
        <f t="shared" si="56"/>
        <v>1233.4831199999999</v>
      </c>
      <c r="AV161">
        <f t="shared" si="56"/>
        <v>616.74155999999994</v>
      </c>
      <c r="AW161" s="1">
        <f t="shared" si="56"/>
        <v>308.37077999999997</v>
      </c>
      <c r="AX161">
        <f t="shared" si="56"/>
        <v>154.18538999999998</v>
      </c>
    </row>
    <row r="162" spans="30:57" ht="15" x14ac:dyDescent="0.25">
      <c r="AD162" s="92">
        <v>75</v>
      </c>
      <c r="AE162">
        <v>5</v>
      </c>
      <c r="AF162">
        <f>AE162*1.6*($AN$113+$AF$103)</f>
        <v>160.92000000000002</v>
      </c>
      <c r="AG162">
        <v>1</v>
      </c>
      <c r="AI162">
        <f t="shared" ref="AI162:AI170" si="59">AO99</f>
        <v>26.37</v>
      </c>
      <c r="AJ162">
        <f t="shared" si="46"/>
        <v>160.92000000000002</v>
      </c>
      <c r="AM162">
        <f t="shared" si="55"/>
        <v>41.156977500000004</v>
      </c>
      <c r="AQ162" s="93">
        <v>75</v>
      </c>
      <c r="AR162">
        <v>5</v>
      </c>
      <c r="AS162">
        <f t="shared" si="56"/>
        <v>164.62791000000001</v>
      </c>
      <c r="AT162">
        <f t="shared" si="56"/>
        <v>123.4709325</v>
      </c>
      <c r="AU162">
        <f t="shared" si="56"/>
        <v>82.313955000000007</v>
      </c>
      <c r="AV162">
        <f t="shared" si="56"/>
        <v>41.156977500000004</v>
      </c>
      <c r="AW162" s="1">
        <f t="shared" si="56"/>
        <v>20.578488750000002</v>
      </c>
      <c r="AX162">
        <f t="shared" si="56"/>
        <v>10.289244375000001</v>
      </c>
    </row>
    <row r="163" spans="30:57" ht="15" x14ac:dyDescent="0.25">
      <c r="AD163" s="92"/>
      <c r="AE163">
        <v>10</v>
      </c>
      <c r="AF163">
        <f t="shared" ref="AF163:AF170" si="60">AE163*1.6*($AN$113+$AF$103)</f>
        <v>321.84000000000003</v>
      </c>
      <c r="AG163">
        <v>1</v>
      </c>
      <c r="AI163">
        <f t="shared" si="59"/>
        <v>52.74</v>
      </c>
      <c r="AJ163">
        <f t="shared" si="46"/>
        <v>321.84000000000003</v>
      </c>
      <c r="AM163">
        <f t="shared" si="55"/>
        <v>82.313955000000007</v>
      </c>
      <c r="AQ163" s="93"/>
      <c r="AR163">
        <v>10</v>
      </c>
      <c r="AS163">
        <f t="shared" si="56"/>
        <v>329.25582000000003</v>
      </c>
      <c r="AT163">
        <f t="shared" si="56"/>
        <v>246.94186500000001</v>
      </c>
      <c r="AU163">
        <f t="shared" si="56"/>
        <v>164.62791000000001</v>
      </c>
      <c r="AV163">
        <f t="shared" si="56"/>
        <v>82.313955000000007</v>
      </c>
      <c r="AW163" s="1">
        <f t="shared" si="56"/>
        <v>41.156977500000004</v>
      </c>
      <c r="AX163">
        <f t="shared" si="56"/>
        <v>20.578488750000002</v>
      </c>
    </row>
    <row r="164" spans="30:57" ht="15" x14ac:dyDescent="0.25">
      <c r="AD164" s="92"/>
      <c r="AE164">
        <v>20</v>
      </c>
      <c r="AF164">
        <f t="shared" si="60"/>
        <v>643.68000000000006</v>
      </c>
      <c r="AG164">
        <v>1</v>
      </c>
      <c r="AI164">
        <f t="shared" si="59"/>
        <v>105.48</v>
      </c>
      <c r="AJ164">
        <f t="shared" si="46"/>
        <v>643.68000000000006</v>
      </c>
      <c r="AM164">
        <f t="shared" si="55"/>
        <v>164.62791000000001</v>
      </c>
      <c r="AQ164" s="93"/>
      <c r="AR164">
        <v>20</v>
      </c>
      <c r="AS164">
        <f t="shared" si="56"/>
        <v>658.51164000000006</v>
      </c>
      <c r="AT164">
        <f t="shared" si="56"/>
        <v>493.88373000000001</v>
      </c>
      <c r="AU164">
        <f t="shared" si="56"/>
        <v>329.25582000000003</v>
      </c>
      <c r="AV164">
        <f t="shared" si="56"/>
        <v>164.62791000000001</v>
      </c>
      <c r="AW164" s="1">
        <f t="shared" si="56"/>
        <v>82.313955000000007</v>
      </c>
      <c r="AX164">
        <f t="shared" si="56"/>
        <v>41.156977500000004</v>
      </c>
      <c r="BD164">
        <v>20</v>
      </c>
      <c r="BE164">
        <v>82.313955000000007</v>
      </c>
    </row>
    <row r="165" spans="30:57" ht="15" x14ac:dyDescent="0.25">
      <c r="AD165" s="92"/>
      <c r="AE165">
        <v>30</v>
      </c>
      <c r="AF165">
        <f t="shared" si="60"/>
        <v>965.5200000000001</v>
      </c>
      <c r="AG165">
        <v>1</v>
      </c>
      <c r="AI165">
        <f t="shared" si="59"/>
        <v>158.22</v>
      </c>
      <c r="AJ165">
        <f t="shared" si="46"/>
        <v>965.5200000000001</v>
      </c>
      <c r="AM165">
        <f t="shared" si="55"/>
        <v>246.94186500000001</v>
      </c>
      <c r="AQ165" s="93"/>
      <c r="AR165">
        <v>30</v>
      </c>
      <c r="AS165">
        <f t="shared" si="56"/>
        <v>987.76746000000003</v>
      </c>
      <c r="AT165">
        <f t="shared" si="56"/>
        <v>740.82559500000002</v>
      </c>
      <c r="AU165">
        <f t="shared" si="56"/>
        <v>493.88373000000001</v>
      </c>
      <c r="AV165">
        <f t="shared" si="56"/>
        <v>246.94186500000001</v>
      </c>
      <c r="AW165" s="1">
        <f t="shared" si="56"/>
        <v>123.4709325</v>
      </c>
      <c r="AX165">
        <f t="shared" si="56"/>
        <v>61.735466250000002</v>
      </c>
    </row>
    <row r="166" spans="30:57" ht="15" x14ac:dyDescent="0.25">
      <c r="AD166" s="92"/>
      <c r="AE166">
        <v>40</v>
      </c>
      <c r="AF166">
        <f t="shared" si="60"/>
        <v>1287.3600000000001</v>
      </c>
      <c r="AG166">
        <v>1</v>
      </c>
      <c r="AI166">
        <f t="shared" si="59"/>
        <v>210.96</v>
      </c>
      <c r="AJ166">
        <f t="shared" si="46"/>
        <v>1287.3600000000001</v>
      </c>
      <c r="AM166">
        <f t="shared" si="55"/>
        <v>329.25582000000003</v>
      </c>
      <c r="AQ166" s="93"/>
      <c r="AR166">
        <v>40</v>
      </c>
      <c r="AS166">
        <f t="shared" si="56"/>
        <v>1317.0232800000001</v>
      </c>
      <c r="AT166">
        <f t="shared" si="56"/>
        <v>987.76746000000003</v>
      </c>
      <c r="AU166">
        <f t="shared" si="56"/>
        <v>658.51164000000006</v>
      </c>
      <c r="AV166">
        <f t="shared" si="56"/>
        <v>329.25582000000003</v>
      </c>
      <c r="AW166" s="1">
        <f t="shared" si="56"/>
        <v>164.62791000000001</v>
      </c>
      <c r="AX166">
        <f t="shared" si="56"/>
        <v>82.313955000000007</v>
      </c>
    </row>
    <row r="167" spans="30:57" ht="15" x14ac:dyDescent="0.25">
      <c r="AD167" s="92"/>
      <c r="AE167">
        <v>50</v>
      </c>
      <c r="AF167">
        <f t="shared" si="60"/>
        <v>1609.2000000000003</v>
      </c>
      <c r="AG167">
        <v>1</v>
      </c>
      <c r="AI167">
        <f t="shared" si="59"/>
        <v>263.7</v>
      </c>
      <c r="AJ167">
        <f t="shared" si="46"/>
        <v>1609.2000000000003</v>
      </c>
      <c r="AM167">
        <f t="shared" si="55"/>
        <v>411.56977500000005</v>
      </c>
      <c r="AQ167" s="93"/>
      <c r="AR167">
        <v>50</v>
      </c>
      <c r="AS167">
        <f t="shared" si="56"/>
        <v>1646.2791000000002</v>
      </c>
      <c r="AT167">
        <f t="shared" si="56"/>
        <v>1234.7093250000003</v>
      </c>
      <c r="AU167">
        <f t="shared" si="56"/>
        <v>823.1395500000001</v>
      </c>
      <c r="AV167">
        <f t="shared" si="56"/>
        <v>411.56977500000005</v>
      </c>
      <c r="AW167" s="1">
        <f t="shared" si="56"/>
        <v>205.78488750000002</v>
      </c>
      <c r="AX167">
        <f t="shared" si="56"/>
        <v>102.89244375000001</v>
      </c>
    </row>
    <row r="168" spans="30:57" ht="15" x14ac:dyDescent="0.25">
      <c r="AD168" s="92"/>
      <c r="AE168">
        <v>60</v>
      </c>
      <c r="AF168">
        <f t="shared" si="60"/>
        <v>1931.0400000000002</v>
      </c>
      <c r="AG168">
        <v>1</v>
      </c>
      <c r="AI168">
        <f t="shared" si="59"/>
        <v>316.44</v>
      </c>
      <c r="AJ168">
        <f t="shared" si="46"/>
        <v>1931.0400000000002</v>
      </c>
      <c r="AM168">
        <f t="shared" si="55"/>
        <v>493.88373000000001</v>
      </c>
      <c r="AQ168" s="93"/>
      <c r="AR168">
        <v>60</v>
      </c>
      <c r="AS168">
        <f t="shared" si="56"/>
        <v>1975.5349200000001</v>
      </c>
      <c r="AT168">
        <f t="shared" si="56"/>
        <v>1481.65119</v>
      </c>
      <c r="AU168">
        <f t="shared" si="56"/>
        <v>987.76746000000003</v>
      </c>
      <c r="AV168">
        <f t="shared" si="56"/>
        <v>493.88373000000001</v>
      </c>
      <c r="AW168" s="1">
        <f t="shared" si="56"/>
        <v>246.94186500000001</v>
      </c>
      <c r="AX168">
        <f t="shared" si="56"/>
        <v>123.4709325</v>
      </c>
    </row>
    <row r="169" spans="30:57" ht="15" x14ac:dyDescent="0.25">
      <c r="AD169" s="92"/>
      <c r="AE169">
        <v>70</v>
      </c>
      <c r="AF169">
        <f t="shared" si="60"/>
        <v>2252.88</v>
      </c>
      <c r="AG169">
        <v>1</v>
      </c>
      <c r="AI169">
        <f t="shared" si="59"/>
        <v>369.18</v>
      </c>
      <c r="AJ169">
        <f t="shared" si="46"/>
        <v>2252.88</v>
      </c>
      <c r="AM169">
        <f t="shared" si="55"/>
        <v>576.19768499999998</v>
      </c>
      <c r="AQ169" s="93"/>
      <c r="AR169">
        <v>70</v>
      </c>
      <c r="AS169">
        <f t="shared" si="56"/>
        <v>2304.7907399999999</v>
      </c>
      <c r="AT169">
        <f t="shared" si="56"/>
        <v>1728.5930549999998</v>
      </c>
      <c r="AU169">
        <f t="shared" si="56"/>
        <v>1152.39537</v>
      </c>
      <c r="AV169">
        <f t="shared" si="56"/>
        <v>576.19768499999998</v>
      </c>
      <c r="AW169" s="1">
        <f t="shared" si="56"/>
        <v>288.09884249999999</v>
      </c>
      <c r="AX169">
        <f t="shared" si="56"/>
        <v>144.04942124999999</v>
      </c>
    </row>
    <row r="170" spans="30:57" ht="15" x14ac:dyDescent="0.25">
      <c r="AD170" s="92"/>
      <c r="AE170">
        <v>80</v>
      </c>
      <c r="AF170">
        <f t="shared" si="60"/>
        <v>2574.7200000000003</v>
      </c>
      <c r="AG170">
        <v>1</v>
      </c>
      <c r="AI170">
        <f t="shared" si="59"/>
        <v>421.92</v>
      </c>
      <c r="AJ170">
        <f t="shared" si="46"/>
        <v>2574.7200000000003</v>
      </c>
      <c r="AM170">
        <f t="shared" si="55"/>
        <v>658.51164000000006</v>
      </c>
      <c r="AQ170" s="93"/>
      <c r="AR170">
        <v>80</v>
      </c>
      <c r="AS170">
        <f t="shared" si="56"/>
        <v>2634.0465600000002</v>
      </c>
      <c r="AT170">
        <f t="shared" si="56"/>
        <v>1975.5349200000001</v>
      </c>
      <c r="AU170">
        <f t="shared" si="56"/>
        <v>1317.0232800000001</v>
      </c>
      <c r="AV170">
        <f t="shared" si="56"/>
        <v>658.51164000000006</v>
      </c>
      <c r="AW170" s="1">
        <f t="shared" si="56"/>
        <v>329.25582000000003</v>
      </c>
      <c r="AX170">
        <f t="shared" si="56"/>
        <v>164.62791000000001</v>
      </c>
    </row>
    <row r="171" spans="30:57" ht="15" x14ac:dyDescent="0.25">
      <c r="AD171" s="92">
        <v>100</v>
      </c>
      <c r="AE171">
        <v>5</v>
      </c>
      <c r="AF171">
        <f>AE171*1.6*($AN$113+$AF$104)</f>
        <v>172.8</v>
      </c>
      <c r="AG171">
        <v>1</v>
      </c>
      <c r="AI171">
        <f t="shared" ref="AI171:AI179" si="61">AO99</f>
        <v>26.37</v>
      </c>
      <c r="AJ171">
        <f t="shared" si="46"/>
        <v>172.8</v>
      </c>
      <c r="AM171">
        <f t="shared" si="55"/>
        <v>43.767607500000004</v>
      </c>
      <c r="AQ171" s="93">
        <v>100</v>
      </c>
      <c r="AR171">
        <v>5</v>
      </c>
      <c r="AS171">
        <f t="shared" si="56"/>
        <v>175.07043000000002</v>
      </c>
      <c r="AT171">
        <f t="shared" si="56"/>
        <v>131.30282250000002</v>
      </c>
      <c r="AU171">
        <f t="shared" si="56"/>
        <v>87.535215000000008</v>
      </c>
      <c r="AV171">
        <f t="shared" si="56"/>
        <v>43.767607500000004</v>
      </c>
      <c r="AW171" s="1">
        <f t="shared" si="56"/>
        <v>21.883803750000002</v>
      </c>
      <c r="AX171">
        <f t="shared" si="56"/>
        <v>10.941901875000001</v>
      </c>
    </row>
    <row r="172" spans="30:57" ht="15" x14ac:dyDescent="0.25">
      <c r="AD172" s="92"/>
      <c r="AE172">
        <v>10</v>
      </c>
      <c r="AF172">
        <f t="shared" ref="AF172:AF179" si="62">AE172*1.6*($AN$113+$AF$104)</f>
        <v>345.6</v>
      </c>
      <c r="AG172">
        <v>1</v>
      </c>
      <c r="AI172">
        <f t="shared" si="61"/>
        <v>52.74</v>
      </c>
      <c r="AJ172">
        <f t="shared" si="46"/>
        <v>345.6</v>
      </c>
      <c r="AM172">
        <f t="shared" si="55"/>
        <v>87.535215000000008</v>
      </c>
      <c r="AQ172" s="93"/>
      <c r="AR172">
        <v>10</v>
      </c>
      <c r="AS172">
        <f t="shared" si="56"/>
        <v>350.14086000000003</v>
      </c>
      <c r="AT172">
        <f t="shared" si="56"/>
        <v>262.60564500000004</v>
      </c>
      <c r="AU172">
        <f t="shared" si="56"/>
        <v>175.07043000000002</v>
      </c>
      <c r="AV172">
        <f t="shared" si="56"/>
        <v>87.535215000000008</v>
      </c>
      <c r="AW172" s="1">
        <f t="shared" si="56"/>
        <v>43.767607500000004</v>
      </c>
      <c r="AX172">
        <f t="shared" si="56"/>
        <v>21.883803750000002</v>
      </c>
    </row>
    <row r="173" spans="30:57" ht="15" x14ac:dyDescent="0.25">
      <c r="AD173" s="92"/>
      <c r="AE173">
        <v>20</v>
      </c>
      <c r="AF173">
        <f t="shared" si="62"/>
        <v>691.2</v>
      </c>
      <c r="AG173">
        <v>1</v>
      </c>
      <c r="AI173">
        <f t="shared" si="61"/>
        <v>105.48</v>
      </c>
      <c r="AJ173">
        <f t="shared" si="46"/>
        <v>691.2</v>
      </c>
      <c r="AM173">
        <f t="shared" si="55"/>
        <v>175.07043000000002</v>
      </c>
      <c r="AQ173" s="93"/>
      <c r="AR173">
        <v>20</v>
      </c>
      <c r="AS173">
        <f t="shared" si="56"/>
        <v>700.28172000000006</v>
      </c>
      <c r="AT173">
        <f t="shared" si="56"/>
        <v>525.21129000000008</v>
      </c>
      <c r="AU173">
        <f t="shared" si="56"/>
        <v>350.14086000000003</v>
      </c>
      <c r="AV173">
        <f t="shared" si="56"/>
        <v>175.07043000000002</v>
      </c>
      <c r="AW173" s="1">
        <f t="shared" si="56"/>
        <v>87.535215000000008</v>
      </c>
      <c r="AX173">
        <f t="shared" si="56"/>
        <v>43.767607500000004</v>
      </c>
      <c r="BD173">
        <v>20</v>
      </c>
      <c r="BE173">
        <v>87.535215000000008</v>
      </c>
    </row>
    <row r="174" spans="30:57" ht="15" x14ac:dyDescent="0.25">
      <c r="AD174" s="92"/>
      <c r="AE174">
        <v>30</v>
      </c>
      <c r="AF174">
        <f t="shared" si="62"/>
        <v>1036.8000000000002</v>
      </c>
      <c r="AG174">
        <v>1</v>
      </c>
      <c r="AI174">
        <f t="shared" si="61"/>
        <v>158.22</v>
      </c>
      <c r="AJ174">
        <f t="shared" si="46"/>
        <v>1036.8000000000002</v>
      </c>
      <c r="AM174">
        <f t="shared" si="55"/>
        <v>262.60564500000004</v>
      </c>
      <c r="AQ174" s="93"/>
      <c r="AR174">
        <v>30</v>
      </c>
      <c r="AS174">
        <f t="shared" si="56"/>
        <v>1050.4225800000002</v>
      </c>
      <c r="AT174">
        <f t="shared" si="56"/>
        <v>787.81693500000006</v>
      </c>
      <c r="AU174">
        <f t="shared" si="56"/>
        <v>525.21129000000008</v>
      </c>
      <c r="AV174">
        <f t="shared" si="56"/>
        <v>262.60564500000004</v>
      </c>
      <c r="AW174" s="1">
        <f t="shared" si="56"/>
        <v>131.30282250000002</v>
      </c>
      <c r="AX174">
        <f t="shared" si="56"/>
        <v>65.65141125000001</v>
      </c>
    </row>
    <row r="175" spans="30:57" ht="15" x14ac:dyDescent="0.25">
      <c r="AD175" s="92"/>
      <c r="AE175">
        <v>40</v>
      </c>
      <c r="AF175">
        <f t="shared" si="62"/>
        <v>1382.4</v>
      </c>
      <c r="AG175">
        <v>1</v>
      </c>
      <c r="AI175">
        <f t="shared" si="61"/>
        <v>210.96</v>
      </c>
      <c r="AJ175">
        <f t="shared" si="46"/>
        <v>1382.4</v>
      </c>
      <c r="AM175">
        <f t="shared" si="55"/>
        <v>350.14086000000003</v>
      </c>
      <c r="AQ175" s="93"/>
      <c r="AR175">
        <v>40</v>
      </c>
      <c r="AS175">
        <f t="shared" si="56"/>
        <v>1400.5634400000001</v>
      </c>
      <c r="AT175">
        <f t="shared" si="56"/>
        <v>1050.4225800000002</v>
      </c>
      <c r="AU175">
        <f t="shared" si="56"/>
        <v>700.28172000000006</v>
      </c>
      <c r="AV175">
        <f t="shared" si="56"/>
        <v>350.14086000000003</v>
      </c>
      <c r="AW175" s="1">
        <f t="shared" si="56"/>
        <v>175.07043000000002</v>
      </c>
      <c r="AX175">
        <f t="shared" si="56"/>
        <v>87.535215000000008</v>
      </c>
    </row>
    <row r="176" spans="30:57" ht="15" x14ac:dyDescent="0.25">
      <c r="AD176" s="92"/>
      <c r="AE176">
        <v>50</v>
      </c>
      <c r="AF176">
        <f t="shared" si="62"/>
        <v>1728</v>
      </c>
      <c r="AG176">
        <v>1</v>
      </c>
      <c r="AI176">
        <f t="shared" si="61"/>
        <v>263.7</v>
      </c>
      <c r="AJ176">
        <f t="shared" si="46"/>
        <v>1728</v>
      </c>
      <c r="AM176">
        <f t="shared" si="55"/>
        <v>437.67607500000003</v>
      </c>
      <c r="AQ176" s="93"/>
      <c r="AR176">
        <v>50</v>
      </c>
      <c r="AS176">
        <f t="shared" si="56"/>
        <v>1750.7043000000001</v>
      </c>
      <c r="AT176">
        <f t="shared" si="56"/>
        <v>1313.028225</v>
      </c>
      <c r="AU176">
        <f t="shared" si="56"/>
        <v>875.35215000000005</v>
      </c>
      <c r="AV176">
        <f t="shared" si="56"/>
        <v>437.67607500000003</v>
      </c>
      <c r="AW176" s="1">
        <f t="shared" si="56"/>
        <v>218.83803750000001</v>
      </c>
      <c r="AX176">
        <f t="shared" si="56"/>
        <v>109.41901875000001</v>
      </c>
    </row>
    <row r="177" spans="30:57" ht="15" x14ac:dyDescent="0.25">
      <c r="AD177" s="92"/>
      <c r="AE177">
        <v>60</v>
      </c>
      <c r="AF177">
        <f t="shared" si="62"/>
        <v>2073.6000000000004</v>
      </c>
      <c r="AG177">
        <v>1</v>
      </c>
      <c r="AI177">
        <f t="shared" si="61"/>
        <v>316.44</v>
      </c>
      <c r="AJ177">
        <f t="shared" si="46"/>
        <v>2073.6000000000004</v>
      </c>
      <c r="AM177">
        <f t="shared" si="55"/>
        <v>525.21129000000008</v>
      </c>
      <c r="AQ177" s="93"/>
      <c r="AR177">
        <v>60</v>
      </c>
      <c r="AS177">
        <f t="shared" si="56"/>
        <v>2100.8451600000003</v>
      </c>
      <c r="AT177">
        <f t="shared" si="56"/>
        <v>1575.6338700000001</v>
      </c>
      <c r="AU177">
        <f t="shared" si="56"/>
        <v>1050.4225800000002</v>
      </c>
      <c r="AV177">
        <f t="shared" si="56"/>
        <v>525.21129000000008</v>
      </c>
      <c r="AW177" s="1">
        <f t="shared" si="56"/>
        <v>262.60564500000004</v>
      </c>
      <c r="AX177">
        <f t="shared" si="56"/>
        <v>131.30282250000002</v>
      </c>
    </row>
    <row r="178" spans="30:57" ht="15" x14ac:dyDescent="0.25">
      <c r="AD178" s="92"/>
      <c r="AE178">
        <v>70</v>
      </c>
      <c r="AF178">
        <f t="shared" si="62"/>
        <v>2419.2000000000003</v>
      </c>
      <c r="AG178">
        <v>1</v>
      </c>
      <c r="AI178">
        <f t="shared" si="61"/>
        <v>369.18</v>
      </c>
      <c r="AJ178">
        <f t="shared" si="46"/>
        <v>2419.2000000000003</v>
      </c>
      <c r="AM178">
        <f t="shared" si="55"/>
        <v>612.74650500000007</v>
      </c>
      <c r="AQ178" s="93"/>
      <c r="AR178">
        <v>70</v>
      </c>
      <c r="AS178">
        <f t="shared" si="56"/>
        <v>2450.9860200000003</v>
      </c>
      <c r="AT178">
        <f t="shared" si="56"/>
        <v>1838.2395150000002</v>
      </c>
      <c r="AU178">
        <f t="shared" si="56"/>
        <v>1225.4930100000001</v>
      </c>
      <c r="AV178">
        <f t="shared" si="56"/>
        <v>612.74650500000007</v>
      </c>
      <c r="AW178" s="1">
        <f t="shared" si="56"/>
        <v>306.37325250000004</v>
      </c>
      <c r="AX178">
        <f t="shared" si="56"/>
        <v>153.18662625000002</v>
      </c>
    </row>
    <row r="179" spans="30:57" ht="15" x14ac:dyDescent="0.25">
      <c r="AD179" s="92"/>
      <c r="AE179">
        <v>80</v>
      </c>
      <c r="AF179">
        <f t="shared" si="62"/>
        <v>2764.8</v>
      </c>
      <c r="AG179">
        <v>1</v>
      </c>
      <c r="AI179">
        <f t="shared" si="61"/>
        <v>421.92</v>
      </c>
      <c r="AJ179">
        <f t="shared" si="46"/>
        <v>2764.8</v>
      </c>
      <c r="AM179">
        <f t="shared" si="55"/>
        <v>700.28172000000006</v>
      </c>
      <c r="AQ179" s="93"/>
      <c r="AR179">
        <v>80</v>
      </c>
      <c r="AS179">
        <f t="shared" si="56"/>
        <v>2801.1268800000003</v>
      </c>
      <c r="AT179">
        <f t="shared" si="56"/>
        <v>2100.8451600000003</v>
      </c>
      <c r="AU179">
        <f t="shared" si="56"/>
        <v>1400.5634400000001</v>
      </c>
      <c r="AV179">
        <f t="shared" si="56"/>
        <v>700.28172000000006</v>
      </c>
      <c r="AW179" s="1">
        <f t="shared" si="56"/>
        <v>350.14086000000003</v>
      </c>
      <c r="AX179">
        <f t="shared" si="56"/>
        <v>175.07043000000002</v>
      </c>
    </row>
    <row r="180" spans="30:57" ht="15" x14ac:dyDescent="0.25">
      <c r="AD180" s="92">
        <v>150</v>
      </c>
      <c r="AE180">
        <v>5</v>
      </c>
      <c r="AF180">
        <f>AE180*1.6*($AN$113+$AF$105)</f>
        <v>196.56</v>
      </c>
      <c r="AG180">
        <v>1</v>
      </c>
      <c r="AI180">
        <f t="shared" ref="AI180:AI188" si="63">AO99</f>
        <v>26.37</v>
      </c>
      <c r="AJ180">
        <f t="shared" si="46"/>
        <v>196.56</v>
      </c>
      <c r="AM180">
        <f t="shared" si="55"/>
        <v>48.988867500000005</v>
      </c>
      <c r="AQ180" s="93">
        <v>150</v>
      </c>
      <c r="AR180">
        <v>5</v>
      </c>
      <c r="AS180">
        <f t="shared" si="56"/>
        <v>195.95547000000002</v>
      </c>
      <c r="AT180">
        <f t="shared" si="56"/>
        <v>146.96660250000002</v>
      </c>
      <c r="AU180">
        <f t="shared" si="56"/>
        <v>97.97773500000001</v>
      </c>
      <c r="AV180">
        <f t="shared" si="56"/>
        <v>48.988867500000005</v>
      </c>
      <c r="AW180" s="1">
        <f t="shared" si="56"/>
        <v>24.494433750000002</v>
      </c>
      <c r="AX180">
        <f t="shared" si="56"/>
        <v>12.247216875000001</v>
      </c>
    </row>
    <row r="181" spans="30:57" ht="15" x14ac:dyDescent="0.25">
      <c r="AD181" s="92"/>
      <c r="AE181">
        <v>10</v>
      </c>
      <c r="AF181">
        <f t="shared" ref="AF181:AF188" si="64">AE181*1.6*($AN$113+$AF$105)</f>
        <v>393.12</v>
      </c>
      <c r="AG181">
        <v>1</v>
      </c>
      <c r="AI181">
        <f t="shared" si="63"/>
        <v>52.74</v>
      </c>
      <c r="AJ181">
        <f t="shared" si="46"/>
        <v>393.12</v>
      </c>
      <c r="AM181">
        <f t="shared" si="55"/>
        <v>97.97773500000001</v>
      </c>
      <c r="AQ181" s="93"/>
      <c r="AR181">
        <v>10</v>
      </c>
      <c r="AS181">
        <f t="shared" si="56"/>
        <v>391.91094000000004</v>
      </c>
      <c r="AT181">
        <f t="shared" si="56"/>
        <v>293.93320500000004</v>
      </c>
      <c r="AU181">
        <f t="shared" si="56"/>
        <v>195.95547000000002</v>
      </c>
      <c r="AV181">
        <f t="shared" si="56"/>
        <v>97.97773500000001</v>
      </c>
      <c r="AW181" s="1">
        <f t="shared" si="56"/>
        <v>48.988867500000005</v>
      </c>
      <c r="AX181">
        <f t="shared" si="56"/>
        <v>24.494433750000002</v>
      </c>
    </row>
    <row r="182" spans="30:57" ht="15" x14ac:dyDescent="0.25">
      <c r="AD182" s="92"/>
      <c r="AE182">
        <v>20</v>
      </c>
      <c r="AF182">
        <f t="shared" si="64"/>
        <v>786.24</v>
      </c>
      <c r="AG182">
        <v>1</v>
      </c>
      <c r="AI182">
        <f t="shared" si="63"/>
        <v>105.48</v>
      </c>
      <c r="AJ182">
        <f t="shared" ref="AJ182:AJ245" si="65">AF182*AG182</f>
        <v>786.24</v>
      </c>
      <c r="AM182">
        <f t="shared" si="55"/>
        <v>195.95547000000002</v>
      </c>
      <c r="AQ182" s="93"/>
      <c r="AR182">
        <v>20</v>
      </c>
      <c r="AS182">
        <f t="shared" ref="AS182:AX213" si="66">$AM182*AS$116</f>
        <v>783.82188000000008</v>
      </c>
      <c r="AT182">
        <f t="shared" si="66"/>
        <v>587.86641000000009</v>
      </c>
      <c r="AU182">
        <f t="shared" si="66"/>
        <v>391.91094000000004</v>
      </c>
      <c r="AV182">
        <f t="shared" si="66"/>
        <v>195.95547000000002</v>
      </c>
      <c r="AW182" s="1">
        <f t="shared" si="66"/>
        <v>97.97773500000001</v>
      </c>
      <c r="AX182">
        <f t="shared" si="66"/>
        <v>48.988867500000005</v>
      </c>
      <c r="BD182">
        <v>20</v>
      </c>
      <c r="BE182">
        <v>97.97773500000001</v>
      </c>
    </row>
    <row r="183" spans="30:57" ht="15" x14ac:dyDescent="0.25">
      <c r="AD183" s="92"/>
      <c r="AE183">
        <v>30</v>
      </c>
      <c r="AF183">
        <f t="shared" si="64"/>
        <v>1179.3600000000001</v>
      </c>
      <c r="AG183">
        <v>1</v>
      </c>
      <c r="AI183">
        <f t="shared" si="63"/>
        <v>158.22</v>
      </c>
      <c r="AJ183">
        <f t="shared" si="65"/>
        <v>1179.3600000000001</v>
      </c>
      <c r="AM183">
        <f t="shared" si="55"/>
        <v>293.93320500000004</v>
      </c>
      <c r="AQ183" s="93"/>
      <c r="AR183">
        <v>30</v>
      </c>
      <c r="AS183">
        <f t="shared" si="66"/>
        <v>1175.7328200000002</v>
      </c>
      <c r="AT183">
        <f t="shared" si="66"/>
        <v>881.79961500000013</v>
      </c>
      <c r="AU183">
        <f t="shared" si="66"/>
        <v>587.86641000000009</v>
      </c>
      <c r="AV183">
        <f t="shared" si="66"/>
        <v>293.93320500000004</v>
      </c>
      <c r="AW183" s="1">
        <f t="shared" si="66"/>
        <v>146.96660250000002</v>
      </c>
      <c r="AX183">
        <f t="shared" si="66"/>
        <v>73.483301250000011</v>
      </c>
    </row>
    <row r="184" spans="30:57" ht="15" x14ac:dyDescent="0.25">
      <c r="AD184" s="92"/>
      <c r="AE184">
        <v>40</v>
      </c>
      <c r="AF184">
        <f t="shared" si="64"/>
        <v>1572.48</v>
      </c>
      <c r="AG184">
        <v>1</v>
      </c>
      <c r="AI184">
        <f t="shared" si="63"/>
        <v>210.96</v>
      </c>
      <c r="AJ184">
        <f t="shared" si="65"/>
        <v>1572.48</v>
      </c>
      <c r="AM184">
        <f t="shared" si="55"/>
        <v>391.91094000000004</v>
      </c>
      <c r="AQ184" s="93"/>
      <c r="AR184">
        <v>40</v>
      </c>
      <c r="AS184">
        <f t="shared" si="66"/>
        <v>1567.6437600000002</v>
      </c>
      <c r="AT184">
        <f t="shared" si="66"/>
        <v>1175.7328200000002</v>
      </c>
      <c r="AU184">
        <f t="shared" si="66"/>
        <v>783.82188000000008</v>
      </c>
      <c r="AV184">
        <f t="shared" si="66"/>
        <v>391.91094000000004</v>
      </c>
      <c r="AW184" s="1">
        <f t="shared" si="66"/>
        <v>195.95547000000002</v>
      </c>
      <c r="AX184">
        <f t="shared" si="66"/>
        <v>97.97773500000001</v>
      </c>
    </row>
    <row r="185" spans="30:57" ht="15" x14ac:dyDescent="0.25">
      <c r="AD185" s="92"/>
      <c r="AE185">
        <v>50</v>
      </c>
      <c r="AF185">
        <f t="shared" si="64"/>
        <v>1965.6</v>
      </c>
      <c r="AG185">
        <v>1</v>
      </c>
      <c r="AI185">
        <f t="shared" si="63"/>
        <v>263.7</v>
      </c>
      <c r="AJ185">
        <f t="shared" si="65"/>
        <v>1965.6</v>
      </c>
      <c r="AM185">
        <f t="shared" si="55"/>
        <v>489.88867499999992</v>
      </c>
      <c r="AQ185" s="93"/>
      <c r="AR185">
        <v>50</v>
      </c>
      <c r="AS185">
        <f t="shared" si="66"/>
        <v>1959.5546999999997</v>
      </c>
      <c r="AT185">
        <f t="shared" si="66"/>
        <v>1469.6660249999998</v>
      </c>
      <c r="AU185">
        <f t="shared" si="66"/>
        <v>979.77734999999984</v>
      </c>
      <c r="AV185">
        <f t="shared" si="66"/>
        <v>489.88867499999992</v>
      </c>
      <c r="AW185" s="1">
        <f t="shared" si="66"/>
        <v>244.94433749999996</v>
      </c>
      <c r="AX185">
        <f t="shared" si="66"/>
        <v>122.47216874999998</v>
      </c>
    </row>
    <row r="186" spans="30:57" ht="15" x14ac:dyDescent="0.25">
      <c r="AD186" s="92"/>
      <c r="AE186">
        <v>60</v>
      </c>
      <c r="AF186">
        <f t="shared" si="64"/>
        <v>2358.7200000000003</v>
      </c>
      <c r="AG186">
        <v>1</v>
      </c>
      <c r="AI186">
        <f t="shared" si="63"/>
        <v>316.44</v>
      </c>
      <c r="AJ186">
        <f t="shared" si="65"/>
        <v>2358.7200000000003</v>
      </c>
      <c r="AM186">
        <f t="shared" si="55"/>
        <v>587.86641000000009</v>
      </c>
      <c r="AQ186" s="93"/>
      <c r="AR186">
        <v>60</v>
      </c>
      <c r="AS186">
        <f t="shared" si="66"/>
        <v>2351.4656400000003</v>
      </c>
      <c r="AT186">
        <f t="shared" si="66"/>
        <v>1763.5992300000003</v>
      </c>
      <c r="AU186">
        <f t="shared" si="66"/>
        <v>1175.7328200000002</v>
      </c>
      <c r="AV186">
        <f t="shared" si="66"/>
        <v>587.86641000000009</v>
      </c>
      <c r="AW186" s="1">
        <f t="shared" si="66"/>
        <v>293.93320500000004</v>
      </c>
      <c r="AX186">
        <f t="shared" si="66"/>
        <v>146.96660250000002</v>
      </c>
    </row>
    <row r="187" spans="30:57" ht="15" x14ac:dyDescent="0.25">
      <c r="AD187" s="92"/>
      <c r="AE187">
        <v>70</v>
      </c>
      <c r="AF187">
        <f t="shared" si="64"/>
        <v>2751.84</v>
      </c>
      <c r="AG187">
        <v>1</v>
      </c>
      <c r="AI187">
        <f t="shared" si="63"/>
        <v>369.18</v>
      </c>
      <c r="AJ187">
        <f t="shared" si="65"/>
        <v>2751.84</v>
      </c>
      <c r="AM187">
        <f t="shared" si="55"/>
        <v>685.84414500000003</v>
      </c>
      <c r="AQ187" s="93"/>
      <c r="AR187">
        <v>70</v>
      </c>
      <c r="AS187">
        <f t="shared" si="66"/>
        <v>2743.3765800000001</v>
      </c>
      <c r="AT187">
        <f t="shared" si="66"/>
        <v>2057.5324350000001</v>
      </c>
      <c r="AU187">
        <f t="shared" si="66"/>
        <v>1371.6882900000001</v>
      </c>
      <c r="AV187">
        <f t="shared" si="66"/>
        <v>685.84414500000003</v>
      </c>
      <c r="AW187" s="1">
        <f t="shared" si="66"/>
        <v>342.92207250000001</v>
      </c>
      <c r="AX187">
        <f t="shared" si="66"/>
        <v>171.46103625000001</v>
      </c>
    </row>
    <row r="188" spans="30:57" ht="15" x14ac:dyDescent="0.25">
      <c r="AD188" s="92"/>
      <c r="AE188">
        <v>80</v>
      </c>
      <c r="AF188">
        <f t="shared" si="64"/>
        <v>3144.96</v>
      </c>
      <c r="AG188">
        <v>1</v>
      </c>
      <c r="AI188">
        <f t="shared" si="63"/>
        <v>421.92</v>
      </c>
      <c r="AJ188">
        <f t="shared" si="65"/>
        <v>3144.96</v>
      </c>
      <c r="AM188">
        <f t="shared" si="55"/>
        <v>783.82188000000008</v>
      </c>
      <c r="AQ188" s="93"/>
      <c r="AR188">
        <v>80</v>
      </c>
      <c r="AS188">
        <f t="shared" si="66"/>
        <v>3135.2875200000003</v>
      </c>
      <c r="AT188">
        <f t="shared" si="66"/>
        <v>2351.4656400000003</v>
      </c>
      <c r="AU188">
        <f t="shared" si="66"/>
        <v>1567.6437600000002</v>
      </c>
      <c r="AV188">
        <f t="shared" si="66"/>
        <v>783.82188000000008</v>
      </c>
      <c r="AW188" s="1">
        <f t="shared" si="66"/>
        <v>391.91094000000004</v>
      </c>
      <c r="AX188">
        <f t="shared" si="66"/>
        <v>195.95547000000002</v>
      </c>
    </row>
    <row r="189" spans="30:57" ht="15" x14ac:dyDescent="0.25">
      <c r="AD189" s="92">
        <v>200</v>
      </c>
      <c r="AE189">
        <v>5</v>
      </c>
      <c r="AF189">
        <f>AE189*1.6*($AO$113+$AF$106)</f>
        <v>356.32</v>
      </c>
      <c r="AG189">
        <v>1</v>
      </c>
      <c r="AI189">
        <f t="shared" ref="AI189:AI197" si="67">AP99</f>
        <v>43.648000000000003</v>
      </c>
      <c r="AJ189">
        <f t="shared" si="65"/>
        <v>356.32</v>
      </c>
      <c r="AM189">
        <f>(AI189+AJ189)*$AO$112</f>
        <v>68.194544000000008</v>
      </c>
      <c r="AQ189" s="93">
        <v>200</v>
      </c>
      <c r="AR189">
        <v>5</v>
      </c>
      <c r="AS189">
        <f t="shared" si="66"/>
        <v>272.77817600000003</v>
      </c>
      <c r="AT189">
        <f t="shared" si="66"/>
        <v>204.58363200000002</v>
      </c>
      <c r="AU189">
        <f t="shared" si="66"/>
        <v>136.38908800000002</v>
      </c>
      <c r="AV189">
        <f t="shared" si="66"/>
        <v>68.194544000000008</v>
      </c>
      <c r="AW189" s="1">
        <f t="shared" si="66"/>
        <v>34.097272000000004</v>
      </c>
      <c r="AX189">
        <f t="shared" si="66"/>
        <v>17.048636000000002</v>
      </c>
    </row>
    <row r="190" spans="30:57" ht="15" x14ac:dyDescent="0.25">
      <c r="AD190" s="92"/>
      <c r="AE190">
        <v>10</v>
      </c>
      <c r="AF190">
        <f t="shared" ref="AF190:AF197" si="68">AE190*1.6*($AO$113+$AF$106)</f>
        <v>712.64</v>
      </c>
      <c r="AG190">
        <v>1</v>
      </c>
      <c r="AI190">
        <f t="shared" si="67"/>
        <v>87.296000000000006</v>
      </c>
      <c r="AJ190">
        <f t="shared" si="65"/>
        <v>712.64</v>
      </c>
      <c r="AM190">
        <f t="shared" ref="AM190:AM251" si="69">(AI190+AJ190)*$AO$112</f>
        <v>136.38908800000002</v>
      </c>
      <c r="AQ190" s="93"/>
      <c r="AR190">
        <v>10</v>
      </c>
      <c r="AS190">
        <f t="shared" si="66"/>
        <v>545.55635200000006</v>
      </c>
      <c r="AT190">
        <f t="shared" si="66"/>
        <v>409.16726400000005</v>
      </c>
      <c r="AU190">
        <f t="shared" si="66"/>
        <v>272.77817600000003</v>
      </c>
      <c r="AV190">
        <f t="shared" si="66"/>
        <v>136.38908800000002</v>
      </c>
      <c r="AW190" s="1">
        <f t="shared" si="66"/>
        <v>68.194544000000008</v>
      </c>
      <c r="AX190">
        <f t="shared" si="66"/>
        <v>34.097272000000004</v>
      </c>
    </row>
    <row r="191" spans="30:57" ht="15" x14ac:dyDescent="0.25">
      <c r="AD191" s="92"/>
      <c r="AE191">
        <v>20</v>
      </c>
      <c r="AF191">
        <f t="shared" si="68"/>
        <v>1425.28</v>
      </c>
      <c r="AG191">
        <v>1</v>
      </c>
      <c r="AI191">
        <f t="shared" si="67"/>
        <v>174.59200000000001</v>
      </c>
      <c r="AJ191">
        <f t="shared" si="65"/>
        <v>1425.28</v>
      </c>
      <c r="AM191">
        <f t="shared" si="69"/>
        <v>272.77817600000003</v>
      </c>
      <c r="AQ191" s="93"/>
      <c r="AR191">
        <v>20</v>
      </c>
      <c r="AS191">
        <f t="shared" si="66"/>
        <v>1091.1127040000001</v>
      </c>
      <c r="AT191">
        <f t="shared" si="66"/>
        <v>818.33452800000009</v>
      </c>
      <c r="AU191">
        <f t="shared" si="66"/>
        <v>545.55635200000006</v>
      </c>
      <c r="AV191">
        <f t="shared" si="66"/>
        <v>272.77817600000003</v>
      </c>
      <c r="AW191" s="1">
        <f t="shared" si="66"/>
        <v>136.38908800000002</v>
      </c>
      <c r="AX191">
        <f t="shared" si="66"/>
        <v>68.194544000000008</v>
      </c>
      <c r="BD191">
        <v>20</v>
      </c>
      <c r="BE191">
        <v>136.38908800000002</v>
      </c>
    </row>
    <row r="192" spans="30:57" ht="15" x14ac:dyDescent="0.25">
      <c r="AD192" s="92"/>
      <c r="AE192">
        <v>30</v>
      </c>
      <c r="AF192">
        <f t="shared" si="68"/>
        <v>2137.92</v>
      </c>
      <c r="AG192">
        <v>1</v>
      </c>
      <c r="AI192">
        <f t="shared" si="67"/>
        <v>261.88800000000003</v>
      </c>
      <c r="AJ192">
        <f t="shared" si="65"/>
        <v>2137.92</v>
      </c>
      <c r="AM192">
        <f t="shared" si="69"/>
        <v>409.16726400000005</v>
      </c>
      <c r="AQ192" s="93"/>
      <c r="AR192">
        <v>30</v>
      </c>
      <c r="AS192">
        <f t="shared" si="66"/>
        <v>1636.6690560000002</v>
      </c>
      <c r="AT192">
        <f t="shared" si="66"/>
        <v>1227.501792</v>
      </c>
      <c r="AU192">
        <f t="shared" si="66"/>
        <v>818.33452800000009</v>
      </c>
      <c r="AV192">
        <f t="shared" si="66"/>
        <v>409.16726400000005</v>
      </c>
      <c r="AW192" s="1">
        <f t="shared" si="66"/>
        <v>204.58363200000002</v>
      </c>
      <c r="AX192">
        <f t="shared" si="66"/>
        <v>102.29181600000001</v>
      </c>
    </row>
    <row r="193" spans="30:57" ht="15" x14ac:dyDescent="0.25">
      <c r="AD193" s="92"/>
      <c r="AE193">
        <v>40</v>
      </c>
      <c r="AF193">
        <f t="shared" si="68"/>
        <v>2850.56</v>
      </c>
      <c r="AG193">
        <v>1</v>
      </c>
      <c r="AI193">
        <f t="shared" si="67"/>
        <v>349.18400000000003</v>
      </c>
      <c r="AJ193">
        <f t="shared" si="65"/>
        <v>2850.56</v>
      </c>
      <c r="AM193">
        <f t="shared" si="69"/>
        <v>545.55635200000006</v>
      </c>
      <c r="AQ193" s="93"/>
      <c r="AR193">
        <v>40</v>
      </c>
      <c r="AS193">
        <f t="shared" si="66"/>
        <v>2182.2254080000002</v>
      </c>
      <c r="AT193">
        <f t="shared" si="66"/>
        <v>1636.6690560000002</v>
      </c>
      <c r="AU193">
        <f t="shared" si="66"/>
        <v>1091.1127040000001</v>
      </c>
      <c r="AV193">
        <f t="shared" si="66"/>
        <v>545.55635200000006</v>
      </c>
      <c r="AW193" s="1">
        <f t="shared" si="66"/>
        <v>272.77817600000003</v>
      </c>
      <c r="AX193">
        <f t="shared" si="66"/>
        <v>136.38908800000002</v>
      </c>
    </row>
    <row r="194" spans="30:57" ht="15" x14ac:dyDescent="0.25">
      <c r="AD194" s="92"/>
      <c r="AE194">
        <v>50</v>
      </c>
      <c r="AF194">
        <f t="shared" si="68"/>
        <v>3563.2</v>
      </c>
      <c r="AG194">
        <v>1</v>
      </c>
      <c r="AI194">
        <f t="shared" si="67"/>
        <v>436.48</v>
      </c>
      <c r="AJ194">
        <f t="shared" si="65"/>
        <v>3563.2</v>
      </c>
      <c r="AM194">
        <f t="shared" si="69"/>
        <v>681.94544000000008</v>
      </c>
      <c r="AQ194" s="93"/>
      <c r="AR194">
        <v>50</v>
      </c>
      <c r="AS194">
        <f t="shared" si="66"/>
        <v>2727.7817600000003</v>
      </c>
      <c r="AT194">
        <f t="shared" si="66"/>
        <v>2045.8363200000003</v>
      </c>
      <c r="AU194">
        <f t="shared" si="66"/>
        <v>1363.8908800000002</v>
      </c>
      <c r="AV194">
        <f t="shared" si="66"/>
        <v>681.94544000000008</v>
      </c>
      <c r="AW194" s="1">
        <f t="shared" si="66"/>
        <v>340.97272000000004</v>
      </c>
      <c r="AX194">
        <f t="shared" si="66"/>
        <v>170.48636000000002</v>
      </c>
    </row>
    <row r="195" spans="30:57" ht="15" x14ac:dyDescent="0.25">
      <c r="AD195" s="92"/>
      <c r="AE195">
        <v>60</v>
      </c>
      <c r="AF195">
        <f t="shared" si="68"/>
        <v>4275.84</v>
      </c>
      <c r="AG195">
        <v>1</v>
      </c>
      <c r="AI195">
        <f t="shared" si="67"/>
        <v>523.77600000000007</v>
      </c>
      <c r="AJ195">
        <f t="shared" si="65"/>
        <v>4275.84</v>
      </c>
      <c r="AM195">
        <f t="shared" si="69"/>
        <v>818.33452800000009</v>
      </c>
      <c r="AQ195" s="93"/>
      <c r="AR195">
        <v>60</v>
      </c>
      <c r="AS195">
        <f t="shared" si="66"/>
        <v>3273.3381120000004</v>
      </c>
      <c r="AT195">
        <f t="shared" si="66"/>
        <v>2455.003584</v>
      </c>
      <c r="AU195">
        <f t="shared" si="66"/>
        <v>1636.6690560000002</v>
      </c>
      <c r="AV195">
        <f t="shared" si="66"/>
        <v>818.33452800000009</v>
      </c>
      <c r="AW195" s="1">
        <f t="shared" si="66"/>
        <v>409.16726400000005</v>
      </c>
      <c r="AX195">
        <f t="shared" si="66"/>
        <v>204.58363200000002</v>
      </c>
    </row>
    <row r="196" spans="30:57" ht="15" x14ac:dyDescent="0.25">
      <c r="AD196" s="92"/>
      <c r="AE196">
        <v>70</v>
      </c>
      <c r="AF196">
        <f t="shared" si="68"/>
        <v>4988.4799999999996</v>
      </c>
      <c r="AG196">
        <v>1</v>
      </c>
      <c r="AI196">
        <f t="shared" si="67"/>
        <v>611.072</v>
      </c>
      <c r="AJ196">
        <f t="shared" si="65"/>
        <v>4988.4799999999996</v>
      </c>
      <c r="AM196">
        <f t="shared" si="69"/>
        <v>954.72361599999999</v>
      </c>
      <c r="AQ196" s="93"/>
      <c r="AR196">
        <v>70</v>
      </c>
      <c r="AS196">
        <f t="shared" si="66"/>
        <v>3818.894464</v>
      </c>
      <c r="AT196">
        <f t="shared" si="66"/>
        <v>2864.1708479999998</v>
      </c>
      <c r="AU196">
        <f t="shared" si="66"/>
        <v>1909.447232</v>
      </c>
      <c r="AV196">
        <f t="shared" si="66"/>
        <v>954.72361599999999</v>
      </c>
      <c r="AW196" s="1">
        <f t="shared" si="66"/>
        <v>477.361808</v>
      </c>
      <c r="AX196">
        <f t="shared" si="66"/>
        <v>238.680904</v>
      </c>
    </row>
    <row r="197" spans="30:57" ht="15" x14ac:dyDescent="0.25">
      <c r="AD197" s="92"/>
      <c r="AE197">
        <v>80</v>
      </c>
      <c r="AF197">
        <f t="shared" si="68"/>
        <v>5701.12</v>
      </c>
      <c r="AG197">
        <v>1</v>
      </c>
      <c r="AI197">
        <f t="shared" si="67"/>
        <v>698.36800000000005</v>
      </c>
      <c r="AJ197">
        <f t="shared" si="65"/>
        <v>5701.12</v>
      </c>
      <c r="AM197">
        <f t="shared" si="69"/>
        <v>1091.1127040000001</v>
      </c>
      <c r="AQ197" s="93"/>
      <c r="AR197">
        <v>80</v>
      </c>
      <c r="AS197">
        <f t="shared" si="66"/>
        <v>4364.4508160000005</v>
      </c>
      <c r="AT197">
        <f t="shared" si="66"/>
        <v>3273.3381120000004</v>
      </c>
      <c r="AU197">
        <f t="shared" si="66"/>
        <v>2182.2254080000002</v>
      </c>
      <c r="AV197">
        <f t="shared" si="66"/>
        <v>1091.1127040000001</v>
      </c>
      <c r="AW197" s="1">
        <f t="shared" si="66"/>
        <v>545.55635200000006</v>
      </c>
      <c r="AX197">
        <f t="shared" si="66"/>
        <v>272.77817600000003</v>
      </c>
    </row>
    <row r="198" spans="30:57" ht="15" x14ac:dyDescent="0.25">
      <c r="AD198" s="92">
        <v>300</v>
      </c>
      <c r="AE198">
        <v>5</v>
      </c>
      <c r="AF198">
        <f>AE198*1.6*($AO$113+$AF$107)</f>
        <v>403.84000000000003</v>
      </c>
      <c r="AG198">
        <v>1</v>
      </c>
      <c r="AI198">
        <f t="shared" ref="AI198:AI206" si="70">AP99</f>
        <v>43.648000000000003</v>
      </c>
      <c r="AJ198">
        <f t="shared" si="65"/>
        <v>403.84000000000003</v>
      </c>
      <c r="AM198">
        <f t="shared" si="69"/>
        <v>76.29670400000002</v>
      </c>
      <c r="AQ198" s="93">
        <v>300</v>
      </c>
      <c r="AR198">
        <v>5</v>
      </c>
      <c r="AS198">
        <f t="shared" si="66"/>
        <v>305.18681600000008</v>
      </c>
      <c r="AT198">
        <f t="shared" si="66"/>
        <v>228.89011200000004</v>
      </c>
      <c r="AU198">
        <f t="shared" si="66"/>
        <v>152.59340800000004</v>
      </c>
      <c r="AV198">
        <f t="shared" si="66"/>
        <v>76.29670400000002</v>
      </c>
      <c r="AW198" s="1">
        <f t="shared" si="66"/>
        <v>38.14835200000001</v>
      </c>
      <c r="AX198">
        <f t="shared" si="66"/>
        <v>19.074176000000005</v>
      </c>
    </row>
    <row r="199" spans="30:57" ht="15" x14ac:dyDescent="0.25">
      <c r="AD199" s="92"/>
      <c r="AE199">
        <v>10</v>
      </c>
      <c r="AF199">
        <f t="shared" ref="AF199:AF206" si="71">AE199*1.6*($AO$113+$AF$107)</f>
        <v>807.68000000000006</v>
      </c>
      <c r="AG199">
        <v>1</v>
      </c>
      <c r="AI199">
        <f t="shared" si="70"/>
        <v>87.296000000000006</v>
      </c>
      <c r="AJ199">
        <f t="shared" si="65"/>
        <v>807.68000000000006</v>
      </c>
      <c r="AM199">
        <f t="shared" si="69"/>
        <v>152.59340800000004</v>
      </c>
      <c r="AQ199" s="93"/>
      <c r="AR199">
        <v>10</v>
      </c>
      <c r="AS199">
        <f t="shared" si="66"/>
        <v>610.37363200000016</v>
      </c>
      <c r="AT199">
        <f t="shared" si="66"/>
        <v>457.78022400000009</v>
      </c>
      <c r="AU199">
        <f t="shared" si="66"/>
        <v>305.18681600000008</v>
      </c>
      <c r="AV199">
        <f t="shared" si="66"/>
        <v>152.59340800000004</v>
      </c>
      <c r="AW199" s="1">
        <f t="shared" si="66"/>
        <v>76.29670400000002</v>
      </c>
      <c r="AX199">
        <f t="shared" si="66"/>
        <v>38.14835200000001</v>
      </c>
    </row>
    <row r="200" spans="30:57" ht="15" x14ac:dyDescent="0.25">
      <c r="AD200" s="92"/>
      <c r="AE200">
        <v>20</v>
      </c>
      <c r="AF200">
        <f t="shared" si="71"/>
        <v>1615.3600000000001</v>
      </c>
      <c r="AG200">
        <v>1</v>
      </c>
      <c r="AI200">
        <f t="shared" si="70"/>
        <v>174.59200000000001</v>
      </c>
      <c r="AJ200">
        <f t="shared" si="65"/>
        <v>1615.3600000000001</v>
      </c>
      <c r="AM200">
        <f t="shared" si="69"/>
        <v>305.18681600000008</v>
      </c>
      <c r="AQ200" s="93"/>
      <c r="AR200">
        <v>20</v>
      </c>
      <c r="AS200">
        <f t="shared" si="66"/>
        <v>1220.7472640000003</v>
      </c>
      <c r="AT200">
        <f t="shared" si="66"/>
        <v>915.56044800000018</v>
      </c>
      <c r="AU200">
        <f t="shared" si="66"/>
        <v>610.37363200000016</v>
      </c>
      <c r="AV200">
        <f t="shared" si="66"/>
        <v>305.18681600000008</v>
      </c>
      <c r="AW200" s="1">
        <f t="shared" si="66"/>
        <v>152.59340800000004</v>
      </c>
      <c r="AX200">
        <f t="shared" si="66"/>
        <v>76.29670400000002</v>
      </c>
      <c r="BD200">
        <v>20</v>
      </c>
      <c r="BE200">
        <v>152.59340800000004</v>
      </c>
    </row>
    <row r="201" spans="30:57" ht="15" x14ac:dyDescent="0.25">
      <c r="AD201" s="92"/>
      <c r="AE201">
        <v>30</v>
      </c>
      <c r="AF201">
        <f t="shared" si="71"/>
        <v>2423.04</v>
      </c>
      <c r="AG201">
        <v>1</v>
      </c>
      <c r="AI201">
        <f t="shared" si="70"/>
        <v>261.88800000000003</v>
      </c>
      <c r="AJ201">
        <f t="shared" si="65"/>
        <v>2423.04</v>
      </c>
      <c r="AM201">
        <f t="shared" si="69"/>
        <v>457.78022400000003</v>
      </c>
      <c r="AQ201" s="93"/>
      <c r="AR201">
        <v>30</v>
      </c>
      <c r="AS201">
        <f t="shared" si="66"/>
        <v>1831.1208960000001</v>
      </c>
      <c r="AT201">
        <f t="shared" si="66"/>
        <v>1373.340672</v>
      </c>
      <c r="AU201">
        <f t="shared" si="66"/>
        <v>915.56044800000006</v>
      </c>
      <c r="AV201">
        <f t="shared" si="66"/>
        <v>457.78022400000003</v>
      </c>
      <c r="AW201" s="1">
        <f t="shared" si="66"/>
        <v>228.89011200000002</v>
      </c>
      <c r="AX201">
        <f t="shared" si="66"/>
        <v>114.44505600000001</v>
      </c>
    </row>
    <row r="202" spans="30:57" ht="15" x14ac:dyDescent="0.25">
      <c r="AD202" s="92"/>
      <c r="AE202">
        <v>40</v>
      </c>
      <c r="AF202">
        <f t="shared" si="71"/>
        <v>3230.7200000000003</v>
      </c>
      <c r="AG202">
        <v>1</v>
      </c>
      <c r="AI202">
        <f t="shared" si="70"/>
        <v>349.18400000000003</v>
      </c>
      <c r="AJ202">
        <f t="shared" si="65"/>
        <v>3230.7200000000003</v>
      </c>
      <c r="AM202">
        <f t="shared" si="69"/>
        <v>610.37363200000016</v>
      </c>
      <c r="AQ202" s="93"/>
      <c r="AR202">
        <v>40</v>
      </c>
      <c r="AS202">
        <f t="shared" si="66"/>
        <v>2441.4945280000006</v>
      </c>
      <c r="AT202">
        <f t="shared" si="66"/>
        <v>1831.1208960000004</v>
      </c>
      <c r="AU202">
        <f t="shared" si="66"/>
        <v>1220.7472640000003</v>
      </c>
      <c r="AV202">
        <f t="shared" si="66"/>
        <v>610.37363200000016</v>
      </c>
      <c r="AW202" s="1">
        <f t="shared" si="66"/>
        <v>305.18681600000008</v>
      </c>
      <c r="AX202">
        <f t="shared" si="66"/>
        <v>152.59340800000004</v>
      </c>
    </row>
    <row r="203" spans="30:57" ht="15" x14ac:dyDescent="0.25">
      <c r="AD203" s="92"/>
      <c r="AE203">
        <v>50</v>
      </c>
      <c r="AF203">
        <f t="shared" si="71"/>
        <v>4038.4000000000005</v>
      </c>
      <c r="AG203">
        <v>1</v>
      </c>
      <c r="AI203">
        <f t="shared" si="70"/>
        <v>436.48</v>
      </c>
      <c r="AJ203">
        <f t="shared" si="65"/>
        <v>4038.4000000000005</v>
      </c>
      <c r="AM203">
        <f t="shared" si="69"/>
        <v>762.96704000000022</v>
      </c>
      <c r="AQ203" s="93"/>
      <c r="AR203">
        <v>50</v>
      </c>
      <c r="AS203">
        <f t="shared" si="66"/>
        <v>3051.8681600000009</v>
      </c>
      <c r="AT203">
        <f t="shared" si="66"/>
        <v>2288.9011200000004</v>
      </c>
      <c r="AU203">
        <f t="shared" si="66"/>
        <v>1525.9340800000004</v>
      </c>
      <c r="AV203">
        <f t="shared" si="66"/>
        <v>762.96704000000022</v>
      </c>
      <c r="AW203" s="1">
        <f t="shared" si="66"/>
        <v>381.48352000000011</v>
      </c>
      <c r="AX203">
        <f t="shared" si="66"/>
        <v>190.74176000000006</v>
      </c>
    </row>
    <row r="204" spans="30:57" ht="15" x14ac:dyDescent="0.25">
      <c r="AD204" s="92"/>
      <c r="AE204">
        <v>60</v>
      </c>
      <c r="AF204">
        <f t="shared" si="71"/>
        <v>4846.08</v>
      </c>
      <c r="AG204">
        <v>1</v>
      </c>
      <c r="AI204">
        <f t="shared" si="70"/>
        <v>523.77600000000007</v>
      </c>
      <c r="AJ204">
        <f t="shared" si="65"/>
        <v>4846.08</v>
      </c>
      <c r="AM204">
        <f t="shared" si="69"/>
        <v>915.56044800000006</v>
      </c>
      <c r="AQ204" s="93"/>
      <c r="AR204">
        <v>60</v>
      </c>
      <c r="AS204">
        <f t="shared" si="66"/>
        <v>3662.2417920000003</v>
      </c>
      <c r="AT204">
        <f t="shared" si="66"/>
        <v>2746.6813440000001</v>
      </c>
      <c r="AU204">
        <f t="shared" si="66"/>
        <v>1831.1208960000001</v>
      </c>
      <c r="AV204">
        <f t="shared" si="66"/>
        <v>915.56044800000006</v>
      </c>
      <c r="AW204" s="1">
        <f t="shared" si="66"/>
        <v>457.78022400000003</v>
      </c>
      <c r="AX204">
        <f t="shared" si="66"/>
        <v>228.89011200000002</v>
      </c>
    </row>
    <row r="205" spans="30:57" ht="15" x14ac:dyDescent="0.25">
      <c r="AD205" s="92"/>
      <c r="AE205">
        <v>70</v>
      </c>
      <c r="AF205">
        <f t="shared" si="71"/>
        <v>5653.76</v>
      </c>
      <c r="AG205">
        <v>1</v>
      </c>
      <c r="AI205">
        <f t="shared" si="70"/>
        <v>611.072</v>
      </c>
      <c r="AJ205">
        <f t="shared" si="65"/>
        <v>5653.76</v>
      </c>
      <c r="AM205">
        <f t="shared" si="69"/>
        <v>1068.1538560000001</v>
      </c>
      <c r="AQ205" s="93"/>
      <c r="AR205">
        <v>70</v>
      </c>
      <c r="AS205">
        <f t="shared" si="66"/>
        <v>4272.6154240000005</v>
      </c>
      <c r="AT205">
        <f t="shared" si="66"/>
        <v>3204.4615680000006</v>
      </c>
      <c r="AU205">
        <f t="shared" si="66"/>
        <v>2136.3077120000003</v>
      </c>
      <c r="AV205">
        <f t="shared" si="66"/>
        <v>1068.1538560000001</v>
      </c>
      <c r="AW205" s="1">
        <f t="shared" si="66"/>
        <v>534.07692800000007</v>
      </c>
      <c r="AX205">
        <f t="shared" si="66"/>
        <v>267.03846400000003</v>
      </c>
    </row>
    <row r="206" spans="30:57" ht="15" x14ac:dyDescent="0.25">
      <c r="AD206" s="92"/>
      <c r="AE206">
        <v>80</v>
      </c>
      <c r="AF206">
        <f t="shared" si="71"/>
        <v>6461.4400000000005</v>
      </c>
      <c r="AG206">
        <v>1</v>
      </c>
      <c r="AI206">
        <f t="shared" si="70"/>
        <v>698.36800000000005</v>
      </c>
      <c r="AJ206">
        <f t="shared" si="65"/>
        <v>6461.4400000000005</v>
      </c>
      <c r="AM206">
        <f t="shared" si="69"/>
        <v>1220.7472640000003</v>
      </c>
      <c r="AQ206" s="93"/>
      <c r="AR206">
        <v>80</v>
      </c>
      <c r="AS206">
        <f t="shared" si="66"/>
        <v>4882.9890560000013</v>
      </c>
      <c r="AT206">
        <f t="shared" si="66"/>
        <v>3662.2417920000007</v>
      </c>
      <c r="AU206">
        <f t="shared" si="66"/>
        <v>2441.4945280000006</v>
      </c>
      <c r="AV206">
        <f t="shared" si="66"/>
        <v>1220.7472640000003</v>
      </c>
      <c r="AW206" s="1">
        <f t="shared" si="66"/>
        <v>610.37363200000016</v>
      </c>
      <c r="AX206">
        <f t="shared" si="66"/>
        <v>305.18681600000008</v>
      </c>
    </row>
    <row r="207" spans="30:57" ht="15" x14ac:dyDescent="0.25">
      <c r="AD207" s="92">
        <v>400</v>
      </c>
      <c r="AE207">
        <v>5</v>
      </c>
      <c r="AF207">
        <f>AE207*1.6*($AO$113+$AF$108)</f>
        <v>451.36</v>
      </c>
      <c r="AG207">
        <v>2</v>
      </c>
      <c r="AI207">
        <f>AP99*$AI$108</f>
        <v>87.296000000000006</v>
      </c>
      <c r="AJ207">
        <f t="shared" si="65"/>
        <v>902.72</v>
      </c>
      <c r="AM207">
        <f t="shared" si="69"/>
        <v>168.79772800000003</v>
      </c>
      <c r="AQ207" s="93">
        <v>400</v>
      </c>
      <c r="AR207">
        <v>5</v>
      </c>
      <c r="AS207">
        <f t="shared" si="66"/>
        <v>675.19091200000014</v>
      </c>
      <c r="AT207">
        <f t="shared" si="66"/>
        <v>506.39318400000013</v>
      </c>
      <c r="AU207">
        <f t="shared" si="66"/>
        <v>337.59545600000007</v>
      </c>
      <c r="AV207">
        <f t="shared" si="66"/>
        <v>168.79772800000003</v>
      </c>
      <c r="AW207" s="1">
        <f t="shared" si="66"/>
        <v>84.398864000000017</v>
      </c>
      <c r="AX207">
        <f t="shared" si="66"/>
        <v>42.199432000000009</v>
      </c>
    </row>
    <row r="208" spans="30:57" ht="15" x14ac:dyDescent="0.25">
      <c r="AD208" s="92"/>
      <c r="AE208">
        <v>10</v>
      </c>
      <c r="AF208">
        <f t="shared" ref="AF208:AF215" si="72">AE208*1.6*($AO$113+$AF$108)</f>
        <v>902.72</v>
      </c>
      <c r="AG208">
        <v>2</v>
      </c>
      <c r="AI208">
        <f t="shared" ref="AI208:AI215" si="73">AP100*$AI$108</f>
        <v>174.59200000000001</v>
      </c>
      <c r="AJ208">
        <f t="shared" si="65"/>
        <v>1805.44</v>
      </c>
      <c r="AM208">
        <f t="shared" si="69"/>
        <v>337.59545600000007</v>
      </c>
      <c r="AQ208" s="93"/>
      <c r="AR208">
        <v>10</v>
      </c>
      <c r="AS208">
        <f t="shared" si="66"/>
        <v>1350.3818240000003</v>
      </c>
      <c r="AT208">
        <f t="shared" si="66"/>
        <v>1012.7863680000003</v>
      </c>
      <c r="AU208">
        <f t="shared" si="66"/>
        <v>675.19091200000014</v>
      </c>
      <c r="AV208">
        <f t="shared" si="66"/>
        <v>337.59545600000007</v>
      </c>
      <c r="AW208" s="1">
        <f t="shared" si="66"/>
        <v>168.79772800000003</v>
      </c>
      <c r="AX208">
        <f t="shared" si="66"/>
        <v>84.398864000000017</v>
      </c>
    </row>
    <row r="209" spans="30:57" ht="15" x14ac:dyDescent="0.25">
      <c r="AD209" s="92"/>
      <c r="AE209">
        <v>20</v>
      </c>
      <c r="AF209">
        <f t="shared" si="72"/>
        <v>1805.44</v>
      </c>
      <c r="AG209">
        <v>2</v>
      </c>
      <c r="AI209">
        <f t="shared" si="73"/>
        <v>349.18400000000003</v>
      </c>
      <c r="AJ209">
        <f t="shared" si="65"/>
        <v>3610.88</v>
      </c>
      <c r="AM209">
        <f t="shared" si="69"/>
        <v>675.19091200000014</v>
      </c>
      <c r="AQ209" s="93"/>
      <c r="AR209">
        <v>20</v>
      </c>
      <c r="AS209">
        <f t="shared" si="66"/>
        <v>2700.7636480000006</v>
      </c>
      <c r="AT209">
        <f t="shared" si="66"/>
        <v>2025.5727360000005</v>
      </c>
      <c r="AU209">
        <f t="shared" si="66"/>
        <v>1350.3818240000003</v>
      </c>
      <c r="AV209">
        <f t="shared" si="66"/>
        <v>675.19091200000014</v>
      </c>
      <c r="AW209" s="1">
        <f t="shared" si="66"/>
        <v>337.59545600000007</v>
      </c>
      <c r="AX209">
        <f t="shared" si="66"/>
        <v>168.79772800000003</v>
      </c>
      <c r="BD209">
        <v>20</v>
      </c>
      <c r="BE209">
        <v>337.59545600000007</v>
      </c>
    </row>
    <row r="210" spans="30:57" ht="15" x14ac:dyDescent="0.25">
      <c r="AD210" s="92"/>
      <c r="AE210">
        <v>30</v>
      </c>
      <c r="AF210">
        <f t="shared" si="72"/>
        <v>2708.16</v>
      </c>
      <c r="AG210">
        <v>2</v>
      </c>
      <c r="AI210">
        <f t="shared" si="73"/>
        <v>523.77600000000007</v>
      </c>
      <c r="AJ210">
        <f t="shared" si="65"/>
        <v>5416.32</v>
      </c>
      <c r="AM210">
        <f t="shared" si="69"/>
        <v>1012.786368</v>
      </c>
      <c r="AQ210" s="93"/>
      <c r="AR210">
        <v>30</v>
      </c>
      <c r="AS210">
        <f t="shared" si="66"/>
        <v>4051.1454720000002</v>
      </c>
      <c r="AT210">
        <f t="shared" si="66"/>
        <v>3038.3591040000001</v>
      </c>
      <c r="AU210">
        <f t="shared" si="66"/>
        <v>2025.5727360000001</v>
      </c>
      <c r="AV210">
        <f t="shared" si="66"/>
        <v>1012.786368</v>
      </c>
      <c r="AW210" s="1">
        <f t="shared" si="66"/>
        <v>506.39318400000002</v>
      </c>
      <c r="AX210">
        <f t="shared" si="66"/>
        <v>253.19659200000001</v>
      </c>
    </row>
    <row r="211" spans="30:57" ht="15" x14ac:dyDescent="0.25">
      <c r="AD211" s="92"/>
      <c r="AE211">
        <v>40</v>
      </c>
      <c r="AF211">
        <f t="shared" si="72"/>
        <v>3610.88</v>
      </c>
      <c r="AG211">
        <v>2</v>
      </c>
      <c r="AI211">
        <f t="shared" si="73"/>
        <v>698.36800000000005</v>
      </c>
      <c r="AJ211">
        <f t="shared" si="65"/>
        <v>7221.76</v>
      </c>
      <c r="AM211">
        <f t="shared" si="69"/>
        <v>1350.3818240000003</v>
      </c>
      <c r="AQ211" s="93"/>
      <c r="AR211">
        <v>40</v>
      </c>
      <c r="AS211">
        <f t="shared" si="66"/>
        <v>5401.5272960000011</v>
      </c>
      <c r="AT211">
        <f t="shared" si="66"/>
        <v>4051.1454720000011</v>
      </c>
      <c r="AU211">
        <f t="shared" si="66"/>
        <v>2700.7636480000006</v>
      </c>
      <c r="AV211">
        <f t="shared" si="66"/>
        <v>1350.3818240000003</v>
      </c>
      <c r="AW211" s="1">
        <f t="shared" si="66"/>
        <v>675.19091200000014</v>
      </c>
      <c r="AX211">
        <f t="shared" si="66"/>
        <v>337.59545600000007</v>
      </c>
    </row>
    <row r="212" spans="30:57" ht="15" x14ac:dyDescent="0.25">
      <c r="AD212" s="92"/>
      <c r="AE212">
        <v>50</v>
      </c>
      <c r="AF212">
        <f t="shared" si="72"/>
        <v>4513.6000000000004</v>
      </c>
      <c r="AG212">
        <v>2</v>
      </c>
      <c r="AI212">
        <f t="shared" si="73"/>
        <v>872.96</v>
      </c>
      <c r="AJ212">
        <f t="shared" si="65"/>
        <v>9027.2000000000007</v>
      </c>
      <c r="AM212">
        <f t="shared" si="69"/>
        <v>1687.9772800000001</v>
      </c>
      <c r="AQ212" s="93"/>
      <c r="AR212">
        <v>50</v>
      </c>
      <c r="AS212">
        <f t="shared" si="66"/>
        <v>6751.9091200000003</v>
      </c>
      <c r="AT212">
        <f t="shared" si="66"/>
        <v>5063.9318400000002</v>
      </c>
      <c r="AU212">
        <f t="shared" si="66"/>
        <v>3375.9545600000001</v>
      </c>
      <c r="AV212">
        <f t="shared" si="66"/>
        <v>1687.9772800000001</v>
      </c>
      <c r="AW212" s="1">
        <f t="shared" si="66"/>
        <v>843.98864000000003</v>
      </c>
      <c r="AX212">
        <f t="shared" si="66"/>
        <v>421.99432000000002</v>
      </c>
    </row>
    <row r="213" spans="30:57" ht="15" x14ac:dyDescent="0.25">
      <c r="AD213" s="92"/>
      <c r="AE213">
        <v>60</v>
      </c>
      <c r="AF213">
        <f t="shared" si="72"/>
        <v>5416.32</v>
      </c>
      <c r="AG213">
        <v>2</v>
      </c>
      <c r="AI213">
        <f t="shared" si="73"/>
        <v>1047.5520000000001</v>
      </c>
      <c r="AJ213">
        <f t="shared" si="65"/>
        <v>10832.64</v>
      </c>
      <c r="AM213">
        <f t="shared" si="69"/>
        <v>2025.5727360000001</v>
      </c>
      <c r="AQ213" s="93"/>
      <c r="AR213">
        <v>60</v>
      </c>
      <c r="AS213">
        <f t="shared" si="66"/>
        <v>8102.2909440000003</v>
      </c>
      <c r="AT213">
        <f t="shared" si="66"/>
        <v>6076.7182080000002</v>
      </c>
      <c r="AU213">
        <f t="shared" si="66"/>
        <v>4051.1454720000002</v>
      </c>
      <c r="AV213">
        <f t="shared" si="66"/>
        <v>2025.5727360000001</v>
      </c>
      <c r="AW213" s="1">
        <f t="shared" si="66"/>
        <v>1012.786368</v>
      </c>
      <c r="AX213">
        <f t="shared" si="66"/>
        <v>506.39318400000002</v>
      </c>
    </row>
    <row r="214" spans="30:57" ht="15" x14ac:dyDescent="0.25">
      <c r="AD214" s="92"/>
      <c r="AE214">
        <v>70</v>
      </c>
      <c r="AF214">
        <f t="shared" si="72"/>
        <v>6319.04</v>
      </c>
      <c r="AG214">
        <v>2</v>
      </c>
      <c r="AI214">
        <f t="shared" si="73"/>
        <v>1222.144</v>
      </c>
      <c r="AJ214">
        <f t="shared" si="65"/>
        <v>12638.08</v>
      </c>
      <c r="AM214">
        <f t="shared" si="69"/>
        <v>2363.1681920000001</v>
      </c>
      <c r="AQ214" s="93"/>
      <c r="AR214">
        <v>70</v>
      </c>
      <c r="AS214">
        <f t="shared" ref="AS214:AX251" si="74">$AM214*AS$116</f>
        <v>9452.6727680000004</v>
      </c>
      <c r="AT214">
        <f t="shared" si="74"/>
        <v>7089.5045760000003</v>
      </c>
      <c r="AU214">
        <f t="shared" si="74"/>
        <v>4726.3363840000002</v>
      </c>
      <c r="AV214">
        <f t="shared" si="74"/>
        <v>2363.1681920000001</v>
      </c>
      <c r="AW214" s="1">
        <f t="shared" si="74"/>
        <v>1181.584096</v>
      </c>
      <c r="AX214">
        <f t="shared" si="74"/>
        <v>590.79204800000002</v>
      </c>
    </row>
    <row r="215" spans="30:57" ht="15" x14ac:dyDescent="0.25">
      <c r="AD215" s="92"/>
      <c r="AE215">
        <v>80</v>
      </c>
      <c r="AF215">
        <f t="shared" si="72"/>
        <v>7221.76</v>
      </c>
      <c r="AG215">
        <v>2</v>
      </c>
      <c r="AI215">
        <f t="shared" si="73"/>
        <v>1396.7360000000001</v>
      </c>
      <c r="AJ215">
        <f t="shared" si="65"/>
        <v>14443.52</v>
      </c>
      <c r="AM215">
        <f t="shared" si="69"/>
        <v>2700.7636480000006</v>
      </c>
      <c r="AQ215" s="93"/>
      <c r="AR215">
        <v>80</v>
      </c>
      <c r="AS215">
        <f t="shared" si="74"/>
        <v>10803.054592000002</v>
      </c>
      <c r="AT215">
        <f t="shared" si="74"/>
        <v>8102.2909440000021</v>
      </c>
      <c r="AU215">
        <f t="shared" si="74"/>
        <v>5401.5272960000011</v>
      </c>
      <c r="AV215">
        <f t="shared" si="74"/>
        <v>2700.7636480000006</v>
      </c>
      <c r="AW215" s="1">
        <f t="shared" si="74"/>
        <v>1350.3818240000003</v>
      </c>
      <c r="AX215">
        <f t="shared" si="74"/>
        <v>675.19091200000014</v>
      </c>
    </row>
    <row r="216" spans="30:57" ht="15" x14ac:dyDescent="0.25">
      <c r="AD216" s="92">
        <v>500</v>
      </c>
      <c r="AE216">
        <v>5</v>
      </c>
      <c r="AF216">
        <f>AE216*1.6*($AO$113+$AF$109)</f>
        <v>498.88</v>
      </c>
      <c r="AG216">
        <v>2</v>
      </c>
      <c r="AI216">
        <f>AP99*$AI$109</f>
        <v>87.296000000000006</v>
      </c>
      <c r="AJ216">
        <f t="shared" si="65"/>
        <v>997.76</v>
      </c>
      <c r="AM216">
        <f t="shared" si="69"/>
        <v>185.00204800000003</v>
      </c>
      <c r="AQ216" s="93">
        <v>500</v>
      </c>
      <c r="AR216">
        <v>5</v>
      </c>
      <c r="AS216">
        <f t="shared" si="74"/>
        <v>740.00819200000012</v>
      </c>
      <c r="AT216">
        <f t="shared" si="74"/>
        <v>555.00614400000006</v>
      </c>
      <c r="AU216">
        <f t="shared" si="74"/>
        <v>370.00409600000006</v>
      </c>
      <c r="AV216">
        <f t="shared" si="74"/>
        <v>185.00204800000003</v>
      </c>
      <c r="AW216" s="1">
        <f t="shared" si="74"/>
        <v>92.501024000000015</v>
      </c>
      <c r="AX216">
        <f t="shared" si="74"/>
        <v>46.250512000000008</v>
      </c>
    </row>
    <row r="217" spans="30:57" ht="15" x14ac:dyDescent="0.25">
      <c r="AD217" s="92"/>
      <c r="AE217">
        <v>10</v>
      </c>
      <c r="AF217">
        <f t="shared" ref="AF217:AF224" si="75">AE217*1.6*($AO$113+$AF$109)</f>
        <v>997.76</v>
      </c>
      <c r="AG217">
        <v>2</v>
      </c>
      <c r="AI217">
        <f t="shared" ref="AI217:AI224" si="76">AP100*$AI$109</f>
        <v>174.59200000000001</v>
      </c>
      <c r="AJ217">
        <f t="shared" si="65"/>
        <v>1995.52</v>
      </c>
      <c r="AM217">
        <f t="shared" si="69"/>
        <v>370.00409600000006</v>
      </c>
      <c r="AQ217" s="93"/>
      <c r="AR217">
        <v>10</v>
      </c>
      <c r="AS217">
        <f t="shared" si="74"/>
        <v>1480.0163840000002</v>
      </c>
      <c r="AT217">
        <f t="shared" si="74"/>
        <v>1110.0122880000001</v>
      </c>
      <c r="AU217">
        <f t="shared" si="74"/>
        <v>740.00819200000012</v>
      </c>
      <c r="AV217">
        <f t="shared" si="74"/>
        <v>370.00409600000006</v>
      </c>
      <c r="AW217" s="1">
        <f t="shared" si="74"/>
        <v>185.00204800000003</v>
      </c>
      <c r="AX217">
        <f t="shared" si="74"/>
        <v>92.501024000000015</v>
      </c>
    </row>
    <row r="218" spans="30:57" ht="15" x14ac:dyDescent="0.25">
      <c r="AD218" s="92"/>
      <c r="AE218">
        <v>20</v>
      </c>
      <c r="AF218">
        <f t="shared" si="75"/>
        <v>1995.52</v>
      </c>
      <c r="AG218">
        <v>2</v>
      </c>
      <c r="AI218">
        <f t="shared" si="76"/>
        <v>349.18400000000003</v>
      </c>
      <c r="AJ218">
        <f t="shared" si="65"/>
        <v>3991.04</v>
      </c>
      <c r="AM218">
        <f t="shared" si="69"/>
        <v>740.00819200000012</v>
      </c>
      <c r="AQ218" s="93"/>
      <c r="AR218">
        <v>20</v>
      </c>
      <c r="AS218">
        <f t="shared" si="74"/>
        <v>2960.0327680000005</v>
      </c>
      <c r="AT218">
        <f t="shared" si="74"/>
        <v>2220.0245760000003</v>
      </c>
      <c r="AU218">
        <f t="shared" si="74"/>
        <v>1480.0163840000002</v>
      </c>
      <c r="AV218">
        <f t="shared" si="74"/>
        <v>740.00819200000012</v>
      </c>
      <c r="AW218" s="1">
        <f t="shared" si="74"/>
        <v>370.00409600000006</v>
      </c>
      <c r="AX218">
        <f t="shared" si="74"/>
        <v>185.00204800000003</v>
      </c>
      <c r="BD218">
        <v>20</v>
      </c>
      <c r="BE218">
        <v>370.00409600000006</v>
      </c>
    </row>
    <row r="219" spans="30:57" ht="15" x14ac:dyDescent="0.25">
      <c r="AD219" s="92"/>
      <c r="AE219">
        <v>30</v>
      </c>
      <c r="AF219">
        <f t="shared" si="75"/>
        <v>2993.2799999999997</v>
      </c>
      <c r="AG219">
        <v>2</v>
      </c>
      <c r="AI219">
        <f t="shared" si="76"/>
        <v>523.77600000000007</v>
      </c>
      <c r="AJ219">
        <f t="shared" si="65"/>
        <v>5986.5599999999995</v>
      </c>
      <c r="AM219">
        <f t="shared" si="69"/>
        <v>1110.0122879999999</v>
      </c>
      <c r="AQ219" s="93"/>
      <c r="AR219">
        <v>30</v>
      </c>
      <c r="AS219">
        <f t="shared" si="74"/>
        <v>4440.0491519999996</v>
      </c>
      <c r="AT219">
        <f t="shared" si="74"/>
        <v>3330.0368639999997</v>
      </c>
      <c r="AU219">
        <f t="shared" si="74"/>
        <v>2220.0245759999998</v>
      </c>
      <c r="AV219">
        <f t="shared" si="74"/>
        <v>1110.0122879999999</v>
      </c>
      <c r="AW219" s="1">
        <f t="shared" si="74"/>
        <v>555.00614399999995</v>
      </c>
      <c r="AX219">
        <f t="shared" si="74"/>
        <v>277.50307199999997</v>
      </c>
    </row>
    <row r="220" spans="30:57" ht="15" x14ac:dyDescent="0.25">
      <c r="AD220" s="92"/>
      <c r="AE220">
        <v>40</v>
      </c>
      <c r="AF220">
        <f t="shared" si="75"/>
        <v>3991.04</v>
      </c>
      <c r="AG220">
        <v>2</v>
      </c>
      <c r="AI220">
        <f t="shared" si="76"/>
        <v>698.36800000000005</v>
      </c>
      <c r="AJ220">
        <f t="shared" si="65"/>
        <v>7982.08</v>
      </c>
      <c r="AM220">
        <f t="shared" si="69"/>
        <v>1480.0163840000002</v>
      </c>
      <c r="AQ220" s="93"/>
      <c r="AR220">
        <v>40</v>
      </c>
      <c r="AS220">
        <f t="shared" si="74"/>
        <v>5920.065536000001</v>
      </c>
      <c r="AT220">
        <f t="shared" si="74"/>
        <v>4440.0491520000005</v>
      </c>
      <c r="AU220">
        <f t="shared" si="74"/>
        <v>2960.0327680000005</v>
      </c>
      <c r="AV220">
        <f t="shared" si="74"/>
        <v>1480.0163840000002</v>
      </c>
      <c r="AW220" s="1">
        <f t="shared" si="74"/>
        <v>740.00819200000012</v>
      </c>
      <c r="AX220">
        <f t="shared" si="74"/>
        <v>370.00409600000006</v>
      </c>
    </row>
    <row r="221" spans="30:57" ht="15" x14ac:dyDescent="0.25">
      <c r="AD221" s="92"/>
      <c r="AE221">
        <v>50</v>
      </c>
      <c r="AF221">
        <f t="shared" si="75"/>
        <v>4988.8</v>
      </c>
      <c r="AG221">
        <v>2</v>
      </c>
      <c r="AI221">
        <f t="shared" si="76"/>
        <v>872.96</v>
      </c>
      <c r="AJ221">
        <f t="shared" si="65"/>
        <v>9977.6</v>
      </c>
      <c r="AM221">
        <f t="shared" si="69"/>
        <v>1850.0204800000004</v>
      </c>
      <c r="AQ221" s="93"/>
      <c r="AR221">
        <v>50</v>
      </c>
      <c r="AS221">
        <f t="shared" si="74"/>
        <v>7400.0819200000014</v>
      </c>
      <c r="AT221">
        <f t="shared" si="74"/>
        <v>5550.0614400000013</v>
      </c>
      <c r="AU221">
        <f t="shared" si="74"/>
        <v>3700.0409600000007</v>
      </c>
      <c r="AV221">
        <f t="shared" si="74"/>
        <v>1850.0204800000004</v>
      </c>
      <c r="AW221" s="1">
        <f t="shared" si="74"/>
        <v>925.01024000000018</v>
      </c>
      <c r="AX221">
        <f t="shared" si="74"/>
        <v>462.50512000000009</v>
      </c>
    </row>
    <row r="222" spans="30:57" ht="15" x14ac:dyDescent="0.25">
      <c r="AD222" s="92"/>
      <c r="AE222">
        <v>60</v>
      </c>
      <c r="AF222">
        <f t="shared" si="75"/>
        <v>5986.5599999999995</v>
      </c>
      <c r="AG222">
        <v>2</v>
      </c>
      <c r="AI222">
        <f t="shared" si="76"/>
        <v>1047.5520000000001</v>
      </c>
      <c r="AJ222">
        <f t="shared" si="65"/>
        <v>11973.119999999999</v>
      </c>
      <c r="AM222">
        <f t="shared" si="69"/>
        <v>2220.0245759999998</v>
      </c>
      <c r="AQ222" s="93"/>
      <c r="AR222">
        <v>60</v>
      </c>
      <c r="AS222">
        <f t="shared" si="74"/>
        <v>8880.0983039999992</v>
      </c>
      <c r="AT222">
        <f t="shared" si="74"/>
        <v>6660.0737279999994</v>
      </c>
      <c r="AU222">
        <f t="shared" si="74"/>
        <v>4440.0491519999996</v>
      </c>
      <c r="AV222">
        <f t="shared" si="74"/>
        <v>2220.0245759999998</v>
      </c>
      <c r="AW222" s="1">
        <f t="shared" si="74"/>
        <v>1110.0122879999999</v>
      </c>
      <c r="AX222">
        <f t="shared" si="74"/>
        <v>555.00614399999995</v>
      </c>
    </row>
    <row r="223" spans="30:57" ht="15" x14ac:dyDescent="0.25">
      <c r="AD223" s="92"/>
      <c r="AE223">
        <v>70</v>
      </c>
      <c r="AF223">
        <f t="shared" si="75"/>
        <v>6984.32</v>
      </c>
      <c r="AG223">
        <v>2</v>
      </c>
      <c r="AI223">
        <f t="shared" si="76"/>
        <v>1222.144</v>
      </c>
      <c r="AJ223">
        <f t="shared" si="65"/>
        <v>13968.64</v>
      </c>
      <c r="AM223">
        <f t="shared" si="69"/>
        <v>2590.0286719999999</v>
      </c>
      <c r="AQ223" s="93"/>
      <c r="AR223">
        <v>70</v>
      </c>
      <c r="AS223">
        <f t="shared" si="74"/>
        <v>10360.114688</v>
      </c>
      <c r="AT223">
        <f t="shared" si="74"/>
        <v>7770.0860159999993</v>
      </c>
      <c r="AU223">
        <f t="shared" si="74"/>
        <v>5180.0573439999998</v>
      </c>
      <c r="AV223">
        <f t="shared" si="74"/>
        <v>2590.0286719999999</v>
      </c>
      <c r="AW223" s="1">
        <f t="shared" si="74"/>
        <v>1295.014336</v>
      </c>
      <c r="AX223">
        <f t="shared" si="74"/>
        <v>647.50716799999998</v>
      </c>
    </row>
    <row r="224" spans="30:57" ht="15" x14ac:dyDescent="0.25">
      <c r="AD224" s="92"/>
      <c r="AE224">
        <v>80</v>
      </c>
      <c r="AF224">
        <f t="shared" si="75"/>
        <v>7982.08</v>
      </c>
      <c r="AG224">
        <v>2</v>
      </c>
      <c r="AI224">
        <f t="shared" si="76"/>
        <v>1396.7360000000001</v>
      </c>
      <c r="AJ224">
        <f t="shared" si="65"/>
        <v>15964.16</v>
      </c>
      <c r="AM224">
        <f t="shared" si="69"/>
        <v>2960.0327680000005</v>
      </c>
      <c r="AQ224" s="93"/>
      <c r="AR224">
        <v>80</v>
      </c>
      <c r="AS224">
        <f t="shared" si="74"/>
        <v>11840.131072000002</v>
      </c>
      <c r="AT224">
        <f t="shared" si="74"/>
        <v>8880.098304000001</v>
      </c>
      <c r="AU224">
        <f t="shared" si="74"/>
        <v>5920.065536000001</v>
      </c>
      <c r="AV224">
        <f t="shared" si="74"/>
        <v>2960.0327680000005</v>
      </c>
      <c r="AW224" s="1">
        <f t="shared" si="74"/>
        <v>1480.0163840000002</v>
      </c>
      <c r="AX224">
        <f t="shared" si="74"/>
        <v>740.00819200000012</v>
      </c>
    </row>
    <row r="225" spans="30:57" ht="15" x14ac:dyDescent="0.25">
      <c r="AD225" s="92">
        <v>600</v>
      </c>
      <c r="AE225">
        <v>5</v>
      </c>
      <c r="AF225">
        <f>AE225*1.6*($AO$113+$AF$110)</f>
        <v>546.40000000000009</v>
      </c>
      <c r="AG225">
        <v>2</v>
      </c>
      <c r="AI225">
        <f t="shared" ref="AI225:AI233" si="77">AI216</f>
        <v>87.296000000000006</v>
      </c>
      <c r="AJ225">
        <f t="shared" si="65"/>
        <v>1092.8000000000002</v>
      </c>
      <c r="AM225">
        <f t="shared" si="69"/>
        <v>201.20636800000005</v>
      </c>
      <c r="AQ225" s="93">
        <v>600</v>
      </c>
      <c r="AR225">
        <v>5</v>
      </c>
      <c r="AS225">
        <f t="shared" si="74"/>
        <v>804.82547200000022</v>
      </c>
      <c r="AT225">
        <f t="shared" si="74"/>
        <v>603.61910400000011</v>
      </c>
      <c r="AU225">
        <f t="shared" si="74"/>
        <v>402.41273600000011</v>
      </c>
      <c r="AV225">
        <f t="shared" si="74"/>
        <v>201.20636800000005</v>
      </c>
      <c r="AW225" s="1">
        <f t="shared" si="74"/>
        <v>100.60318400000003</v>
      </c>
      <c r="AX225">
        <f t="shared" si="74"/>
        <v>50.301592000000014</v>
      </c>
    </row>
    <row r="226" spans="30:57" ht="15" x14ac:dyDescent="0.25">
      <c r="AD226" s="92"/>
      <c r="AE226">
        <v>10</v>
      </c>
      <c r="AF226">
        <f t="shared" ref="AF226:AF233" si="78">AE226*1.6*($AO$113+$AF$110)</f>
        <v>1092.8000000000002</v>
      </c>
      <c r="AG226">
        <v>2</v>
      </c>
      <c r="AI226">
        <f t="shared" si="77"/>
        <v>174.59200000000001</v>
      </c>
      <c r="AJ226">
        <f t="shared" si="65"/>
        <v>2185.6000000000004</v>
      </c>
      <c r="AM226">
        <f t="shared" si="69"/>
        <v>402.41273600000011</v>
      </c>
      <c r="AQ226" s="93"/>
      <c r="AR226">
        <v>10</v>
      </c>
      <c r="AS226">
        <f t="shared" si="74"/>
        <v>1609.6509440000004</v>
      </c>
      <c r="AT226">
        <f t="shared" si="74"/>
        <v>1207.2382080000002</v>
      </c>
      <c r="AU226">
        <f t="shared" si="74"/>
        <v>804.82547200000022</v>
      </c>
      <c r="AV226">
        <f t="shared" si="74"/>
        <v>402.41273600000011</v>
      </c>
      <c r="AW226" s="1">
        <f t="shared" si="74"/>
        <v>201.20636800000005</v>
      </c>
      <c r="AX226">
        <f t="shared" si="74"/>
        <v>100.60318400000003</v>
      </c>
    </row>
    <row r="227" spans="30:57" ht="15" x14ac:dyDescent="0.25">
      <c r="AD227" s="92"/>
      <c r="AE227">
        <v>20</v>
      </c>
      <c r="AF227">
        <f t="shared" si="78"/>
        <v>2185.6000000000004</v>
      </c>
      <c r="AG227">
        <v>2</v>
      </c>
      <c r="AI227">
        <f t="shared" si="77"/>
        <v>349.18400000000003</v>
      </c>
      <c r="AJ227">
        <f t="shared" si="65"/>
        <v>4371.2000000000007</v>
      </c>
      <c r="AM227">
        <f t="shared" si="69"/>
        <v>804.82547200000022</v>
      </c>
      <c r="AQ227" s="93"/>
      <c r="AR227">
        <v>20</v>
      </c>
      <c r="AS227">
        <f t="shared" si="74"/>
        <v>3219.3018880000009</v>
      </c>
      <c r="AT227">
        <f t="shared" si="74"/>
        <v>2414.4764160000004</v>
      </c>
      <c r="AU227">
        <f t="shared" si="74"/>
        <v>1609.6509440000004</v>
      </c>
      <c r="AV227">
        <f t="shared" si="74"/>
        <v>804.82547200000022</v>
      </c>
      <c r="AW227" s="1">
        <f t="shared" si="74"/>
        <v>402.41273600000011</v>
      </c>
      <c r="AX227">
        <f t="shared" si="74"/>
        <v>201.20636800000005</v>
      </c>
      <c r="BD227">
        <v>20</v>
      </c>
      <c r="BE227">
        <v>402.41273600000011</v>
      </c>
    </row>
    <row r="228" spans="30:57" ht="15" x14ac:dyDescent="0.25">
      <c r="AD228" s="92"/>
      <c r="AE228">
        <v>30</v>
      </c>
      <c r="AF228">
        <f t="shared" si="78"/>
        <v>3278.4000000000005</v>
      </c>
      <c r="AG228">
        <v>2</v>
      </c>
      <c r="AI228">
        <f t="shared" si="77"/>
        <v>523.77600000000007</v>
      </c>
      <c r="AJ228">
        <f t="shared" si="65"/>
        <v>6556.8000000000011</v>
      </c>
      <c r="AM228">
        <f t="shared" si="69"/>
        <v>1207.2382080000002</v>
      </c>
      <c r="AQ228" s="93"/>
      <c r="AR228">
        <v>30</v>
      </c>
      <c r="AS228">
        <f t="shared" si="74"/>
        <v>4828.9528320000009</v>
      </c>
      <c r="AT228">
        <f t="shared" si="74"/>
        <v>3621.7146240000006</v>
      </c>
      <c r="AU228">
        <f t="shared" si="74"/>
        <v>2414.4764160000004</v>
      </c>
      <c r="AV228">
        <f t="shared" si="74"/>
        <v>1207.2382080000002</v>
      </c>
      <c r="AW228" s="1">
        <f t="shared" si="74"/>
        <v>603.61910400000011</v>
      </c>
      <c r="AX228">
        <f t="shared" si="74"/>
        <v>301.80955200000005</v>
      </c>
    </row>
    <row r="229" spans="30:57" ht="15" x14ac:dyDescent="0.25">
      <c r="AD229" s="92"/>
      <c r="AE229">
        <v>40</v>
      </c>
      <c r="AF229">
        <f t="shared" si="78"/>
        <v>4371.2000000000007</v>
      </c>
      <c r="AG229">
        <v>2</v>
      </c>
      <c r="AI229">
        <f t="shared" si="77"/>
        <v>698.36800000000005</v>
      </c>
      <c r="AJ229">
        <f t="shared" si="65"/>
        <v>8742.4000000000015</v>
      </c>
      <c r="AM229">
        <f t="shared" si="69"/>
        <v>1609.6509440000004</v>
      </c>
      <c r="AQ229" s="93"/>
      <c r="AR229">
        <v>40</v>
      </c>
      <c r="AS229">
        <f t="shared" si="74"/>
        <v>6438.6037760000017</v>
      </c>
      <c r="AT229">
        <f t="shared" si="74"/>
        <v>4828.9528320000009</v>
      </c>
      <c r="AU229">
        <f t="shared" si="74"/>
        <v>3219.3018880000009</v>
      </c>
      <c r="AV229">
        <f t="shared" si="74"/>
        <v>1609.6509440000004</v>
      </c>
      <c r="AW229" s="1">
        <f t="shared" si="74"/>
        <v>804.82547200000022</v>
      </c>
      <c r="AX229">
        <f t="shared" si="74"/>
        <v>402.41273600000011</v>
      </c>
    </row>
    <row r="230" spans="30:57" ht="15" x14ac:dyDescent="0.25">
      <c r="AD230" s="92"/>
      <c r="AE230">
        <v>50</v>
      </c>
      <c r="AF230">
        <f t="shared" si="78"/>
        <v>5464.0000000000009</v>
      </c>
      <c r="AG230">
        <v>2</v>
      </c>
      <c r="AI230">
        <f t="shared" si="77"/>
        <v>872.96</v>
      </c>
      <c r="AJ230">
        <f t="shared" si="65"/>
        <v>10928.000000000002</v>
      </c>
      <c r="AM230">
        <f t="shared" si="69"/>
        <v>2012.0636800000007</v>
      </c>
      <c r="AQ230" s="93"/>
      <c r="AR230">
        <v>50</v>
      </c>
      <c r="AS230">
        <f t="shared" si="74"/>
        <v>8048.2547200000026</v>
      </c>
      <c r="AT230">
        <f t="shared" si="74"/>
        <v>6036.1910400000015</v>
      </c>
      <c r="AU230">
        <f t="shared" si="74"/>
        <v>4024.1273600000013</v>
      </c>
      <c r="AV230">
        <f t="shared" si="74"/>
        <v>2012.0636800000007</v>
      </c>
      <c r="AW230" s="1">
        <f t="shared" si="74"/>
        <v>1006.0318400000003</v>
      </c>
      <c r="AX230">
        <f t="shared" si="74"/>
        <v>503.01592000000016</v>
      </c>
    </row>
    <row r="231" spans="30:57" ht="15" x14ac:dyDescent="0.25">
      <c r="AD231" s="92"/>
      <c r="AE231">
        <v>60</v>
      </c>
      <c r="AF231">
        <f t="shared" si="78"/>
        <v>6556.8000000000011</v>
      </c>
      <c r="AG231">
        <v>2</v>
      </c>
      <c r="AI231">
        <f t="shared" si="77"/>
        <v>1047.5520000000001</v>
      </c>
      <c r="AJ231">
        <f t="shared" si="65"/>
        <v>13113.600000000002</v>
      </c>
      <c r="AM231">
        <f t="shared" si="69"/>
        <v>2414.4764160000004</v>
      </c>
      <c r="AQ231" s="93"/>
      <c r="AR231">
        <v>60</v>
      </c>
      <c r="AS231">
        <f t="shared" si="74"/>
        <v>9657.9056640000017</v>
      </c>
      <c r="AT231">
        <f t="shared" si="74"/>
        <v>7243.4292480000013</v>
      </c>
      <c r="AU231">
        <f t="shared" si="74"/>
        <v>4828.9528320000009</v>
      </c>
      <c r="AV231">
        <f t="shared" si="74"/>
        <v>2414.4764160000004</v>
      </c>
      <c r="AW231" s="1">
        <f t="shared" si="74"/>
        <v>1207.2382080000002</v>
      </c>
      <c r="AX231">
        <f t="shared" si="74"/>
        <v>603.61910400000011</v>
      </c>
    </row>
    <row r="232" spans="30:57" ht="15" x14ac:dyDescent="0.25">
      <c r="AD232" s="92"/>
      <c r="AE232">
        <v>70</v>
      </c>
      <c r="AF232">
        <f t="shared" si="78"/>
        <v>7649.6000000000013</v>
      </c>
      <c r="AG232">
        <v>2</v>
      </c>
      <c r="AI232">
        <f t="shared" si="77"/>
        <v>1222.144</v>
      </c>
      <c r="AJ232">
        <f t="shared" si="65"/>
        <v>15299.200000000003</v>
      </c>
      <c r="AM232">
        <f t="shared" si="69"/>
        <v>2816.8891520000002</v>
      </c>
      <c r="AQ232" s="93"/>
      <c r="AR232">
        <v>70</v>
      </c>
      <c r="AS232">
        <f t="shared" si="74"/>
        <v>11267.556608000001</v>
      </c>
      <c r="AT232">
        <f t="shared" si="74"/>
        <v>8450.667456000001</v>
      </c>
      <c r="AU232">
        <f t="shared" si="74"/>
        <v>5633.7783040000004</v>
      </c>
      <c r="AV232">
        <f t="shared" si="74"/>
        <v>2816.8891520000002</v>
      </c>
      <c r="AW232" s="1">
        <f t="shared" si="74"/>
        <v>1408.4445760000001</v>
      </c>
      <c r="AX232">
        <f t="shared" si="74"/>
        <v>704.22228800000005</v>
      </c>
    </row>
    <row r="233" spans="30:57" ht="15" x14ac:dyDescent="0.25">
      <c r="AD233" s="92"/>
      <c r="AE233">
        <v>80</v>
      </c>
      <c r="AF233">
        <f t="shared" si="78"/>
        <v>8742.4000000000015</v>
      </c>
      <c r="AG233">
        <v>2</v>
      </c>
      <c r="AI233">
        <f t="shared" si="77"/>
        <v>1396.7360000000001</v>
      </c>
      <c r="AJ233">
        <f t="shared" si="65"/>
        <v>17484.800000000003</v>
      </c>
      <c r="AM233">
        <f t="shared" si="69"/>
        <v>3219.3018880000009</v>
      </c>
      <c r="AQ233" s="93"/>
      <c r="AR233">
        <v>80</v>
      </c>
      <c r="AS233">
        <f t="shared" si="74"/>
        <v>12877.207552000003</v>
      </c>
      <c r="AT233">
        <f t="shared" si="74"/>
        <v>9657.9056640000017</v>
      </c>
      <c r="AU233">
        <f t="shared" si="74"/>
        <v>6438.6037760000017</v>
      </c>
      <c r="AV233">
        <f t="shared" si="74"/>
        <v>3219.3018880000009</v>
      </c>
      <c r="AW233" s="1">
        <f t="shared" si="74"/>
        <v>1609.6509440000004</v>
      </c>
      <c r="AX233">
        <f t="shared" si="74"/>
        <v>804.82547200000022</v>
      </c>
    </row>
    <row r="234" spans="30:57" ht="15" x14ac:dyDescent="0.25">
      <c r="AD234" s="92">
        <v>800</v>
      </c>
      <c r="AE234">
        <v>5</v>
      </c>
      <c r="AF234">
        <f>AE234*1.6*($AO$113+$AF$111)</f>
        <v>641.44000000000005</v>
      </c>
      <c r="AG234">
        <v>3</v>
      </c>
      <c r="AI234">
        <f>AP99*$AI$111</f>
        <v>130.94400000000002</v>
      </c>
      <c r="AJ234">
        <f t="shared" si="65"/>
        <v>1924.3200000000002</v>
      </c>
      <c r="AM234">
        <f t="shared" si="69"/>
        <v>350.42251200000004</v>
      </c>
      <c r="AQ234" s="93">
        <v>800</v>
      </c>
      <c r="AR234">
        <v>5</v>
      </c>
      <c r="AS234">
        <f t="shared" si="74"/>
        <v>1401.6900480000002</v>
      </c>
      <c r="AT234">
        <f t="shared" si="74"/>
        <v>1051.2675360000001</v>
      </c>
      <c r="AU234">
        <f t="shared" si="74"/>
        <v>700.84502400000008</v>
      </c>
      <c r="AV234">
        <f t="shared" si="74"/>
        <v>350.42251200000004</v>
      </c>
      <c r="AW234" s="1">
        <f t="shared" si="74"/>
        <v>175.21125600000002</v>
      </c>
      <c r="AX234">
        <f t="shared" si="74"/>
        <v>87.60562800000001</v>
      </c>
    </row>
    <row r="235" spans="30:57" ht="15" x14ac:dyDescent="0.25">
      <c r="AD235" s="92"/>
      <c r="AE235">
        <v>10</v>
      </c>
      <c r="AF235">
        <f t="shared" ref="AF235:AF242" si="79">AE235*1.6*($AO$113+$AF$111)</f>
        <v>1282.8800000000001</v>
      </c>
      <c r="AG235">
        <v>3</v>
      </c>
      <c r="AI235">
        <f t="shared" ref="AI235:AI242" si="80">AP100*$AI$111</f>
        <v>261.88800000000003</v>
      </c>
      <c r="AJ235">
        <f t="shared" si="65"/>
        <v>3848.6400000000003</v>
      </c>
      <c r="AM235">
        <f t="shared" si="69"/>
        <v>700.84502400000008</v>
      </c>
      <c r="AQ235" s="93"/>
      <c r="AR235">
        <v>10</v>
      </c>
      <c r="AS235">
        <f t="shared" si="74"/>
        <v>2803.3800960000003</v>
      </c>
      <c r="AT235">
        <f t="shared" si="74"/>
        <v>2102.5350720000001</v>
      </c>
      <c r="AU235">
        <f t="shared" si="74"/>
        <v>1401.6900480000002</v>
      </c>
      <c r="AV235">
        <f t="shared" si="74"/>
        <v>700.84502400000008</v>
      </c>
      <c r="AW235" s="1">
        <f t="shared" si="74"/>
        <v>350.42251200000004</v>
      </c>
      <c r="AX235">
        <f t="shared" si="74"/>
        <v>175.21125600000002</v>
      </c>
    </row>
    <row r="236" spans="30:57" ht="15" x14ac:dyDescent="0.25">
      <c r="AD236" s="92"/>
      <c r="AE236">
        <v>20</v>
      </c>
      <c r="AF236">
        <f t="shared" si="79"/>
        <v>2565.7600000000002</v>
      </c>
      <c r="AG236">
        <v>3</v>
      </c>
      <c r="AI236">
        <f t="shared" si="80"/>
        <v>523.77600000000007</v>
      </c>
      <c r="AJ236">
        <f t="shared" si="65"/>
        <v>7697.2800000000007</v>
      </c>
      <c r="AM236">
        <f t="shared" si="69"/>
        <v>1401.6900480000002</v>
      </c>
      <c r="AQ236" s="93"/>
      <c r="AR236">
        <v>20</v>
      </c>
      <c r="AS236">
        <f t="shared" si="74"/>
        <v>5606.7601920000006</v>
      </c>
      <c r="AT236">
        <f t="shared" si="74"/>
        <v>4205.0701440000003</v>
      </c>
      <c r="AU236">
        <f t="shared" si="74"/>
        <v>2803.3800960000003</v>
      </c>
      <c r="AV236">
        <f t="shared" si="74"/>
        <v>1401.6900480000002</v>
      </c>
      <c r="AW236" s="1">
        <f t="shared" si="74"/>
        <v>700.84502400000008</v>
      </c>
      <c r="AX236">
        <f t="shared" si="74"/>
        <v>350.42251200000004</v>
      </c>
      <c r="BD236">
        <v>20</v>
      </c>
      <c r="BE236">
        <v>700.84502400000008</v>
      </c>
    </row>
    <row r="237" spans="30:57" ht="15" x14ac:dyDescent="0.25">
      <c r="AD237" s="92"/>
      <c r="AE237">
        <v>30</v>
      </c>
      <c r="AF237">
        <f t="shared" si="79"/>
        <v>3848.6400000000003</v>
      </c>
      <c r="AG237">
        <v>3</v>
      </c>
      <c r="AI237">
        <f t="shared" si="80"/>
        <v>785.6640000000001</v>
      </c>
      <c r="AJ237">
        <f t="shared" si="65"/>
        <v>11545.920000000002</v>
      </c>
      <c r="AM237">
        <f t="shared" si="69"/>
        <v>2102.5350720000006</v>
      </c>
      <c r="AQ237" s="93"/>
      <c r="AR237">
        <v>30</v>
      </c>
      <c r="AS237">
        <f t="shared" si="74"/>
        <v>8410.1402880000023</v>
      </c>
      <c r="AT237">
        <f t="shared" si="74"/>
        <v>6307.6052160000017</v>
      </c>
      <c r="AU237">
        <f t="shared" si="74"/>
        <v>4205.0701440000012</v>
      </c>
      <c r="AV237">
        <f t="shared" si="74"/>
        <v>2102.5350720000006</v>
      </c>
      <c r="AW237" s="1">
        <f t="shared" si="74"/>
        <v>1051.2675360000003</v>
      </c>
      <c r="AX237">
        <f t="shared" si="74"/>
        <v>525.63376800000015</v>
      </c>
    </row>
    <row r="238" spans="30:57" ht="15" x14ac:dyDescent="0.25">
      <c r="AD238" s="92"/>
      <c r="AE238">
        <v>40</v>
      </c>
      <c r="AF238">
        <f t="shared" si="79"/>
        <v>5131.5200000000004</v>
      </c>
      <c r="AG238">
        <v>3</v>
      </c>
      <c r="AI238">
        <f t="shared" si="80"/>
        <v>1047.5520000000001</v>
      </c>
      <c r="AJ238">
        <f t="shared" si="65"/>
        <v>15394.560000000001</v>
      </c>
      <c r="AM238">
        <f t="shared" si="69"/>
        <v>2803.3800960000003</v>
      </c>
      <c r="AQ238" s="93"/>
      <c r="AR238">
        <v>40</v>
      </c>
      <c r="AS238">
        <f t="shared" si="74"/>
        <v>11213.520384000001</v>
      </c>
      <c r="AT238">
        <f t="shared" si="74"/>
        <v>8410.1402880000005</v>
      </c>
      <c r="AU238">
        <f t="shared" si="74"/>
        <v>5606.7601920000006</v>
      </c>
      <c r="AV238">
        <f t="shared" si="74"/>
        <v>2803.3800960000003</v>
      </c>
      <c r="AW238" s="1">
        <f t="shared" si="74"/>
        <v>1401.6900480000002</v>
      </c>
      <c r="AX238">
        <f t="shared" si="74"/>
        <v>700.84502400000008</v>
      </c>
    </row>
    <row r="239" spans="30:57" ht="15" x14ac:dyDescent="0.25">
      <c r="AD239" s="92"/>
      <c r="AE239">
        <v>50</v>
      </c>
      <c r="AF239">
        <f t="shared" si="79"/>
        <v>6414.4000000000005</v>
      </c>
      <c r="AG239">
        <v>3</v>
      </c>
      <c r="AI239">
        <f t="shared" si="80"/>
        <v>1309.44</v>
      </c>
      <c r="AJ239">
        <f t="shared" si="65"/>
        <v>19243.2</v>
      </c>
      <c r="AM239">
        <f t="shared" si="69"/>
        <v>3504.2251200000001</v>
      </c>
      <c r="AQ239" s="93"/>
      <c r="AR239">
        <v>50</v>
      </c>
      <c r="AS239">
        <f t="shared" si="74"/>
        <v>14016.90048</v>
      </c>
      <c r="AT239">
        <f t="shared" si="74"/>
        <v>10512.675360000001</v>
      </c>
      <c r="AU239">
        <f t="shared" si="74"/>
        <v>7008.4502400000001</v>
      </c>
      <c r="AV239">
        <f t="shared" si="74"/>
        <v>3504.2251200000001</v>
      </c>
      <c r="AW239" s="1">
        <f t="shared" si="74"/>
        <v>1752.11256</v>
      </c>
      <c r="AX239">
        <f t="shared" si="74"/>
        <v>876.05628000000002</v>
      </c>
    </row>
    <row r="240" spans="30:57" ht="15" x14ac:dyDescent="0.25">
      <c r="AD240" s="92"/>
      <c r="AE240">
        <v>60</v>
      </c>
      <c r="AF240">
        <f t="shared" si="79"/>
        <v>7697.2800000000007</v>
      </c>
      <c r="AG240">
        <v>3</v>
      </c>
      <c r="AI240">
        <f t="shared" si="80"/>
        <v>1571.3280000000002</v>
      </c>
      <c r="AJ240">
        <f t="shared" si="65"/>
        <v>23091.840000000004</v>
      </c>
      <c r="AM240">
        <f t="shared" si="69"/>
        <v>4205.0701440000012</v>
      </c>
      <c r="AQ240" s="93"/>
      <c r="AR240">
        <v>60</v>
      </c>
      <c r="AS240">
        <f t="shared" si="74"/>
        <v>16820.280576000005</v>
      </c>
      <c r="AT240">
        <f t="shared" si="74"/>
        <v>12615.210432000003</v>
      </c>
      <c r="AU240">
        <f t="shared" si="74"/>
        <v>8410.1402880000023</v>
      </c>
      <c r="AV240">
        <f t="shared" si="74"/>
        <v>4205.0701440000012</v>
      </c>
      <c r="AW240" s="1">
        <f t="shared" si="74"/>
        <v>2102.5350720000006</v>
      </c>
      <c r="AX240">
        <f t="shared" si="74"/>
        <v>1051.2675360000003</v>
      </c>
    </row>
    <row r="241" spans="30:57" ht="15" x14ac:dyDescent="0.25">
      <c r="AD241" s="92"/>
      <c r="AE241">
        <v>70</v>
      </c>
      <c r="AF241">
        <f t="shared" si="79"/>
        <v>8980.16</v>
      </c>
      <c r="AG241">
        <v>3</v>
      </c>
      <c r="AI241">
        <f t="shared" si="80"/>
        <v>1833.2159999999999</v>
      </c>
      <c r="AJ241">
        <f t="shared" si="65"/>
        <v>26940.48</v>
      </c>
      <c r="AM241">
        <f t="shared" si="69"/>
        <v>4905.9151680000004</v>
      </c>
      <c r="AQ241" s="93"/>
      <c r="AR241">
        <v>70</v>
      </c>
      <c r="AS241">
        <f t="shared" si="74"/>
        <v>19623.660672000002</v>
      </c>
      <c r="AT241">
        <f t="shared" si="74"/>
        <v>14717.745504000002</v>
      </c>
      <c r="AU241">
        <f t="shared" si="74"/>
        <v>9811.8303360000009</v>
      </c>
      <c r="AV241">
        <f t="shared" si="74"/>
        <v>4905.9151680000004</v>
      </c>
      <c r="AW241" s="1">
        <f t="shared" si="74"/>
        <v>2452.9575840000002</v>
      </c>
      <c r="AX241">
        <f t="shared" si="74"/>
        <v>1226.4787920000001</v>
      </c>
    </row>
    <row r="242" spans="30:57" ht="15" x14ac:dyDescent="0.25">
      <c r="AD242" s="92"/>
      <c r="AE242">
        <v>80</v>
      </c>
      <c r="AF242">
        <f t="shared" si="79"/>
        <v>10263.040000000001</v>
      </c>
      <c r="AG242">
        <v>3</v>
      </c>
      <c r="AI242">
        <f t="shared" si="80"/>
        <v>2095.1040000000003</v>
      </c>
      <c r="AJ242">
        <f t="shared" si="65"/>
        <v>30789.120000000003</v>
      </c>
      <c r="AM242">
        <f t="shared" si="69"/>
        <v>5606.7601920000006</v>
      </c>
      <c r="AQ242" s="93"/>
      <c r="AR242">
        <v>80</v>
      </c>
      <c r="AS242">
        <f t="shared" si="74"/>
        <v>22427.040768000003</v>
      </c>
      <c r="AT242">
        <f t="shared" si="74"/>
        <v>16820.280576000001</v>
      </c>
      <c r="AU242">
        <f t="shared" si="74"/>
        <v>11213.520384000001</v>
      </c>
      <c r="AV242">
        <f t="shared" si="74"/>
        <v>5606.7601920000006</v>
      </c>
      <c r="AW242" s="1">
        <f t="shared" si="74"/>
        <v>2803.3800960000003</v>
      </c>
      <c r="AX242">
        <f t="shared" si="74"/>
        <v>1401.6900480000002</v>
      </c>
    </row>
    <row r="243" spans="30:57" ht="15" x14ac:dyDescent="0.25">
      <c r="AD243" s="92">
        <v>1000</v>
      </c>
      <c r="AE243">
        <v>5</v>
      </c>
      <c r="AF243">
        <f>AE243*1.6*($AO$113+$AF$112)</f>
        <v>736.48</v>
      </c>
      <c r="AG243">
        <v>4</v>
      </c>
      <c r="AI243">
        <f>AP99*$AI$112</f>
        <v>174.59200000000001</v>
      </c>
      <c r="AJ243">
        <f t="shared" si="65"/>
        <v>2945.92</v>
      </c>
      <c r="AM243">
        <f t="shared" si="69"/>
        <v>532.04729600000007</v>
      </c>
      <c r="AQ243" s="93">
        <v>1000</v>
      </c>
      <c r="AR243">
        <v>5</v>
      </c>
      <c r="AS243">
        <f t="shared" si="74"/>
        <v>2128.1891840000003</v>
      </c>
      <c r="AT243">
        <f t="shared" si="74"/>
        <v>1596.1418880000001</v>
      </c>
      <c r="AU243">
        <f t="shared" si="74"/>
        <v>1064.0945920000001</v>
      </c>
      <c r="AV243">
        <f t="shared" si="74"/>
        <v>532.04729600000007</v>
      </c>
      <c r="AW243" s="1">
        <f t="shared" si="74"/>
        <v>266.02364800000004</v>
      </c>
      <c r="AX243">
        <f t="shared" si="74"/>
        <v>133.01182400000002</v>
      </c>
    </row>
    <row r="244" spans="30:57" ht="15" x14ac:dyDescent="0.25">
      <c r="AD244" s="92"/>
      <c r="AE244">
        <v>10</v>
      </c>
      <c r="AF244">
        <f t="shared" ref="AF244:AF251" si="81">AE244*1.6*($AO$113+$AF$112)</f>
        <v>1472.96</v>
      </c>
      <c r="AG244">
        <v>4</v>
      </c>
      <c r="AI244">
        <f t="shared" ref="AI244:AI251" si="82">AP100*$AI$112</f>
        <v>349.18400000000003</v>
      </c>
      <c r="AJ244">
        <f t="shared" si="65"/>
        <v>5891.84</v>
      </c>
      <c r="AM244">
        <f t="shared" si="69"/>
        <v>1064.0945920000001</v>
      </c>
      <c r="AQ244" s="93"/>
      <c r="AR244">
        <v>10</v>
      </c>
      <c r="AS244">
        <f t="shared" si="74"/>
        <v>4256.3783680000006</v>
      </c>
      <c r="AT244">
        <f t="shared" si="74"/>
        <v>3192.2837760000002</v>
      </c>
      <c r="AU244">
        <f t="shared" si="74"/>
        <v>2128.1891840000003</v>
      </c>
      <c r="AV244">
        <f t="shared" si="74"/>
        <v>1064.0945920000001</v>
      </c>
      <c r="AW244" s="1">
        <f t="shared" si="74"/>
        <v>532.04729600000007</v>
      </c>
      <c r="AX244">
        <f t="shared" si="74"/>
        <v>266.02364800000004</v>
      </c>
    </row>
    <row r="245" spans="30:57" ht="15" x14ac:dyDescent="0.25">
      <c r="AD245" s="92"/>
      <c r="AE245">
        <v>20</v>
      </c>
      <c r="AF245">
        <f t="shared" si="81"/>
        <v>2945.92</v>
      </c>
      <c r="AG245">
        <v>4</v>
      </c>
      <c r="AI245">
        <f t="shared" si="82"/>
        <v>698.36800000000005</v>
      </c>
      <c r="AJ245">
        <f t="shared" si="65"/>
        <v>11783.68</v>
      </c>
      <c r="AM245">
        <f t="shared" si="69"/>
        <v>2128.1891840000003</v>
      </c>
      <c r="AQ245" s="93"/>
      <c r="AR245">
        <v>20</v>
      </c>
      <c r="AS245">
        <f t="shared" si="74"/>
        <v>8512.7567360000012</v>
      </c>
      <c r="AT245">
        <f t="shared" si="74"/>
        <v>6384.5675520000004</v>
      </c>
      <c r="AU245">
        <f t="shared" si="74"/>
        <v>4256.3783680000006</v>
      </c>
      <c r="AV245">
        <f t="shared" si="74"/>
        <v>2128.1891840000003</v>
      </c>
      <c r="AW245" s="1">
        <f t="shared" si="74"/>
        <v>1064.0945920000001</v>
      </c>
      <c r="AX245">
        <f t="shared" si="74"/>
        <v>532.04729600000007</v>
      </c>
      <c r="BD245">
        <v>20</v>
      </c>
      <c r="BE245">
        <v>1064.0945920000001</v>
      </c>
    </row>
    <row r="246" spans="30:57" ht="15" x14ac:dyDescent="0.25">
      <c r="AD246" s="92"/>
      <c r="AE246">
        <v>30</v>
      </c>
      <c r="AF246">
        <f t="shared" si="81"/>
        <v>4418.88</v>
      </c>
      <c r="AG246">
        <v>4</v>
      </c>
      <c r="AI246">
        <f t="shared" si="82"/>
        <v>1047.5520000000001</v>
      </c>
      <c r="AJ246">
        <f t="shared" ref="AJ246:AJ251" si="83">AF246*AG246</f>
        <v>17675.52</v>
      </c>
      <c r="AM246">
        <f t="shared" si="69"/>
        <v>3192.2837760000002</v>
      </c>
      <c r="AQ246" s="93"/>
      <c r="AR246">
        <v>30</v>
      </c>
      <c r="AS246">
        <f t="shared" si="74"/>
        <v>12769.135104000001</v>
      </c>
      <c r="AT246">
        <f t="shared" si="74"/>
        <v>9576.8513280000006</v>
      </c>
      <c r="AU246">
        <f t="shared" si="74"/>
        <v>6384.5675520000004</v>
      </c>
      <c r="AV246">
        <f t="shared" si="74"/>
        <v>3192.2837760000002</v>
      </c>
      <c r="AW246" s="1">
        <f t="shared" si="74"/>
        <v>1596.1418880000001</v>
      </c>
      <c r="AX246">
        <f t="shared" si="74"/>
        <v>798.07094400000005</v>
      </c>
    </row>
    <row r="247" spans="30:57" ht="15" x14ac:dyDescent="0.25">
      <c r="AD247" s="92"/>
      <c r="AE247">
        <v>40</v>
      </c>
      <c r="AF247">
        <f t="shared" si="81"/>
        <v>5891.84</v>
      </c>
      <c r="AG247">
        <v>4</v>
      </c>
      <c r="AI247">
        <f t="shared" si="82"/>
        <v>1396.7360000000001</v>
      </c>
      <c r="AJ247">
        <f t="shared" si="83"/>
        <v>23567.360000000001</v>
      </c>
      <c r="AM247">
        <f t="shared" si="69"/>
        <v>4256.3783680000006</v>
      </c>
      <c r="AQ247" s="93"/>
      <c r="AR247">
        <v>40</v>
      </c>
      <c r="AS247">
        <f t="shared" si="74"/>
        <v>17025.513472000002</v>
      </c>
      <c r="AT247">
        <f t="shared" si="74"/>
        <v>12769.135104000001</v>
      </c>
      <c r="AU247">
        <f t="shared" si="74"/>
        <v>8512.7567360000012</v>
      </c>
      <c r="AV247">
        <f t="shared" si="74"/>
        <v>4256.3783680000006</v>
      </c>
      <c r="AW247" s="1">
        <f t="shared" si="74"/>
        <v>2128.1891840000003</v>
      </c>
      <c r="AX247">
        <f t="shared" si="74"/>
        <v>1064.0945920000001</v>
      </c>
    </row>
    <row r="248" spans="30:57" ht="15" x14ac:dyDescent="0.25">
      <c r="AD248" s="92"/>
      <c r="AE248">
        <v>50</v>
      </c>
      <c r="AF248">
        <f t="shared" si="81"/>
        <v>7364.8</v>
      </c>
      <c r="AG248">
        <v>4</v>
      </c>
      <c r="AI248">
        <f t="shared" si="82"/>
        <v>1745.92</v>
      </c>
      <c r="AJ248">
        <f t="shared" si="83"/>
        <v>29459.200000000001</v>
      </c>
      <c r="AM248">
        <f t="shared" si="69"/>
        <v>5320.472960000001</v>
      </c>
      <c r="AQ248" s="93"/>
      <c r="AR248">
        <v>50</v>
      </c>
      <c r="AS248">
        <f t="shared" si="74"/>
        <v>21281.891840000004</v>
      </c>
      <c r="AT248">
        <f t="shared" si="74"/>
        <v>15961.418880000003</v>
      </c>
      <c r="AU248">
        <f t="shared" si="74"/>
        <v>10640.945920000002</v>
      </c>
      <c r="AV248">
        <f t="shared" si="74"/>
        <v>5320.472960000001</v>
      </c>
      <c r="AW248" s="1">
        <f t="shared" si="74"/>
        <v>2660.2364800000005</v>
      </c>
      <c r="AX248">
        <f t="shared" si="74"/>
        <v>1330.1182400000002</v>
      </c>
    </row>
    <row r="249" spans="30:57" ht="15" x14ac:dyDescent="0.25">
      <c r="AD249" s="92"/>
      <c r="AE249">
        <v>60</v>
      </c>
      <c r="AF249">
        <f t="shared" si="81"/>
        <v>8837.76</v>
      </c>
      <c r="AG249">
        <v>4</v>
      </c>
      <c r="AI249">
        <f t="shared" si="82"/>
        <v>2095.1040000000003</v>
      </c>
      <c r="AJ249">
        <f t="shared" si="83"/>
        <v>35351.040000000001</v>
      </c>
      <c r="AM249">
        <f t="shared" si="69"/>
        <v>6384.5675520000004</v>
      </c>
      <c r="AQ249" s="93"/>
      <c r="AR249">
        <v>60</v>
      </c>
      <c r="AS249">
        <f t="shared" si="74"/>
        <v>25538.270208000002</v>
      </c>
      <c r="AT249">
        <f t="shared" si="74"/>
        <v>19153.702656000001</v>
      </c>
      <c r="AU249">
        <f t="shared" si="74"/>
        <v>12769.135104000001</v>
      </c>
      <c r="AV249">
        <f t="shared" si="74"/>
        <v>6384.5675520000004</v>
      </c>
      <c r="AW249" s="1">
        <f t="shared" si="74"/>
        <v>3192.2837760000002</v>
      </c>
      <c r="AX249">
        <f t="shared" si="74"/>
        <v>1596.1418880000001</v>
      </c>
    </row>
    <row r="250" spans="30:57" ht="15" x14ac:dyDescent="0.25">
      <c r="AD250" s="92"/>
      <c r="AE250">
        <v>70</v>
      </c>
      <c r="AF250">
        <f t="shared" si="81"/>
        <v>10310.720000000001</v>
      </c>
      <c r="AG250">
        <v>4</v>
      </c>
      <c r="AI250">
        <f t="shared" si="82"/>
        <v>2444.288</v>
      </c>
      <c r="AJ250">
        <f t="shared" si="83"/>
        <v>41242.880000000005</v>
      </c>
      <c r="AM250">
        <f t="shared" si="69"/>
        <v>7448.6621440000017</v>
      </c>
      <c r="AQ250" s="93"/>
      <c r="AR250">
        <v>70</v>
      </c>
      <c r="AS250">
        <f t="shared" si="74"/>
        <v>29794.648576000007</v>
      </c>
      <c r="AT250">
        <f t="shared" si="74"/>
        <v>22345.986432000005</v>
      </c>
      <c r="AU250">
        <f t="shared" si="74"/>
        <v>14897.324288000003</v>
      </c>
      <c r="AV250">
        <f t="shared" si="74"/>
        <v>7448.6621440000017</v>
      </c>
      <c r="AW250" s="1">
        <f t="shared" si="74"/>
        <v>3724.3310720000009</v>
      </c>
      <c r="AX250">
        <f t="shared" si="74"/>
        <v>1862.1655360000004</v>
      </c>
    </row>
    <row r="251" spans="30:57" ht="15" x14ac:dyDescent="0.25">
      <c r="AD251" s="92"/>
      <c r="AE251">
        <v>80</v>
      </c>
      <c r="AF251">
        <f t="shared" si="81"/>
        <v>11783.68</v>
      </c>
      <c r="AG251">
        <v>4</v>
      </c>
      <c r="AI251">
        <f t="shared" si="82"/>
        <v>2793.4720000000002</v>
      </c>
      <c r="AJ251">
        <f t="shared" si="83"/>
        <v>47134.720000000001</v>
      </c>
      <c r="AM251">
        <f t="shared" si="69"/>
        <v>8512.7567360000012</v>
      </c>
      <c r="AQ251" s="93"/>
      <c r="AR251">
        <v>80</v>
      </c>
      <c r="AS251">
        <f t="shared" si="74"/>
        <v>34051.026944000005</v>
      </c>
      <c r="AT251">
        <f t="shared" si="74"/>
        <v>25538.270208000002</v>
      </c>
      <c r="AU251">
        <f t="shared" si="74"/>
        <v>17025.513472000002</v>
      </c>
      <c r="AV251">
        <f t="shared" si="74"/>
        <v>8512.7567360000012</v>
      </c>
      <c r="AW251" s="1">
        <f t="shared" si="74"/>
        <v>4256.3783680000006</v>
      </c>
      <c r="AX251">
        <f t="shared" si="74"/>
        <v>2128.1891840000003</v>
      </c>
    </row>
  </sheetData>
  <mergeCells count="101">
    <mergeCell ref="AD207:AD215"/>
    <mergeCell ref="AD216:AD224"/>
    <mergeCell ref="AD225:AD233"/>
    <mergeCell ref="AD234:AD242"/>
    <mergeCell ref="AD180:AD188"/>
    <mergeCell ref="AD198:AD206"/>
    <mergeCell ref="AD243:AD251"/>
    <mergeCell ref="AQ117:AQ125"/>
    <mergeCell ref="AQ126:AQ134"/>
    <mergeCell ref="AQ135:AQ143"/>
    <mergeCell ref="AQ144:AQ152"/>
    <mergeCell ref="AQ153:AQ161"/>
    <mergeCell ref="AQ162:AQ170"/>
    <mergeCell ref="AQ171:AQ179"/>
    <mergeCell ref="AQ180:AQ188"/>
    <mergeCell ref="AQ189:AQ197"/>
    <mergeCell ref="AQ198:AQ206"/>
    <mergeCell ref="AQ207:AQ215"/>
    <mergeCell ref="AQ216:AQ224"/>
    <mergeCell ref="AQ225:AQ233"/>
    <mergeCell ref="AQ234:AQ242"/>
    <mergeCell ref="AQ243:AQ251"/>
    <mergeCell ref="AY20:AZ20"/>
    <mergeCell ref="AD162:AD170"/>
    <mergeCell ref="AD171:AD179"/>
    <mergeCell ref="AD189:AD197"/>
    <mergeCell ref="AD117:AD125"/>
    <mergeCell ref="AD126:AD134"/>
    <mergeCell ref="AD135:AD143"/>
    <mergeCell ref="AD144:AD152"/>
    <mergeCell ref="AD153:AD161"/>
    <mergeCell ref="BY20:BZ20"/>
    <mergeCell ref="P1:AB1"/>
    <mergeCell ref="BC1:BO1"/>
    <mergeCell ref="BD20:BE20"/>
    <mergeCell ref="BF20:BG20"/>
    <mergeCell ref="BH20:BI20"/>
    <mergeCell ref="BJ20:BK20"/>
    <mergeCell ref="BL20:BM20"/>
    <mergeCell ref="Q20:R20"/>
    <mergeCell ref="S20:T20"/>
    <mergeCell ref="U20:V20"/>
    <mergeCell ref="W20:X20"/>
    <mergeCell ref="Y20:Z20"/>
    <mergeCell ref="AC1:AO1"/>
    <mergeCell ref="AD20:AE20"/>
    <mergeCell ref="AF20:AG20"/>
    <mergeCell ref="AH20:AI20"/>
    <mergeCell ref="AJ20:AK20"/>
    <mergeCell ref="AL20:AM20"/>
    <mergeCell ref="AP1:BB1"/>
    <mergeCell ref="AQ20:AR20"/>
    <mergeCell ref="AS20:AT20"/>
    <mergeCell ref="AU20:AV20"/>
    <mergeCell ref="AW20:AX20"/>
    <mergeCell ref="B52:B63"/>
    <mergeCell ref="B64:B75"/>
    <mergeCell ref="B76:B87"/>
    <mergeCell ref="B4:B15"/>
    <mergeCell ref="B16:B27"/>
    <mergeCell ref="B28:B39"/>
    <mergeCell ref="B40:B51"/>
    <mergeCell ref="CP1:DC1"/>
    <mergeCell ref="CQ20:CR20"/>
    <mergeCell ref="CS20:CT20"/>
    <mergeCell ref="CU20:CV20"/>
    <mergeCell ref="CW20:CX20"/>
    <mergeCell ref="CY20:CZ20"/>
    <mergeCell ref="CC1:CO1"/>
    <mergeCell ref="CD20:CE20"/>
    <mergeCell ref="CF20:CG20"/>
    <mergeCell ref="CH20:CI20"/>
    <mergeCell ref="CJ20:CK20"/>
    <mergeCell ref="CL20:CM20"/>
    <mergeCell ref="BP1:CB1"/>
    <mergeCell ref="BQ20:BR20"/>
    <mergeCell ref="BS20:BT20"/>
    <mergeCell ref="BU20:BV20"/>
    <mergeCell ref="BW20:BX20"/>
    <mergeCell ref="BR54:BU54"/>
    <mergeCell ref="BV54:CB54"/>
    <mergeCell ref="CE54:CH54"/>
    <mergeCell ref="CI54:CO54"/>
    <mergeCell ref="CR54:CU54"/>
    <mergeCell ref="BE54:BH54"/>
    <mergeCell ref="BI54:BO54"/>
    <mergeCell ref="R54:U54"/>
    <mergeCell ref="V54:AB54"/>
    <mergeCell ref="AE54:AH54"/>
    <mergeCell ref="AI54:AO54"/>
    <mergeCell ref="AR54:AU54"/>
    <mergeCell ref="AV54:BB54"/>
    <mergeCell ref="FQ1:GC1"/>
    <mergeCell ref="GD1:GP1"/>
    <mergeCell ref="GQ1:HC1"/>
    <mergeCell ref="DD1:DP1"/>
    <mergeCell ref="DQ1:EC1"/>
    <mergeCell ref="ED1:EP1"/>
    <mergeCell ref="EQ1:FC1"/>
    <mergeCell ref="FD1:FP1"/>
    <mergeCell ref="CV54:DC5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D4915-442E-4348-A4AD-112FD8A68FEE}">
  <sheetPr>
    <tabColor theme="7"/>
  </sheetPr>
  <dimension ref="A1:FP58"/>
  <sheetViews>
    <sheetView zoomScale="80" zoomScaleNormal="80" workbookViewId="0">
      <selection activeCell="Q64" sqref="Q64"/>
    </sheetView>
  </sheetViews>
  <sheetFormatPr defaultRowHeight="14.25" x14ac:dyDescent="0.2"/>
  <cols>
    <col min="6" max="6" width="9" style="10"/>
    <col min="20" max="20" width="11.875" bestFit="1" customWidth="1"/>
    <col min="21" max="21" width="9" style="10"/>
    <col min="29" max="29" width="9" style="10"/>
    <col min="36" max="36" width="9" style="10"/>
    <col min="43" max="43" width="9" style="10"/>
    <col min="51" max="51" width="9" style="10"/>
    <col min="58" max="58" width="9" style="10"/>
    <col min="66" max="66" width="9" style="10"/>
    <col min="74" max="74" width="9" style="10"/>
    <col min="88" max="88" width="9" style="10"/>
    <col min="102" max="102" width="9" style="10"/>
    <col min="116" max="116" width="9" style="10"/>
    <col min="130" max="130" width="9" style="10"/>
    <col min="144" max="144" width="9" style="10"/>
    <col min="158" max="158" width="9" style="10"/>
    <col min="172" max="172" width="9" style="10"/>
  </cols>
  <sheetData>
    <row r="1" spans="1:172" s="34" customFormat="1" ht="16.5" thickBot="1" x14ac:dyDescent="0.3">
      <c r="A1" s="33"/>
      <c r="F1" s="36"/>
      <c r="G1" s="97" t="s">
        <v>1</v>
      </c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8"/>
      <c r="V1" s="94" t="s">
        <v>36</v>
      </c>
      <c r="W1" s="95"/>
      <c r="X1" s="95"/>
      <c r="Y1" s="95"/>
      <c r="Z1" s="95"/>
      <c r="AA1" s="95"/>
      <c r="AB1" s="95"/>
      <c r="AC1" s="96"/>
      <c r="AD1" s="94" t="s">
        <v>37</v>
      </c>
      <c r="AE1" s="95"/>
      <c r="AF1" s="95"/>
      <c r="AG1" s="95"/>
      <c r="AH1" s="95"/>
      <c r="AI1" s="95"/>
      <c r="AJ1" s="96"/>
      <c r="AK1" s="94" t="s">
        <v>43</v>
      </c>
      <c r="AL1" s="95"/>
      <c r="AM1" s="95"/>
      <c r="AN1" s="95"/>
      <c r="AO1" s="95"/>
      <c r="AP1" s="95"/>
      <c r="AQ1" s="96"/>
      <c r="AR1" s="94" t="s">
        <v>44</v>
      </c>
      <c r="AS1" s="95"/>
      <c r="AT1" s="95"/>
      <c r="AU1" s="95"/>
      <c r="AV1" s="95"/>
      <c r="AW1" s="95"/>
      <c r="AX1" s="95"/>
      <c r="AY1" s="96"/>
      <c r="AZ1" s="94" t="s">
        <v>45</v>
      </c>
      <c r="BA1" s="95"/>
      <c r="BB1" s="95"/>
      <c r="BC1" s="95"/>
      <c r="BD1" s="95"/>
      <c r="BE1" s="95"/>
      <c r="BF1" s="96"/>
      <c r="BG1" s="94" t="s">
        <v>46</v>
      </c>
      <c r="BH1" s="95"/>
      <c r="BI1" s="95"/>
      <c r="BJ1" s="95"/>
      <c r="BK1" s="95"/>
      <c r="BL1" s="95"/>
      <c r="BM1" s="95"/>
      <c r="BN1" s="96"/>
      <c r="BO1" s="94" t="s">
        <v>676</v>
      </c>
      <c r="BP1" s="95"/>
      <c r="BQ1" s="95"/>
      <c r="BR1" s="95"/>
      <c r="BS1" s="95"/>
      <c r="BT1" s="95"/>
      <c r="BU1" s="95"/>
      <c r="BV1" s="96"/>
      <c r="BW1" s="94" t="s">
        <v>677</v>
      </c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6"/>
      <c r="CK1" s="94" t="s">
        <v>678</v>
      </c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6"/>
      <c r="CY1" s="94" t="s">
        <v>679</v>
      </c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6"/>
      <c r="DM1" s="94" t="s">
        <v>680</v>
      </c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6"/>
      <c r="EA1" s="94" t="s">
        <v>681</v>
      </c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6"/>
      <c r="EO1" s="94" t="s">
        <v>682</v>
      </c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6"/>
      <c r="FC1" s="94" t="s">
        <v>683</v>
      </c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6"/>
    </row>
    <row r="3" spans="1:172" x14ac:dyDescent="0.2">
      <c r="H3" t="s">
        <v>51</v>
      </c>
      <c r="W3" t="s">
        <v>51</v>
      </c>
      <c r="AE3" t="s">
        <v>51</v>
      </c>
      <c r="AL3" t="s">
        <v>51</v>
      </c>
      <c r="AS3" t="s">
        <v>51</v>
      </c>
      <c r="BA3" t="s">
        <v>51</v>
      </c>
      <c r="BH3" t="s">
        <v>52</v>
      </c>
      <c r="BP3" t="s">
        <v>52</v>
      </c>
    </row>
    <row r="4" spans="1:172" ht="15" x14ac:dyDescent="0.25">
      <c r="A4" t="s">
        <v>693</v>
      </c>
      <c r="B4" t="s">
        <v>165</v>
      </c>
      <c r="C4" t="s">
        <v>253</v>
      </c>
      <c r="D4" t="s">
        <v>694</v>
      </c>
      <c r="H4" t="s">
        <v>0</v>
      </c>
      <c r="I4" s="2" t="s">
        <v>8</v>
      </c>
      <c r="J4" s="2" t="s">
        <v>9</v>
      </c>
      <c r="L4" s="2" t="s">
        <v>699</v>
      </c>
      <c r="W4" t="s">
        <v>0</v>
      </c>
      <c r="X4" s="2" t="s">
        <v>8</v>
      </c>
      <c r="Y4" s="2" t="s">
        <v>9</v>
      </c>
      <c r="AA4" s="2" t="s">
        <v>699</v>
      </c>
      <c r="AE4" t="s">
        <v>0</v>
      </c>
      <c r="AF4" s="2" t="s">
        <v>8</v>
      </c>
      <c r="AG4" s="2" t="s">
        <v>9</v>
      </c>
      <c r="AL4" t="s">
        <v>0</v>
      </c>
      <c r="AM4" s="2" t="s">
        <v>8</v>
      </c>
      <c r="AN4" s="2" t="s">
        <v>9</v>
      </c>
      <c r="AS4" t="s">
        <v>0</v>
      </c>
      <c r="AT4" s="2" t="s">
        <v>8</v>
      </c>
      <c r="AU4" s="2" t="s">
        <v>9</v>
      </c>
      <c r="BA4" t="s">
        <v>0</v>
      </c>
      <c r="BB4" s="2" t="s">
        <v>8</v>
      </c>
      <c r="BC4" s="2" t="s">
        <v>9</v>
      </c>
      <c r="BH4" t="s">
        <v>0</v>
      </c>
      <c r="BI4" s="2" t="s">
        <v>8</v>
      </c>
      <c r="BJ4" s="2" t="s">
        <v>9</v>
      </c>
      <c r="BP4" t="s">
        <v>0</v>
      </c>
      <c r="BQ4" s="2" t="s">
        <v>8</v>
      </c>
      <c r="BR4" s="2" t="s">
        <v>9</v>
      </c>
    </row>
    <row r="5" spans="1:172" ht="15" x14ac:dyDescent="0.25">
      <c r="A5">
        <v>5</v>
      </c>
      <c r="H5" t="s">
        <v>695</v>
      </c>
      <c r="I5">
        <v>1</v>
      </c>
      <c r="J5">
        <f>'Septic Tank - British '!R9</f>
        <v>105.8633</v>
      </c>
      <c r="W5" t="s">
        <v>47</v>
      </c>
      <c r="Y5">
        <v>169</v>
      </c>
      <c r="AE5" t="s">
        <v>10</v>
      </c>
      <c r="AL5" t="s">
        <v>10</v>
      </c>
      <c r="AS5" t="s">
        <v>10</v>
      </c>
      <c r="BA5" t="s">
        <v>10</v>
      </c>
      <c r="BH5" t="s">
        <v>10</v>
      </c>
      <c r="BJ5">
        <f>'[1]Septic Tank-SW'!$CQ$13</f>
        <v>1457</v>
      </c>
      <c r="BP5" t="s">
        <v>10</v>
      </c>
      <c r="BR5">
        <f>'[1]Septic Tank-SW'!$DE$13</f>
        <v>2030</v>
      </c>
      <c r="FD5" t="s">
        <v>0</v>
      </c>
      <c r="FE5" s="2" t="s">
        <v>8</v>
      </c>
      <c r="FF5" s="2" t="s">
        <v>9</v>
      </c>
    </row>
    <row r="6" spans="1:172" x14ac:dyDescent="0.2">
      <c r="A6">
        <v>10</v>
      </c>
      <c r="H6" t="s">
        <v>696</v>
      </c>
      <c r="I6">
        <v>18.118749999999999</v>
      </c>
      <c r="W6" t="s">
        <v>30</v>
      </c>
      <c r="X6">
        <v>10.110240000000001</v>
      </c>
      <c r="AE6" t="s">
        <v>696</v>
      </c>
      <c r="AF6">
        <f>'[1]Septic Tank-SW'!AL5</f>
        <v>21.105512999999998</v>
      </c>
      <c r="AL6" t="s">
        <v>696</v>
      </c>
      <c r="AM6">
        <f>'[1]Septic Tank-SW'!AZ5</f>
        <v>24.522896999999993</v>
      </c>
      <c r="AS6" t="s">
        <v>696</v>
      </c>
      <c r="AT6">
        <f>'[1]Septic Tank-SW'!BN6</f>
        <v>47.372456999999997</v>
      </c>
      <c r="BA6" t="s">
        <v>696</v>
      </c>
      <c r="BB6">
        <f>'[1]Septic Tank-SW'!CB6</f>
        <v>73.250910599999997</v>
      </c>
      <c r="BH6" t="str">
        <f>'[1]Septic Tank-SW'!CO21</f>
        <v>Excation</v>
      </c>
      <c r="BI6">
        <f>'[1]Septic Tank-SW'!CP21</f>
        <v>109.38445919999999</v>
      </c>
      <c r="BP6" t="s">
        <v>696</v>
      </c>
      <c r="BQ6">
        <f>'[1]Septic Tank-SW'!DD21</f>
        <v>141.03683280000001</v>
      </c>
      <c r="FD6" t="s">
        <v>10</v>
      </c>
      <c r="FE6">
        <f>182.45+2460*5</f>
        <v>12482.45</v>
      </c>
    </row>
    <row r="7" spans="1:172" x14ac:dyDescent="0.2">
      <c r="A7">
        <v>20</v>
      </c>
      <c r="H7" t="s">
        <v>5</v>
      </c>
      <c r="I7">
        <f>'Septic Tank - British '!Q7</f>
        <v>1</v>
      </c>
      <c r="J7" s="5">
        <f>'Septic Tank - British '!R7</f>
        <v>2500</v>
      </c>
      <c r="W7" t="s">
        <v>698</v>
      </c>
      <c r="X7">
        <v>7.110240000000001</v>
      </c>
      <c r="Y7">
        <f>Conversions!$B$16*X7</f>
        <v>10843.116000000002</v>
      </c>
      <c r="AE7" t="s">
        <v>15</v>
      </c>
      <c r="AF7">
        <f>'[1]Septic Tank-SW'!AL6</f>
        <v>1.0047149999999998</v>
      </c>
      <c r="AL7" t="s">
        <v>15</v>
      </c>
      <c r="AM7">
        <f>'[1]Septic Tank-SW'!AZ6</f>
        <v>2.8404899999999991</v>
      </c>
      <c r="AS7" t="s">
        <v>15</v>
      </c>
      <c r="AT7">
        <f>'[1]Septic Tank-SW'!BN7</f>
        <v>3.3240780000000001</v>
      </c>
      <c r="BA7" t="s">
        <v>15</v>
      </c>
      <c r="BB7">
        <f>'[1]Septic Tank-SW'!CB7</f>
        <v>3.9873780000000001</v>
      </c>
      <c r="BH7" t="str">
        <f>'[1]Septic Tank-SW'!CO22</f>
        <v>Concrete</v>
      </c>
      <c r="BI7">
        <f>'[1]Septic Tank-SW'!CP22</f>
        <v>75.384459199999995</v>
      </c>
      <c r="BP7" t="s">
        <v>15</v>
      </c>
      <c r="BQ7">
        <f>'[1]Septic Tank-SW'!DD22</f>
        <v>95.036832800000013</v>
      </c>
      <c r="FD7" t="s">
        <v>696</v>
      </c>
      <c r="FE7">
        <f>[2]STS!$GX$12*5+[2]STS!$GX$23</f>
        <v>885.057861</v>
      </c>
    </row>
    <row r="8" spans="1:172" x14ac:dyDescent="0.2">
      <c r="A8">
        <v>30</v>
      </c>
      <c r="H8" t="s">
        <v>697</v>
      </c>
      <c r="I8">
        <f>'Septic Tank - British '!Q8</f>
        <v>3</v>
      </c>
      <c r="J8">
        <f>'Septic Tank - British '!R8</f>
        <v>4575</v>
      </c>
      <c r="AE8" t="s">
        <v>698</v>
      </c>
      <c r="AF8">
        <f>'[1]Septic Tank-SW'!AL7</f>
        <v>13.600797999999998</v>
      </c>
      <c r="AG8">
        <f>Conversions!$B$16*AF8</f>
        <v>20741.216949999995</v>
      </c>
      <c r="AL8" t="s">
        <v>698</v>
      </c>
      <c r="AM8">
        <f>'[1]Septic Tank-SW'!AZ7</f>
        <v>12.532406999999994</v>
      </c>
      <c r="AN8">
        <f>Conversions!$B$16*AM8</f>
        <v>19111.92067499999</v>
      </c>
      <c r="AS8" t="s">
        <v>698</v>
      </c>
      <c r="AT8">
        <f>'[1]Septic Tank-SW'!BN8</f>
        <v>29.048378999999997</v>
      </c>
      <c r="BA8" t="s">
        <v>698</v>
      </c>
      <c r="BB8">
        <f>'[1]Septic Tank-SW'!CB8</f>
        <v>51.250910599999997</v>
      </c>
      <c r="FD8" t="s">
        <v>5</v>
      </c>
      <c r="FE8">
        <f>[2]STS!$GX$24+[2]STS!$GX$13*5</f>
        <v>585.13988090277826</v>
      </c>
      <c r="FF8" s="5"/>
    </row>
    <row r="9" spans="1:172" x14ac:dyDescent="0.2">
      <c r="A9">
        <v>50</v>
      </c>
    </row>
    <row r="10" spans="1:172" x14ac:dyDescent="0.2">
      <c r="A10">
        <v>75</v>
      </c>
    </row>
    <row r="11" spans="1:172" x14ac:dyDescent="0.2">
      <c r="A11">
        <v>100</v>
      </c>
    </row>
    <row r="12" spans="1:172" x14ac:dyDescent="0.2">
      <c r="A12">
        <v>150</v>
      </c>
    </row>
    <row r="13" spans="1:172" x14ac:dyDescent="0.2">
      <c r="A13">
        <v>200</v>
      </c>
      <c r="AE13" t="s">
        <v>39</v>
      </c>
      <c r="AL13" t="s">
        <v>39</v>
      </c>
      <c r="AS13" t="s">
        <v>39</v>
      </c>
      <c r="BA13" t="s">
        <v>39</v>
      </c>
    </row>
    <row r="14" spans="1:172" ht="15" x14ac:dyDescent="0.25">
      <c r="A14">
        <v>300</v>
      </c>
      <c r="H14" t="s">
        <v>39</v>
      </c>
      <c r="I14" s="2" t="s">
        <v>8</v>
      </c>
      <c r="J14" s="2" t="s">
        <v>9</v>
      </c>
      <c r="L14" s="2" t="s">
        <v>699</v>
      </c>
      <c r="W14" t="s">
        <v>39</v>
      </c>
      <c r="X14" s="2" t="s">
        <v>8</v>
      </c>
      <c r="Y14" s="2" t="s">
        <v>9</v>
      </c>
      <c r="AA14" s="2" t="s">
        <v>699</v>
      </c>
      <c r="AE14" t="s">
        <v>0</v>
      </c>
      <c r="AF14" s="2" t="s">
        <v>8</v>
      </c>
      <c r="AG14" s="2" t="s">
        <v>9</v>
      </c>
      <c r="AL14" t="s">
        <v>0</v>
      </c>
      <c r="AM14" s="2" t="s">
        <v>8</v>
      </c>
      <c r="AN14" s="2" t="s">
        <v>9</v>
      </c>
      <c r="AS14" t="s">
        <v>0</v>
      </c>
      <c r="AT14" s="2" t="s">
        <v>8</v>
      </c>
      <c r="AU14" s="2" t="s">
        <v>9</v>
      </c>
      <c r="BA14" t="s">
        <v>0</v>
      </c>
      <c r="BB14" s="2" t="s">
        <v>8</v>
      </c>
      <c r="BC14" s="2" t="s">
        <v>9</v>
      </c>
      <c r="BI14" s="2"/>
      <c r="BJ14" s="2"/>
    </row>
    <row r="15" spans="1:172" x14ac:dyDescent="0.2">
      <c r="A15">
        <v>400</v>
      </c>
      <c r="H15" t="s">
        <v>695</v>
      </c>
      <c r="I15">
        <v>1</v>
      </c>
      <c r="J15">
        <f>J5</f>
        <v>105.8633</v>
      </c>
      <c r="W15" t="s">
        <v>47</v>
      </c>
      <c r="Y15">
        <v>169</v>
      </c>
      <c r="AE15" t="s">
        <v>10</v>
      </c>
      <c r="AL15" t="s">
        <v>10</v>
      </c>
      <c r="AS15" t="s">
        <v>10</v>
      </c>
      <c r="BA15" t="s">
        <v>10</v>
      </c>
    </row>
    <row r="16" spans="1:172" x14ac:dyDescent="0.2">
      <c r="A16">
        <v>500</v>
      </c>
      <c r="H16" t="s">
        <v>696</v>
      </c>
      <c r="I16">
        <v>18.118749999999999</v>
      </c>
      <c r="W16" t="s">
        <v>30</v>
      </c>
      <c r="X16">
        <v>10.110240000000001</v>
      </c>
      <c r="AE16" t="s">
        <v>696</v>
      </c>
      <c r="AF16">
        <f>'[1]Septic Tank-SW'!AL15</f>
        <v>21.105512999999998</v>
      </c>
      <c r="AL16" t="s">
        <v>696</v>
      </c>
      <c r="AM16">
        <f>$AM$6</f>
        <v>24.522896999999993</v>
      </c>
      <c r="AS16" t="s">
        <v>696</v>
      </c>
      <c r="AT16">
        <f>'[1]Septic Tank-SW'!BN21</f>
        <v>47.372456999999997</v>
      </c>
      <c r="BA16" t="s">
        <v>696</v>
      </c>
      <c r="BB16">
        <f>'[1]Septic Tank-SW'!CB21</f>
        <v>73.250910599999997</v>
      </c>
    </row>
    <row r="17" spans="1:170" x14ac:dyDescent="0.2">
      <c r="A17">
        <v>600</v>
      </c>
      <c r="H17" t="s">
        <v>5</v>
      </c>
      <c r="I17">
        <v>4</v>
      </c>
      <c r="J17">
        <v>10000</v>
      </c>
      <c r="W17" t="s">
        <v>15</v>
      </c>
      <c r="X17">
        <v>7.110240000000001</v>
      </c>
      <c r="Y17">
        <f>X17*Conversions!$B$4</f>
        <v>17775.600000000002</v>
      </c>
      <c r="AE17" t="s">
        <v>15</v>
      </c>
      <c r="AF17">
        <f>'[1]Septic Tank-SW'!$AL$16</f>
        <v>14.605512999999997</v>
      </c>
      <c r="AL17" t="s">
        <v>15</v>
      </c>
      <c r="AM17">
        <f>'[1]Septic Tank-SW'!$AZ$16</f>
        <v>15.372896999999993</v>
      </c>
      <c r="AS17" t="s">
        <v>15</v>
      </c>
      <c r="AT17">
        <f>'[1]Septic Tank-SW'!BN22</f>
        <v>32.372456999999997</v>
      </c>
      <c r="BA17" t="s">
        <v>15</v>
      </c>
      <c r="BB17">
        <f>'[1]Septic Tank-SW'!CB22</f>
        <v>51.250910599999997</v>
      </c>
    </row>
    <row r="18" spans="1:170" x14ac:dyDescent="0.2">
      <c r="A18">
        <v>800</v>
      </c>
    </row>
    <row r="19" spans="1:170" ht="15" x14ac:dyDescent="0.25">
      <c r="A19">
        <v>1000</v>
      </c>
      <c r="FE19" s="90" t="s">
        <v>23</v>
      </c>
      <c r="FF19" s="90"/>
      <c r="FG19" s="90" t="s">
        <v>7</v>
      </c>
      <c r="FH19" s="90"/>
      <c r="FI19" s="91" t="s">
        <v>35</v>
      </c>
      <c r="FJ19" s="90"/>
    </row>
    <row r="20" spans="1:170" ht="15" x14ac:dyDescent="0.25">
      <c r="FD20" t="s">
        <v>12</v>
      </c>
      <c r="FE20" s="2" t="s">
        <v>11</v>
      </c>
      <c r="FF20" s="2" t="s">
        <v>9</v>
      </c>
      <c r="FG20" s="2" t="s">
        <v>8</v>
      </c>
      <c r="FH20" s="2" t="s">
        <v>9</v>
      </c>
      <c r="FI20" s="2" t="s">
        <v>14</v>
      </c>
      <c r="FJ20" s="2" t="s">
        <v>9</v>
      </c>
      <c r="FK20" s="2" t="s">
        <v>30</v>
      </c>
    </row>
    <row r="21" spans="1:170" x14ac:dyDescent="0.2">
      <c r="H21" t="str">
        <f>'Septic Tank - British '!$AJ$98</f>
        <v>3.5 - 7.5</v>
      </c>
      <c r="I21">
        <f>Tankering!B35</f>
        <v>7.5</v>
      </c>
      <c r="J21" t="str">
        <f>Tankering!C35</f>
        <v>7.5tn Tanker</v>
      </c>
      <c r="L21" t="str">
        <f>Tankering!E35</f>
        <v>2000L Capcity</v>
      </c>
      <c r="O21">
        <v>2000</v>
      </c>
      <c r="W21" t="s">
        <v>12</v>
      </c>
      <c r="X21" t="s">
        <v>51</v>
      </c>
      <c r="Y21" t="s">
        <v>39</v>
      </c>
      <c r="BH21" t="s">
        <v>12</v>
      </c>
      <c r="BI21" t="s">
        <v>52</v>
      </c>
      <c r="FD21">
        <v>15</v>
      </c>
      <c r="FE21">
        <v>780</v>
      </c>
      <c r="FF21">
        <f>FE21*Conversions!$B$12</f>
        <v>616.20000000000005</v>
      </c>
      <c r="FG21">
        <v>709.6</v>
      </c>
      <c r="FH21">
        <f>Conversions!$B$16*FG21</f>
        <v>1082140</v>
      </c>
      <c r="FI21">
        <v>443.5</v>
      </c>
      <c r="FJ21">
        <f>Conversions!$C$21*Conversions!$C$23*FI21</f>
        <v>408.02000000000004</v>
      </c>
      <c r="FK21">
        <v>887</v>
      </c>
    </row>
    <row r="22" spans="1:170" ht="15" x14ac:dyDescent="0.25">
      <c r="H22" t="str">
        <f>'Septic Tank - British '!$AJ$101</f>
        <v>7.5 - 16</v>
      </c>
      <c r="I22">
        <f>Tankering!B36</f>
        <v>15</v>
      </c>
      <c r="J22" t="str">
        <f>Tankering!C36</f>
        <v>15 tn</v>
      </c>
      <c r="L22" t="str">
        <f>Tankering!E36</f>
        <v>10500 L Capacity</v>
      </c>
      <c r="O22">
        <v>10500</v>
      </c>
      <c r="W22">
        <v>15</v>
      </c>
      <c r="X22">
        <v>493.6</v>
      </c>
      <c r="Y22">
        <v>3346</v>
      </c>
      <c r="BH22">
        <v>15</v>
      </c>
      <c r="BI22">
        <f>3.86*10^4</f>
        <v>38600</v>
      </c>
      <c r="FD22">
        <v>20</v>
      </c>
      <c r="FE22">
        <v>650</v>
      </c>
      <c r="FF22">
        <f>FE22*Conversions!$B$12</f>
        <v>513.5</v>
      </c>
      <c r="FG22">
        <v>896</v>
      </c>
      <c r="FH22">
        <f>Conversions!$B$16*FG22</f>
        <v>1366400</v>
      </c>
      <c r="FI22">
        <v>560</v>
      </c>
      <c r="FJ22">
        <f>Conversions!$C$21*Conversions!$C$23*FI22</f>
        <v>515.20000000000005</v>
      </c>
      <c r="FK22">
        <v>1120</v>
      </c>
      <c r="FM22" s="6"/>
      <c r="FN22" s="6"/>
    </row>
    <row r="23" spans="1:170" x14ac:dyDescent="0.2">
      <c r="H23" t="str">
        <f>'Septic Tank - British '!$AJ$106</f>
        <v>16-32</v>
      </c>
      <c r="I23">
        <f>Tankering!B37</f>
        <v>32</v>
      </c>
      <c r="J23" t="str">
        <f>Tankering!C37</f>
        <v>32 tn</v>
      </c>
      <c r="L23" t="str">
        <f>Tankering!E37</f>
        <v>19000 L Capacity</v>
      </c>
      <c r="O23">
        <v>19000</v>
      </c>
      <c r="W23">
        <v>20</v>
      </c>
      <c r="X23">
        <v>533.27</v>
      </c>
      <c r="BH23">
        <v>20</v>
      </c>
      <c r="BI23">
        <f>3.89*10^4</f>
        <v>38900</v>
      </c>
      <c r="FD23">
        <v>30</v>
      </c>
      <c r="FE23">
        <v>675</v>
      </c>
      <c r="FF23">
        <f>FE23*Conversions!$B$12</f>
        <v>533.25</v>
      </c>
      <c r="FG23">
        <v>1304</v>
      </c>
      <c r="FH23">
        <f>Conversions!$B$16*FG23</f>
        <v>1988600</v>
      </c>
      <c r="FI23">
        <v>815</v>
      </c>
      <c r="FJ23">
        <f>Conversions!$C$21*Conversions!$C$23*FI23</f>
        <v>749.80000000000007</v>
      </c>
      <c r="FK23">
        <v>1630</v>
      </c>
    </row>
    <row r="24" spans="1:170" x14ac:dyDescent="0.2">
      <c r="W24">
        <v>30</v>
      </c>
      <c r="BH24">
        <v>30</v>
      </c>
      <c r="FD24">
        <v>40</v>
      </c>
      <c r="FE24">
        <v>700</v>
      </c>
      <c r="FF24">
        <f>FE24*Conversions!$B$12</f>
        <v>553</v>
      </c>
      <c r="FG24">
        <v>1712</v>
      </c>
      <c r="FH24">
        <f>Conversions!$B$16*FG24</f>
        <v>2610800</v>
      </c>
      <c r="FI24">
        <v>1070</v>
      </c>
      <c r="FJ24">
        <f>Conversions!$C$21*Conversions!$C$23*FI24</f>
        <v>984.40000000000009</v>
      </c>
      <c r="FK24">
        <v>2140</v>
      </c>
    </row>
    <row r="25" spans="1:170" x14ac:dyDescent="0.2">
      <c r="W25">
        <v>40</v>
      </c>
      <c r="BH25">
        <v>40</v>
      </c>
      <c r="FD25">
        <v>50</v>
      </c>
      <c r="FE25">
        <v>725</v>
      </c>
      <c r="FF25">
        <f>FE25*Conversions!$B$12</f>
        <v>572.75</v>
      </c>
      <c r="FG25">
        <v>2120</v>
      </c>
      <c r="FH25">
        <f>Conversions!$B$16*FG25</f>
        <v>3233000</v>
      </c>
      <c r="FI25">
        <v>1325</v>
      </c>
      <c r="FJ25">
        <f>Conversions!$C$21*Conversions!$C$23*FI25</f>
        <v>1219</v>
      </c>
      <c r="FK25">
        <v>2650</v>
      </c>
    </row>
    <row r="26" spans="1:170" x14ac:dyDescent="0.2">
      <c r="H26" t="str">
        <f>'[1]Septic Tank Design'!C3</f>
        <v>PE</v>
      </c>
      <c r="I26" t="str">
        <f>'[1]Septic Tank Design'!F3</f>
        <v>Scottish Water Standard</v>
      </c>
      <c r="K26" t="s">
        <v>385</v>
      </c>
      <c r="L26" t="s">
        <v>386</v>
      </c>
      <c r="N26" t="s">
        <v>602</v>
      </c>
      <c r="O26" t="s">
        <v>168</v>
      </c>
      <c r="W26">
        <v>50</v>
      </c>
      <c r="X26">
        <v>739.8</v>
      </c>
      <c r="Y26">
        <v>3592</v>
      </c>
      <c r="BH26">
        <v>50</v>
      </c>
      <c r="BI26">
        <f>4.08*10^4</f>
        <v>40800</v>
      </c>
      <c r="FD26">
        <v>60</v>
      </c>
      <c r="FE26">
        <v>750</v>
      </c>
      <c r="FF26">
        <f>FE26*Conversions!$B$12</f>
        <v>592.5</v>
      </c>
      <c r="FG26">
        <v>2528</v>
      </c>
      <c r="FH26">
        <f>Conversions!$B$16*FG26</f>
        <v>3855200</v>
      </c>
      <c r="FI26">
        <v>1580</v>
      </c>
      <c r="FJ26">
        <f>Conversions!$C$21*Conversions!$C$23*FI26</f>
        <v>1453.6000000000001</v>
      </c>
      <c r="FK26">
        <v>3160</v>
      </c>
    </row>
    <row r="27" spans="1:170" x14ac:dyDescent="0.2">
      <c r="H27">
        <f>'[1]Septic Tank Design'!C4</f>
        <v>5</v>
      </c>
      <c r="I27">
        <f>'[1]Septic Tank Design'!F4</f>
        <v>1.5</v>
      </c>
      <c r="K27">
        <f>I27*0.33</f>
        <v>0.495</v>
      </c>
      <c r="L27">
        <f>K27*1000</f>
        <v>495</v>
      </c>
      <c r="N27">
        <v>1</v>
      </c>
      <c r="O27" t="s">
        <v>169</v>
      </c>
      <c r="W27">
        <v>60</v>
      </c>
      <c r="BH27">
        <v>60</v>
      </c>
      <c r="FD27">
        <v>70</v>
      </c>
      <c r="FE27">
        <v>775</v>
      </c>
      <c r="FF27">
        <f>FE27*Conversions!$B$12</f>
        <v>612.25</v>
      </c>
      <c r="FG27">
        <v>2936</v>
      </c>
      <c r="FH27">
        <f>Conversions!$B$16*FG27</f>
        <v>4477400</v>
      </c>
      <c r="FI27">
        <v>1835</v>
      </c>
      <c r="FJ27">
        <f>Conversions!$C$21*Conversions!$C$23*FI27</f>
        <v>1688.2</v>
      </c>
      <c r="FK27">
        <v>3670</v>
      </c>
    </row>
    <row r="28" spans="1:170" x14ac:dyDescent="0.2">
      <c r="H28">
        <f>'[1]Septic Tank Design'!C5</f>
        <v>10</v>
      </c>
      <c r="I28">
        <f>'[1]Septic Tank Design'!F5</f>
        <v>3</v>
      </c>
      <c r="K28">
        <f t="shared" ref="K28:K41" si="0">I28*0.33</f>
        <v>0.99</v>
      </c>
      <c r="L28">
        <f t="shared" ref="L28:L41" si="1">K28*1000</f>
        <v>990</v>
      </c>
      <c r="N28">
        <v>1</v>
      </c>
      <c r="O28" t="s">
        <v>169</v>
      </c>
      <c r="W28">
        <v>70</v>
      </c>
      <c r="BH28">
        <v>70</v>
      </c>
      <c r="FD28">
        <v>80</v>
      </c>
      <c r="FE28">
        <v>800</v>
      </c>
      <c r="FF28">
        <f>FE28*Conversions!$B$12</f>
        <v>632</v>
      </c>
      <c r="FG28">
        <v>3344</v>
      </c>
      <c r="FH28">
        <f>Conversions!$B$16*FG28</f>
        <v>5099600</v>
      </c>
      <c r="FI28">
        <v>2090</v>
      </c>
      <c r="FJ28">
        <f>Conversions!$C$21*Conversions!$C$23*FI28</f>
        <v>1922.8000000000002</v>
      </c>
      <c r="FK28">
        <v>4180</v>
      </c>
    </row>
    <row r="29" spans="1:170" x14ac:dyDescent="0.2">
      <c r="H29">
        <f>'[1]Septic Tank Design'!C6</f>
        <v>20</v>
      </c>
      <c r="I29">
        <f>'[1]Septic Tank Design'!F6</f>
        <v>6</v>
      </c>
      <c r="K29">
        <f t="shared" si="0"/>
        <v>1.98</v>
      </c>
      <c r="L29">
        <f t="shared" si="1"/>
        <v>1980</v>
      </c>
      <c r="N29">
        <v>1</v>
      </c>
      <c r="O29" t="s">
        <v>169</v>
      </c>
      <c r="W29">
        <v>80</v>
      </c>
      <c r="BH29">
        <v>80</v>
      </c>
      <c r="FD29">
        <v>90</v>
      </c>
      <c r="FE29">
        <v>825</v>
      </c>
      <c r="FF29">
        <f>FE29*Conversions!$B$12</f>
        <v>651.75</v>
      </c>
      <c r="FG29">
        <v>3752</v>
      </c>
      <c r="FH29">
        <f>Conversions!$B$16*FG29</f>
        <v>5721800</v>
      </c>
      <c r="FI29">
        <v>2345</v>
      </c>
      <c r="FJ29">
        <f>Conversions!$C$21*Conversions!$C$23*FI29</f>
        <v>2157.4</v>
      </c>
      <c r="FK29">
        <v>4690</v>
      </c>
    </row>
    <row r="30" spans="1:170" x14ac:dyDescent="0.2">
      <c r="H30">
        <f>'[1]Septic Tank Design'!C7</f>
        <v>30</v>
      </c>
      <c r="I30">
        <f>'[1]Septic Tank Design'!F7</f>
        <v>9</v>
      </c>
      <c r="K30">
        <f t="shared" si="0"/>
        <v>2.97</v>
      </c>
      <c r="L30">
        <f t="shared" si="1"/>
        <v>2970</v>
      </c>
      <c r="N30">
        <v>1</v>
      </c>
      <c r="O30" t="s">
        <v>170</v>
      </c>
      <c r="W30">
        <v>90</v>
      </c>
      <c r="BH30">
        <v>90</v>
      </c>
      <c r="FD30">
        <v>100</v>
      </c>
      <c r="FE30">
        <v>850</v>
      </c>
      <c r="FF30">
        <f>FE30*Conversions!$B$12</f>
        <v>671.5</v>
      </c>
      <c r="FG30">
        <v>4160</v>
      </c>
      <c r="FH30">
        <f>Conversions!$B$16*FG30</f>
        <v>6344000</v>
      </c>
      <c r="FI30">
        <v>2600</v>
      </c>
      <c r="FJ30">
        <f>Conversions!$C$21*Conversions!$C$23*FI30</f>
        <v>2392</v>
      </c>
      <c r="FK30">
        <v>5200</v>
      </c>
    </row>
    <row r="31" spans="1:170" x14ac:dyDescent="0.2">
      <c r="H31">
        <f>'[1]Septic Tank Design'!C8</f>
        <v>50</v>
      </c>
      <c r="I31">
        <f>'[1]Septic Tank Design'!F8</f>
        <v>15</v>
      </c>
      <c r="K31">
        <f t="shared" si="0"/>
        <v>4.95</v>
      </c>
      <c r="L31">
        <f t="shared" si="1"/>
        <v>4950</v>
      </c>
      <c r="N31">
        <v>1</v>
      </c>
      <c r="O31" t="s">
        <v>170</v>
      </c>
      <c r="W31">
        <v>100</v>
      </c>
      <c r="X31">
        <v>1047</v>
      </c>
      <c r="Y31">
        <v>3899</v>
      </c>
      <c r="BH31">
        <v>100</v>
      </c>
      <c r="BI31">
        <f>4.4*10^4</f>
        <v>44000</v>
      </c>
    </row>
    <row r="32" spans="1:170" x14ac:dyDescent="0.2">
      <c r="H32">
        <f>'[1]Septic Tank Design'!C9</f>
        <v>75</v>
      </c>
      <c r="I32">
        <f>'[1]Septic Tank Design'!F9</f>
        <v>22.5</v>
      </c>
      <c r="K32">
        <f t="shared" si="0"/>
        <v>7.4250000000000007</v>
      </c>
      <c r="L32">
        <f t="shared" si="1"/>
        <v>7425.0000000000009</v>
      </c>
      <c r="N32">
        <v>1</v>
      </c>
      <c r="O32" t="s">
        <v>170</v>
      </c>
      <c r="FD32" t="s">
        <v>761</v>
      </c>
    </row>
    <row r="33" spans="8:161" x14ac:dyDescent="0.2">
      <c r="H33">
        <f>'[1]Septic Tank Design'!C10</f>
        <v>100</v>
      </c>
      <c r="I33">
        <f>'[1]Septic Tank Design'!F10</f>
        <v>30</v>
      </c>
      <c r="K33">
        <f t="shared" si="0"/>
        <v>9.9</v>
      </c>
      <c r="L33">
        <f t="shared" si="1"/>
        <v>9900</v>
      </c>
      <c r="N33">
        <v>1</v>
      </c>
      <c r="O33" t="s">
        <v>170</v>
      </c>
    </row>
    <row r="34" spans="8:161" x14ac:dyDescent="0.2">
      <c r="H34">
        <f>'[1]Septic Tank Design'!C11</f>
        <v>150</v>
      </c>
      <c r="I34">
        <f>'[1]Septic Tank Design'!F11</f>
        <v>45</v>
      </c>
      <c r="K34">
        <f t="shared" si="0"/>
        <v>14.850000000000001</v>
      </c>
      <c r="L34">
        <f t="shared" si="1"/>
        <v>14850.000000000002</v>
      </c>
      <c r="N34">
        <f t="shared" ref="N34:N41" si="2">ROUNDUP(J51,0)</f>
        <v>1</v>
      </c>
      <c r="O34" t="str">
        <f>'Septic Tank - British '!$AJ$106</f>
        <v>16-32</v>
      </c>
    </row>
    <row r="35" spans="8:161" x14ac:dyDescent="0.2">
      <c r="H35">
        <f>'[1]Septic Tank Design'!C12</f>
        <v>200</v>
      </c>
      <c r="I35">
        <f>'[1]Septic Tank Design'!F12</f>
        <v>60</v>
      </c>
      <c r="K35">
        <f t="shared" si="0"/>
        <v>19.8</v>
      </c>
      <c r="L35">
        <f t="shared" si="1"/>
        <v>19800</v>
      </c>
      <c r="N35">
        <f t="shared" si="2"/>
        <v>2</v>
      </c>
      <c r="O35" t="str">
        <f>'Septic Tank - British '!$AJ$106</f>
        <v>16-32</v>
      </c>
      <c r="FD35" t="s">
        <v>12</v>
      </c>
      <c r="FE35" t="s">
        <v>52</v>
      </c>
    </row>
    <row r="36" spans="8:161" x14ac:dyDescent="0.2">
      <c r="H36">
        <f>'[1]Septic Tank Design'!C13</f>
        <v>300</v>
      </c>
      <c r="I36">
        <f>'[1]Septic Tank Design'!F13</f>
        <v>90</v>
      </c>
      <c r="K36">
        <f t="shared" si="0"/>
        <v>29.700000000000003</v>
      </c>
      <c r="L36">
        <f t="shared" si="1"/>
        <v>29700.000000000004</v>
      </c>
      <c r="N36">
        <f t="shared" si="2"/>
        <v>2</v>
      </c>
      <c r="O36" t="str">
        <f>'Septic Tank - British '!$AJ$106</f>
        <v>16-32</v>
      </c>
      <c r="FD36">
        <v>15</v>
      </c>
      <c r="FE36">
        <f>2.9537*10^5</f>
        <v>295370</v>
      </c>
    </row>
    <row r="37" spans="8:161" x14ac:dyDescent="0.2">
      <c r="H37">
        <f>'[1]Septic Tank Design'!C14</f>
        <v>400</v>
      </c>
      <c r="I37">
        <f>'[1]Septic Tank Design'!F14</f>
        <v>120</v>
      </c>
      <c r="K37">
        <f t="shared" si="0"/>
        <v>39.6</v>
      </c>
      <c r="L37">
        <f t="shared" si="1"/>
        <v>39600</v>
      </c>
      <c r="N37">
        <f t="shared" si="2"/>
        <v>3</v>
      </c>
      <c r="O37" t="str">
        <f>'Septic Tank - British '!$AJ$106</f>
        <v>16-32</v>
      </c>
      <c r="FD37">
        <v>20</v>
      </c>
      <c r="FE37">
        <f>2.9861*10^5</f>
        <v>298610</v>
      </c>
    </row>
    <row r="38" spans="8:161" x14ac:dyDescent="0.2">
      <c r="H38">
        <f>'[1]Septic Tank Design'!C15</f>
        <v>500</v>
      </c>
      <c r="I38">
        <f>'[1]Septic Tank Design'!F15</f>
        <v>150</v>
      </c>
      <c r="K38">
        <f t="shared" si="0"/>
        <v>49.5</v>
      </c>
      <c r="L38">
        <f t="shared" si="1"/>
        <v>49500</v>
      </c>
      <c r="N38">
        <f t="shared" si="2"/>
        <v>3</v>
      </c>
      <c r="O38" t="str">
        <f>'Septic Tank - British '!$AJ$106</f>
        <v>16-32</v>
      </c>
      <c r="FD38">
        <v>30</v>
      </c>
      <c r="FE38">
        <f>3.05*10^5</f>
        <v>305000</v>
      </c>
    </row>
    <row r="39" spans="8:161" x14ac:dyDescent="0.2">
      <c r="H39">
        <f>'[1]Septic Tank Design'!C16</f>
        <v>600</v>
      </c>
      <c r="I39">
        <f>'[1]Septic Tank Design'!F16</f>
        <v>180</v>
      </c>
      <c r="K39">
        <f t="shared" si="0"/>
        <v>59.400000000000006</v>
      </c>
      <c r="L39">
        <f t="shared" si="1"/>
        <v>59400.000000000007</v>
      </c>
      <c r="N39">
        <f t="shared" si="2"/>
        <v>4</v>
      </c>
      <c r="O39" t="str">
        <f>'Septic Tank - British '!$AJ$106</f>
        <v>16-32</v>
      </c>
      <c r="FD39">
        <v>40</v>
      </c>
      <c r="FE39">
        <f>3.12*10^5</f>
        <v>312000</v>
      </c>
    </row>
    <row r="40" spans="8:161" x14ac:dyDescent="0.2">
      <c r="H40">
        <f>'[1]Septic Tank Design'!C17</f>
        <v>800</v>
      </c>
      <c r="I40">
        <f>'[1]Septic Tank Design'!F17</f>
        <v>240</v>
      </c>
      <c r="K40">
        <f t="shared" si="0"/>
        <v>79.2</v>
      </c>
      <c r="L40">
        <f t="shared" si="1"/>
        <v>79200</v>
      </c>
      <c r="N40">
        <f t="shared" si="2"/>
        <v>5</v>
      </c>
      <c r="O40" t="str">
        <f>'Septic Tank - British '!$AJ$106</f>
        <v>16-32</v>
      </c>
      <c r="FD40">
        <v>50</v>
      </c>
      <c r="FE40">
        <f>3.18*10^5</f>
        <v>318000</v>
      </c>
    </row>
    <row r="41" spans="8:161" x14ac:dyDescent="0.2">
      <c r="H41">
        <f>'[1]Septic Tank Design'!C18</f>
        <v>1000</v>
      </c>
      <c r="I41">
        <f>'[1]Septic Tank Design'!F18</f>
        <v>300</v>
      </c>
      <c r="K41">
        <f t="shared" si="0"/>
        <v>99</v>
      </c>
      <c r="L41">
        <f t="shared" si="1"/>
        <v>99000</v>
      </c>
      <c r="M41">
        <f>K41/N41</f>
        <v>16.5</v>
      </c>
      <c r="N41">
        <f t="shared" si="2"/>
        <v>6</v>
      </c>
      <c r="O41" t="str">
        <f>'Septic Tank - British '!$AJ$106</f>
        <v>16-32</v>
      </c>
      <c r="FD41">
        <v>60</v>
      </c>
      <c r="FE41">
        <f>3.25*10^5</f>
        <v>325000</v>
      </c>
    </row>
    <row r="42" spans="8:161" x14ac:dyDescent="0.2">
      <c r="FD42">
        <v>70</v>
      </c>
      <c r="FE42">
        <f>3.31*10^5</f>
        <v>331000</v>
      </c>
    </row>
    <row r="43" spans="8:161" x14ac:dyDescent="0.2">
      <c r="L43" t="s">
        <v>89</v>
      </c>
      <c r="M43" t="s">
        <v>762</v>
      </c>
      <c r="O43" t="s">
        <v>89</v>
      </c>
      <c r="P43" t="s">
        <v>599</v>
      </c>
      <c r="Q43" t="s">
        <v>600</v>
      </c>
      <c r="R43" t="s">
        <v>598</v>
      </c>
      <c r="FD43">
        <v>80</v>
      </c>
      <c r="FE43">
        <f>3.37*10^5</f>
        <v>337000</v>
      </c>
    </row>
    <row r="44" spans="8:161" x14ac:dyDescent="0.2">
      <c r="H44">
        <f t="shared" ref="H44:H58" si="3">L27/$O$21</f>
        <v>0.2475</v>
      </c>
      <c r="I44" s="11">
        <f t="shared" ref="I44:I58" si="4">L27/$O$22</f>
        <v>4.7142857142857146E-2</v>
      </c>
      <c r="J44" s="11">
        <f t="shared" ref="J44:J58" si="5">L27/$O$23</f>
        <v>2.6052631578947369E-2</v>
      </c>
      <c r="L44">
        <v>5</v>
      </c>
      <c r="M44">
        <f>H44*N27</f>
        <v>0.2475</v>
      </c>
      <c r="O44">
        <v>5</v>
      </c>
      <c r="P44">
        <v>96.791250000000005</v>
      </c>
      <c r="Q44">
        <v>547.14449999999999</v>
      </c>
      <c r="R44">
        <v>643.93574999999998</v>
      </c>
      <c r="T44">
        <f>Q44/R44</f>
        <v>0.84968803176403862</v>
      </c>
      <c r="FD44">
        <v>90</v>
      </c>
      <c r="FE44">
        <f>3.44*10^5</f>
        <v>344000</v>
      </c>
    </row>
    <row r="45" spans="8:161" x14ac:dyDescent="0.2">
      <c r="H45">
        <f t="shared" si="3"/>
        <v>0.495</v>
      </c>
      <c r="I45" s="11">
        <f t="shared" si="4"/>
        <v>9.4285714285714292E-2</v>
      </c>
      <c r="J45" s="11">
        <f t="shared" si="5"/>
        <v>5.2105263157894738E-2</v>
      </c>
      <c r="L45">
        <v>10</v>
      </c>
      <c r="M45">
        <f>H45*N28</f>
        <v>0.495</v>
      </c>
      <c r="O45">
        <v>10</v>
      </c>
      <c r="P45">
        <v>193.58250000000001</v>
      </c>
      <c r="Q45">
        <v>1094.289</v>
      </c>
      <c r="R45">
        <v>1287.8715</v>
      </c>
      <c r="T45">
        <f t="shared" ref="T45:T56" si="6">Q45/R45</f>
        <v>0.84968803176403862</v>
      </c>
      <c r="FD45">
        <v>100</v>
      </c>
      <c r="FE45">
        <f>3.5*10^5</f>
        <v>350000</v>
      </c>
    </row>
    <row r="46" spans="8:161" x14ac:dyDescent="0.2">
      <c r="H46">
        <f t="shared" si="3"/>
        <v>0.99</v>
      </c>
      <c r="I46" s="11">
        <f t="shared" si="4"/>
        <v>0.18857142857142858</v>
      </c>
      <c r="J46" s="11">
        <f t="shared" si="5"/>
        <v>0.10421052631578948</v>
      </c>
      <c r="L46">
        <v>20</v>
      </c>
      <c r="M46">
        <f>H46*N29</f>
        <v>0.99</v>
      </c>
      <c r="O46">
        <v>20</v>
      </c>
      <c r="P46">
        <v>387.16500000000002</v>
      </c>
      <c r="Q46">
        <v>2188.578</v>
      </c>
      <c r="R46">
        <v>2575.7429999999999</v>
      </c>
      <c r="T46">
        <f t="shared" si="6"/>
        <v>0.84968803176403862</v>
      </c>
    </row>
    <row r="47" spans="8:161" x14ac:dyDescent="0.2">
      <c r="H47" s="11">
        <f t="shared" si="3"/>
        <v>1.4850000000000001</v>
      </c>
      <c r="I47">
        <f t="shared" si="4"/>
        <v>0.28285714285714286</v>
      </c>
      <c r="J47" s="11">
        <f t="shared" si="5"/>
        <v>0.15631578947368421</v>
      </c>
      <c r="L47">
        <v>30</v>
      </c>
      <c r="M47">
        <f>I47*N30</f>
        <v>0.28285714285714286</v>
      </c>
      <c r="O47">
        <v>30</v>
      </c>
      <c r="P47">
        <v>580.74749999999995</v>
      </c>
      <c r="Q47">
        <v>3282.8670000000002</v>
      </c>
      <c r="R47">
        <v>3863.6145000000001</v>
      </c>
      <c r="T47">
        <f t="shared" si="6"/>
        <v>0.84968803176403862</v>
      </c>
    </row>
    <row r="48" spans="8:161" x14ac:dyDescent="0.2">
      <c r="H48" s="11">
        <f t="shared" si="3"/>
        <v>2.4750000000000001</v>
      </c>
      <c r="I48">
        <f t="shared" si="4"/>
        <v>0.47142857142857142</v>
      </c>
      <c r="J48" s="11">
        <f t="shared" si="5"/>
        <v>0.26052631578947366</v>
      </c>
      <c r="L48">
        <v>50</v>
      </c>
      <c r="M48">
        <f>I48*N31</f>
        <v>0.47142857142857142</v>
      </c>
      <c r="O48">
        <v>50</v>
      </c>
      <c r="P48">
        <v>967.91249999999991</v>
      </c>
      <c r="Q48">
        <v>5471.4449999999997</v>
      </c>
      <c r="R48">
        <v>6439.3575000000001</v>
      </c>
      <c r="T48">
        <f t="shared" si="6"/>
        <v>0.84968803176403851</v>
      </c>
    </row>
    <row r="49" spans="8:20" x14ac:dyDescent="0.2">
      <c r="H49" s="11">
        <f t="shared" si="3"/>
        <v>3.7125000000000004</v>
      </c>
      <c r="I49">
        <f t="shared" si="4"/>
        <v>0.70714285714285718</v>
      </c>
      <c r="J49" s="11">
        <f t="shared" si="5"/>
        <v>0.39078947368421058</v>
      </c>
      <c r="L49">
        <v>75</v>
      </c>
      <c r="M49">
        <f>I49*N32</f>
        <v>0.70714285714285718</v>
      </c>
      <c r="O49">
        <v>75</v>
      </c>
      <c r="P49">
        <v>1451.8687499999999</v>
      </c>
      <c r="Q49">
        <v>8207.1675000000014</v>
      </c>
      <c r="R49">
        <v>9659.036250000001</v>
      </c>
      <c r="T49">
        <f t="shared" si="6"/>
        <v>0.84968803176403862</v>
      </c>
    </row>
    <row r="50" spans="8:20" x14ac:dyDescent="0.2">
      <c r="H50" s="11">
        <f t="shared" si="3"/>
        <v>4.95</v>
      </c>
      <c r="I50">
        <f t="shared" si="4"/>
        <v>0.94285714285714284</v>
      </c>
      <c r="J50" s="11">
        <f t="shared" si="5"/>
        <v>0.52105263157894732</v>
      </c>
      <c r="L50">
        <v>100</v>
      </c>
      <c r="M50">
        <f>I50*N33</f>
        <v>0.94285714285714284</v>
      </c>
      <c r="O50">
        <v>100</v>
      </c>
      <c r="P50">
        <v>1935.8249999999998</v>
      </c>
      <c r="Q50">
        <v>10942.89</v>
      </c>
      <c r="R50">
        <v>12878.715</v>
      </c>
      <c r="T50">
        <f t="shared" si="6"/>
        <v>0.84968803176403851</v>
      </c>
    </row>
    <row r="51" spans="8:20" x14ac:dyDescent="0.2">
      <c r="H51" s="11">
        <f t="shared" si="3"/>
        <v>7.4250000000000007</v>
      </c>
      <c r="I51" s="11">
        <f t="shared" si="4"/>
        <v>1.4142857142857144</v>
      </c>
      <c r="J51">
        <f t="shared" si="5"/>
        <v>0.78157894736842115</v>
      </c>
      <c r="L51">
        <v>200</v>
      </c>
      <c r="M51">
        <f t="shared" ref="M51:M57" si="7">J52*N35</f>
        <v>2.0842105263157893</v>
      </c>
      <c r="O51">
        <v>200</v>
      </c>
      <c r="P51">
        <v>3871.6499999999996</v>
      </c>
      <c r="Q51">
        <v>21885.78</v>
      </c>
      <c r="R51">
        <v>25757.43</v>
      </c>
      <c r="T51">
        <f t="shared" si="6"/>
        <v>0.84968803176403851</v>
      </c>
    </row>
    <row r="52" spans="8:20" x14ac:dyDescent="0.2">
      <c r="H52" s="11">
        <f t="shared" si="3"/>
        <v>9.9</v>
      </c>
      <c r="I52" s="11">
        <f t="shared" si="4"/>
        <v>1.8857142857142857</v>
      </c>
      <c r="J52">
        <f t="shared" si="5"/>
        <v>1.0421052631578946</v>
      </c>
      <c r="L52">
        <v>300</v>
      </c>
      <c r="M52">
        <f t="shared" si="7"/>
        <v>3.1263157894736846</v>
      </c>
      <c r="O52">
        <v>300</v>
      </c>
      <c r="P52">
        <v>5807.4749999999995</v>
      </c>
      <c r="Q52">
        <v>32828.670000000006</v>
      </c>
      <c r="R52">
        <v>38636.145000000004</v>
      </c>
      <c r="T52">
        <f t="shared" si="6"/>
        <v>0.84968803176403862</v>
      </c>
    </row>
    <row r="53" spans="8:20" x14ac:dyDescent="0.2">
      <c r="H53" s="11">
        <f t="shared" si="3"/>
        <v>14.850000000000001</v>
      </c>
      <c r="I53" s="11">
        <f t="shared" si="4"/>
        <v>2.8285714285714287</v>
      </c>
      <c r="J53">
        <f t="shared" si="5"/>
        <v>1.5631578947368423</v>
      </c>
      <c r="L53">
        <v>400</v>
      </c>
      <c r="M53">
        <f t="shared" si="7"/>
        <v>6.2526315789473674</v>
      </c>
      <c r="O53">
        <v>400</v>
      </c>
      <c r="P53">
        <v>7743.2999999999993</v>
      </c>
      <c r="Q53">
        <v>43771.56</v>
      </c>
      <c r="R53">
        <v>51514.86</v>
      </c>
      <c r="T53">
        <f t="shared" si="6"/>
        <v>0.84968803176403851</v>
      </c>
    </row>
    <row r="54" spans="8:20" x14ac:dyDescent="0.2">
      <c r="H54" s="11">
        <f t="shared" si="3"/>
        <v>19.8</v>
      </c>
      <c r="I54" s="11">
        <f t="shared" si="4"/>
        <v>3.7714285714285714</v>
      </c>
      <c r="J54">
        <f t="shared" si="5"/>
        <v>2.0842105263157893</v>
      </c>
      <c r="L54">
        <v>500</v>
      </c>
      <c r="M54">
        <f t="shared" si="7"/>
        <v>7.8157894736842106</v>
      </c>
      <c r="O54">
        <v>500</v>
      </c>
      <c r="P54">
        <v>9679.125</v>
      </c>
      <c r="Q54">
        <v>54714.450000000004</v>
      </c>
      <c r="R54">
        <v>64393.575000000004</v>
      </c>
      <c r="T54">
        <f t="shared" si="6"/>
        <v>0.84968803176403862</v>
      </c>
    </row>
    <row r="55" spans="8:20" x14ac:dyDescent="0.2">
      <c r="H55" s="11">
        <f t="shared" si="3"/>
        <v>24.75</v>
      </c>
      <c r="I55" s="11">
        <f t="shared" si="4"/>
        <v>4.7142857142857144</v>
      </c>
      <c r="J55">
        <f t="shared" si="5"/>
        <v>2.6052631578947367</v>
      </c>
      <c r="L55">
        <v>600</v>
      </c>
      <c r="M55">
        <f t="shared" si="7"/>
        <v>12.505263157894738</v>
      </c>
      <c r="O55">
        <v>600</v>
      </c>
      <c r="P55">
        <v>11614.949999999999</v>
      </c>
      <c r="Q55">
        <v>65657.340000000011</v>
      </c>
      <c r="R55">
        <v>77272.290000000008</v>
      </c>
      <c r="T55">
        <f t="shared" si="6"/>
        <v>0.84968803176403862</v>
      </c>
    </row>
    <row r="56" spans="8:20" x14ac:dyDescent="0.2">
      <c r="H56" s="11">
        <f t="shared" si="3"/>
        <v>29.700000000000003</v>
      </c>
      <c r="I56" s="11">
        <f t="shared" si="4"/>
        <v>5.6571428571428575</v>
      </c>
      <c r="J56">
        <f t="shared" si="5"/>
        <v>3.1263157894736846</v>
      </c>
      <c r="L56">
        <v>800</v>
      </c>
      <c r="M56">
        <f t="shared" si="7"/>
        <v>20.842105263157894</v>
      </c>
      <c r="O56">
        <v>800</v>
      </c>
      <c r="P56">
        <v>15486.599999999999</v>
      </c>
      <c r="Q56">
        <v>87543.12</v>
      </c>
      <c r="R56">
        <v>103029.72</v>
      </c>
      <c r="T56">
        <f t="shared" si="6"/>
        <v>0.84968803176403851</v>
      </c>
    </row>
    <row r="57" spans="8:20" x14ac:dyDescent="0.2">
      <c r="H57" s="11">
        <f t="shared" si="3"/>
        <v>39.6</v>
      </c>
      <c r="I57" s="11">
        <f t="shared" si="4"/>
        <v>7.5428571428571427</v>
      </c>
      <c r="J57">
        <f t="shared" si="5"/>
        <v>4.1684210526315786</v>
      </c>
      <c r="L57">
        <v>1000</v>
      </c>
      <c r="M57">
        <f t="shared" si="7"/>
        <v>31.263157894736842</v>
      </c>
      <c r="O57">
        <v>1000</v>
      </c>
      <c r="P57">
        <v>19358.25</v>
      </c>
      <c r="Q57">
        <v>109428.90000000001</v>
      </c>
      <c r="R57">
        <v>128787.15000000001</v>
      </c>
    </row>
    <row r="58" spans="8:20" x14ac:dyDescent="0.2">
      <c r="H58" s="11">
        <f t="shared" si="3"/>
        <v>49.5</v>
      </c>
      <c r="I58" s="11">
        <f t="shared" si="4"/>
        <v>9.4285714285714288</v>
      </c>
      <c r="J58">
        <f t="shared" si="5"/>
        <v>5.2105263157894735</v>
      </c>
    </row>
  </sheetData>
  <mergeCells count="18">
    <mergeCell ref="FE19:FF19"/>
    <mergeCell ref="FG19:FH19"/>
    <mergeCell ref="FI19:FJ19"/>
    <mergeCell ref="EA1:EN1"/>
    <mergeCell ref="EO1:FB1"/>
    <mergeCell ref="FC1:FP1"/>
    <mergeCell ref="DM1:DZ1"/>
    <mergeCell ref="AZ1:BF1"/>
    <mergeCell ref="G1:U1"/>
    <mergeCell ref="V1:AC1"/>
    <mergeCell ref="AD1:AJ1"/>
    <mergeCell ref="AK1:AQ1"/>
    <mergeCell ref="AR1:AY1"/>
    <mergeCell ref="BG1:BN1"/>
    <mergeCell ref="BO1:BV1"/>
    <mergeCell ref="BW1:CJ1"/>
    <mergeCell ref="CK1:CX1"/>
    <mergeCell ref="CY1:DL1"/>
  </mergeCells>
  <phoneticPr fontId="18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E1053-3AE4-48E7-BA73-42B118910215}">
  <sheetPr>
    <tabColor theme="7"/>
  </sheetPr>
  <dimension ref="A1:DP338"/>
  <sheetViews>
    <sheetView topLeftCell="A125" zoomScale="70" zoomScaleNormal="70" workbookViewId="0">
      <selection activeCell="T165" sqref="T165"/>
    </sheetView>
  </sheetViews>
  <sheetFormatPr defaultRowHeight="14.25" x14ac:dyDescent="0.2"/>
  <cols>
    <col min="7" max="7" width="14.625" bestFit="1" customWidth="1"/>
    <col min="12" max="12" width="9" style="10"/>
    <col min="19" max="19" width="9" style="10"/>
    <col min="26" max="26" width="9" style="10"/>
    <col min="33" max="33" width="9" style="10"/>
    <col min="40" max="40" width="9" style="10"/>
    <col min="47" max="47" width="9" style="10"/>
    <col min="53" max="53" width="9" style="10"/>
    <col min="59" max="59" width="9" style="10"/>
    <col min="65" max="65" width="9" style="10"/>
    <col min="71" max="71" width="9" style="10"/>
    <col min="77" max="77" width="9" style="10"/>
    <col min="83" max="83" width="9" style="10"/>
    <col min="89" max="89" width="9" style="10"/>
    <col min="95" max="95" width="9" style="10"/>
    <col min="101" max="101" width="9" style="10"/>
    <col min="102" max="102" width="14.375" customWidth="1"/>
    <col min="107" max="107" width="9" style="10"/>
  </cols>
  <sheetData>
    <row r="1" spans="1:120" s="34" customFormat="1" ht="21" thickBot="1" x14ac:dyDescent="0.3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99" t="s">
        <v>1</v>
      </c>
      <c r="N1" s="100"/>
      <c r="O1" s="100"/>
      <c r="P1" s="100"/>
      <c r="Q1" s="100"/>
      <c r="R1" s="100"/>
      <c r="S1" s="101"/>
      <c r="T1" s="99" t="s">
        <v>36</v>
      </c>
      <c r="U1" s="100"/>
      <c r="V1" s="100"/>
      <c r="W1" s="100"/>
      <c r="X1" s="100"/>
      <c r="Y1" s="100"/>
      <c r="Z1" s="101"/>
      <c r="AA1" s="54" t="s">
        <v>37</v>
      </c>
      <c r="AB1" s="54"/>
      <c r="AC1" s="54"/>
      <c r="AD1" s="54"/>
      <c r="AE1" s="54"/>
      <c r="AF1" s="54"/>
      <c r="AG1" s="55"/>
      <c r="AH1" s="54" t="s">
        <v>43</v>
      </c>
      <c r="AI1" s="54"/>
      <c r="AJ1" s="54"/>
      <c r="AK1" s="54"/>
      <c r="AL1" s="54"/>
      <c r="AM1" s="54"/>
      <c r="AN1" s="55"/>
      <c r="AO1" s="54" t="s">
        <v>44</v>
      </c>
      <c r="AP1" s="54"/>
      <c r="AQ1" s="54"/>
      <c r="AR1" s="54"/>
      <c r="AS1" s="54"/>
      <c r="AT1" s="54"/>
      <c r="AU1" s="55"/>
      <c r="AV1" s="54" t="s">
        <v>45</v>
      </c>
      <c r="AW1" s="54"/>
      <c r="AX1" s="54"/>
      <c r="AY1" s="54"/>
      <c r="AZ1" s="54"/>
      <c r="BA1" s="55"/>
      <c r="BB1" s="99" t="s">
        <v>46</v>
      </c>
      <c r="BC1" s="100"/>
      <c r="BD1" s="100"/>
      <c r="BE1" s="100"/>
      <c r="BF1" s="100"/>
      <c r="BG1" s="101"/>
      <c r="BH1" s="99" t="s">
        <v>676</v>
      </c>
      <c r="BI1" s="100"/>
      <c r="BJ1" s="100"/>
      <c r="BK1" s="100"/>
      <c r="BL1" s="100"/>
      <c r="BM1" s="101"/>
      <c r="BN1" s="99" t="s">
        <v>677</v>
      </c>
      <c r="BO1" s="100"/>
      <c r="BP1" s="100"/>
      <c r="BQ1" s="100"/>
      <c r="BR1" s="100"/>
      <c r="BS1" s="101"/>
      <c r="BT1" s="99" t="s">
        <v>678</v>
      </c>
      <c r="BU1" s="100"/>
      <c r="BV1" s="100"/>
      <c r="BW1" s="100"/>
      <c r="BX1" s="100"/>
      <c r="BY1" s="101"/>
      <c r="BZ1" s="99" t="s">
        <v>679</v>
      </c>
      <c r="CA1" s="100"/>
      <c r="CB1" s="100"/>
      <c r="CC1" s="100"/>
      <c r="CD1" s="100"/>
      <c r="CE1" s="101"/>
      <c r="CF1" s="99" t="s">
        <v>680</v>
      </c>
      <c r="CG1" s="100"/>
      <c r="CH1" s="100"/>
      <c r="CI1" s="100"/>
      <c r="CJ1" s="100"/>
      <c r="CK1" s="101"/>
      <c r="CL1" s="99" t="s">
        <v>681</v>
      </c>
      <c r="CM1" s="100"/>
      <c r="CN1" s="100"/>
      <c r="CO1" s="100"/>
      <c r="CP1" s="100"/>
      <c r="CQ1" s="101"/>
      <c r="CR1" s="99" t="s">
        <v>682</v>
      </c>
      <c r="CS1" s="100"/>
      <c r="CT1" s="100"/>
      <c r="CU1" s="100"/>
      <c r="CV1" s="100"/>
      <c r="CW1" s="101"/>
      <c r="CX1" s="99" t="s">
        <v>683</v>
      </c>
      <c r="CY1" s="100"/>
      <c r="CZ1" s="100"/>
      <c r="DA1" s="100"/>
      <c r="DB1" s="100"/>
      <c r="DC1" s="101"/>
    </row>
    <row r="3" spans="1:120" x14ac:dyDescent="0.2">
      <c r="BH3" t="s">
        <v>224</v>
      </c>
      <c r="CX3" t="s">
        <v>748</v>
      </c>
      <c r="DK3" t="s">
        <v>737</v>
      </c>
      <c r="DM3" t="s">
        <v>738</v>
      </c>
    </row>
    <row r="4" spans="1:120" x14ac:dyDescent="0.2">
      <c r="D4" t="s">
        <v>71</v>
      </c>
      <c r="N4" t="s">
        <v>51</v>
      </c>
      <c r="U4" t="s">
        <v>51</v>
      </c>
      <c r="AB4" t="s">
        <v>51</v>
      </c>
      <c r="AI4" t="s">
        <v>52</v>
      </c>
      <c r="AP4" t="s">
        <v>52</v>
      </c>
      <c r="AW4" t="s">
        <v>52</v>
      </c>
      <c r="BC4" t="s">
        <v>52</v>
      </c>
      <c r="BI4" t="s">
        <v>10</v>
      </c>
      <c r="CX4" t="s">
        <v>6</v>
      </c>
      <c r="CY4" t="s">
        <v>41</v>
      </c>
      <c r="CZ4" t="s">
        <v>106</v>
      </c>
      <c r="DA4" t="s">
        <v>749</v>
      </c>
      <c r="DB4" t="s">
        <v>750</v>
      </c>
      <c r="DK4" t="str">
        <f>'[2]GRP Costing'!$E$237</f>
        <v>48.797x^0.9108</v>
      </c>
      <c r="DM4" t="s">
        <v>739</v>
      </c>
    </row>
    <row r="5" spans="1:120" ht="15" x14ac:dyDescent="0.25">
      <c r="B5" s="20" t="s">
        <v>72</v>
      </c>
      <c r="C5" t="s">
        <v>75</v>
      </c>
      <c r="D5" t="s">
        <v>82</v>
      </c>
      <c r="G5" t="s">
        <v>76</v>
      </c>
      <c r="BI5" t="s">
        <v>15</v>
      </c>
      <c r="CX5" t="s">
        <v>751</v>
      </c>
      <c r="CY5">
        <v>115.05200000000002</v>
      </c>
      <c r="DB5">
        <v>19160.812517103226</v>
      </c>
    </row>
    <row r="6" spans="1:120" x14ac:dyDescent="0.2">
      <c r="B6" s="21">
        <v>10</v>
      </c>
      <c r="C6">
        <v>370</v>
      </c>
      <c r="D6">
        <v>86</v>
      </c>
      <c r="G6" t="s">
        <v>10</v>
      </c>
      <c r="H6" t="s">
        <v>77</v>
      </c>
      <c r="N6" t="s">
        <v>6</v>
      </c>
      <c r="U6" t="s">
        <v>6</v>
      </c>
      <c r="AB6" t="s">
        <v>6</v>
      </c>
      <c r="AI6" t="s">
        <v>6</v>
      </c>
      <c r="AP6" t="s">
        <v>6</v>
      </c>
      <c r="AW6" t="s">
        <v>6</v>
      </c>
      <c r="BC6" t="s">
        <v>6</v>
      </c>
      <c r="BI6" t="s">
        <v>724</v>
      </c>
      <c r="CX6" t="s">
        <v>752</v>
      </c>
      <c r="CY6">
        <v>24.235200000000003</v>
      </c>
      <c r="CZ6">
        <v>99.508928571428555</v>
      </c>
      <c r="DA6">
        <v>99.508928571428555</v>
      </c>
      <c r="DB6">
        <v>2411.6187857142854</v>
      </c>
    </row>
    <row r="7" spans="1:120" ht="15" x14ac:dyDescent="0.25">
      <c r="B7" s="21">
        <v>24</v>
      </c>
      <c r="C7">
        <v>600</v>
      </c>
      <c r="D7">
        <v>215</v>
      </c>
      <c r="G7" t="s">
        <v>78</v>
      </c>
      <c r="N7" s="20" t="s">
        <v>131</v>
      </c>
      <c r="P7" t="s">
        <v>41</v>
      </c>
      <c r="U7" s="20" t="s">
        <v>148</v>
      </c>
      <c r="W7" t="s">
        <v>41</v>
      </c>
      <c r="AB7" s="20" t="s">
        <v>134</v>
      </c>
      <c r="AD7" t="s">
        <v>41</v>
      </c>
      <c r="AI7" s="20" t="s">
        <v>135</v>
      </c>
      <c r="AP7" s="20" t="s">
        <v>138</v>
      </c>
      <c r="AW7" s="20" t="s">
        <v>139</v>
      </c>
      <c r="BC7" s="20" t="s">
        <v>140</v>
      </c>
      <c r="CX7" t="s">
        <v>753</v>
      </c>
      <c r="CY7">
        <v>2</v>
      </c>
      <c r="DA7">
        <v>900</v>
      </c>
      <c r="DB7">
        <v>1800</v>
      </c>
      <c r="DK7" t="s">
        <v>10</v>
      </c>
      <c r="DL7">
        <f>(48.8*CY5^0.91)*1.3+280</f>
        <v>5041.8627247064105</v>
      </c>
      <c r="DN7" t="s">
        <v>759</v>
      </c>
    </row>
    <row r="8" spans="1:120" x14ac:dyDescent="0.2">
      <c r="B8" s="21" t="s">
        <v>73</v>
      </c>
      <c r="C8">
        <v>400</v>
      </c>
      <c r="D8" t="s">
        <v>83</v>
      </c>
      <c r="G8" t="s">
        <v>79</v>
      </c>
      <c r="O8" t="s">
        <v>80</v>
      </c>
      <c r="P8">
        <v>6.5</v>
      </c>
      <c r="Q8">
        <f>P8/$F$24</f>
        <v>4.642857142857143E-2</v>
      </c>
      <c r="V8" t="s">
        <v>80</v>
      </c>
      <c r="W8">
        <v>18</v>
      </c>
      <c r="X8">
        <f>W8/$F$24</f>
        <v>0.12857142857142856</v>
      </c>
      <c r="AC8" t="s">
        <v>80</v>
      </c>
      <c r="AD8">
        <f>18.5*2</f>
        <v>37</v>
      </c>
      <c r="AE8">
        <f>AD8/$F$24</f>
        <v>0.26428571428571429</v>
      </c>
      <c r="AJ8" t="s">
        <v>80</v>
      </c>
      <c r="AK8">
        <v>22.7013</v>
      </c>
      <c r="AL8">
        <f>AK8/$F$24</f>
        <v>0.16215214285714286</v>
      </c>
      <c r="AQ8" t="s">
        <v>80</v>
      </c>
      <c r="AR8">
        <v>27.0929</v>
      </c>
      <c r="AS8">
        <f>AR8/$F$24</f>
        <v>0.1935207142857143</v>
      </c>
      <c r="AX8" t="s">
        <v>80</v>
      </c>
      <c r="AY8">
        <v>37</v>
      </c>
      <c r="AZ8">
        <f>AY8/$F$24</f>
        <v>0.26428571428571429</v>
      </c>
      <c r="BD8" t="s">
        <v>80</v>
      </c>
      <c r="BE8">
        <v>49.5</v>
      </c>
      <c r="BF8">
        <f>BE8/$F$24</f>
        <v>0.35357142857142859</v>
      </c>
      <c r="CX8" t="s">
        <v>30</v>
      </c>
      <c r="CY8">
        <v>20.399999999999999</v>
      </c>
      <c r="CZ8">
        <v>11.9580460758</v>
      </c>
      <c r="DA8">
        <v>11.9580460758</v>
      </c>
      <c r="DB8">
        <v>243.94413994631998</v>
      </c>
      <c r="DK8" t="s">
        <v>752</v>
      </c>
      <c r="DL8">
        <f>CY6+CY9+CY13</f>
        <v>42.147199999999998</v>
      </c>
      <c r="DM8" t="s">
        <v>70</v>
      </c>
    </row>
    <row r="9" spans="1:120" x14ac:dyDescent="0.2">
      <c r="B9" s="21" t="s">
        <v>74</v>
      </c>
      <c r="C9">
        <v>600</v>
      </c>
      <c r="G9" t="s">
        <v>80</v>
      </c>
      <c r="I9" t="s">
        <v>87</v>
      </c>
      <c r="J9">
        <v>6.5</v>
      </c>
      <c r="K9" t="s">
        <v>20</v>
      </c>
      <c r="L9" s="10" t="s">
        <v>85</v>
      </c>
      <c r="M9" t="s">
        <v>86</v>
      </c>
      <c r="O9" t="s">
        <v>10</v>
      </c>
      <c r="P9">
        <v>365</v>
      </c>
      <c r="Q9">
        <f>P9</f>
        <v>365</v>
      </c>
      <c r="V9" t="s">
        <v>10</v>
      </c>
      <c r="W9">
        <v>580</v>
      </c>
      <c r="X9">
        <f>W9</f>
        <v>580</v>
      </c>
      <c r="AC9" t="s">
        <v>10</v>
      </c>
      <c r="AD9">
        <v>1000</v>
      </c>
      <c r="AE9">
        <f>AD9</f>
        <v>1000</v>
      </c>
      <c r="AJ9" t="s">
        <v>10</v>
      </c>
      <c r="AK9">
        <v>2600</v>
      </c>
      <c r="AL9">
        <f>AK9</f>
        <v>2600</v>
      </c>
      <c r="AQ9" t="s">
        <v>10</v>
      </c>
      <c r="AR9">
        <v>3300</v>
      </c>
      <c r="AS9">
        <f>AR9</f>
        <v>3300</v>
      </c>
      <c r="AX9" t="s">
        <v>10</v>
      </c>
      <c r="AY9">
        <v>3330</v>
      </c>
      <c r="AZ9">
        <f>AY9</f>
        <v>3330</v>
      </c>
      <c r="BD9" t="s">
        <v>10</v>
      </c>
      <c r="BE9">
        <v>3700</v>
      </c>
      <c r="BF9">
        <f>BE9</f>
        <v>3700</v>
      </c>
      <c r="CX9" t="s">
        <v>15</v>
      </c>
      <c r="CY9">
        <v>13.249999999999998</v>
      </c>
      <c r="CZ9">
        <v>99.508928571428555</v>
      </c>
      <c r="DA9">
        <v>99.508928571428555</v>
      </c>
      <c r="DB9">
        <v>1318.4933035714282</v>
      </c>
      <c r="DK9" t="s">
        <v>133</v>
      </c>
      <c r="DL9">
        <f>0.214285714285714*2</f>
        <v>0.42857142857142799</v>
      </c>
    </row>
    <row r="10" spans="1:120" x14ac:dyDescent="0.2">
      <c r="G10" t="s">
        <v>81</v>
      </c>
      <c r="H10" t="s">
        <v>84</v>
      </c>
      <c r="I10" t="s">
        <v>128</v>
      </c>
      <c r="J10">
        <v>18</v>
      </c>
      <c r="K10" t="s">
        <v>20</v>
      </c>
      <c r="L10" s="10" t="s">
        <v>88</v>
      </c>
      <c r="M10" t="s">
        <v>86</v>
      </c>
      <c r="AX10" t="s">
        <v>146</v>
      </c>
      <c r="AY10">
        <v>73</v>
      </c>
      <c r="AZ10">
        <f>AY10</f>
        <v>73</v>
      </c>
      <c r="BD10" t="s">
        <v>146</v>
      </c>
      <c r="BE10">
        <v>180.5</v>
      </c>
      <c r="BF10">
        <f>BE10</f>
        <v>180.5</v>
      </c>
      <c r="CX10" t="s">
        <v>754</v>
      </c>
      <c r="CY10">
        <v>1</v>
      </c>
      <c r="DA10">
        <v>2641.2000000000003</v>
      </c>
      <c r="DB10">
        <v>2641.2000000000003</v>
      </c>
      <c r="DK10" t="s">
        <v>30</v>
      </c>
      <c r="DL10">
        <f>CY8+CY13</f>
        <v>25.061999999999998</v>
      </c>
    </row>
    <row r="11" spans="1:120" x14ac:dyDescent="0.2">
      <c r="N11" t="s">
        <v>30</v>
      </c>
      <c r="P11">
        <v>16.640640000000001</v>
      </c>
      <c r="Q11">
        <f>P11</f>
        <v>16.640640000000001</v>
      </c>
      <c r="U11" t="s">
        <v>30</v>
      </c>
      <c r="W11">
        <v>28.196639999999999</v>
      </c>
      <c r="X11">
        <f>W11</f>
        <v>28.196639999999999</v>
      </c>
      <c r="AB11" t="s">
        <v>30</v>
      </c>
      <c r="AD11">
        <v>52.257039999999996</v>
      </c>
      <c r="AE11">
        <f>AD11</f>
        <v>52.257039999999996</v>
      </c>
      <c r="AI11" t="s">
        <v>30</v>
      </c>
      <c r="AK11">
        <v>38.986646399999998</v>
      </c>
      <c r="AL11">
        <f>AK11</f>
        <v>38.986646399999998</v>
      </c>
      <c r="AP11" t="s">
        <v>30</v>
      </c>
      <c r="AR11">
        <v>62.889350399999998</v>
      </c>
      <c r="AS11">
        <f>AR11</f>
        <v>62.889350399999998</v>
      </c>
      <c r="CX11" t="s">
        <v>756</v>
      </c>
      <c r="CY11">
        <v>31.080000000000002</v>
      </c>
      <c r="CZ11">
        <v>47.51</v>
      </c>
      <c r="DA11">
        <v>47.51</v>
      </c>
      <c r="DB11">
        <v>1476.6107999999999</v>
      </c>
      <c r="DK11" t="s">
        <v>760</v>
      </c>
      <c r="DL11">
        <f>CY11*11</f>
        <v>341.88</v>
      </c>
      <c r="DM11" t="s">
        <v>20</v>
      </c>
    </row>
    <row r="12" spans="1:120" x14ac:dyDescent="0.2">
      <c r="N12" t="s">
        <v>29</v>
      </c>
      <c r="P12">
        <v>10</v>
      </c>
      <c r="Q12">
        <f>P12*Conversions!$B$16</f>
        <v>15250</v>
      </c>
      <c r="U12" t="s">
        <v>29</v>
      </c>
      <c r="W12">
        <v>16.200000000000003</v>
      </c>
      <c r="X12">
        <f>W12*Conversions!$B$16</f>
        <v>24705.000000000004</v>
      </c>
      <c r="AB12" t="s">
        <v>29</v>
      </c>
      <c r="AD12">
        <v>38.700000000000003</v>
      </c>
      <c r="AE12">
        <f>AD12*Conversions!$B$16</f>
        <v>59017.500000000007</v>
      </c>
      <c r="AI12" t="s">
        <v>5</v>
      </c>
      <c r="AK12">
        <v>12.132223999999997</v>
      </c>
      <c r="AL12">
        <f>AK12*Conversions!$B$4</f>
        <v>30330.559999999994</v>
      </c>
      <c r="AP12" t="s">
        <v>5</v>
      </c>
      <c r="AR12">
        <v>17.121423999999998</v>
      </c>
      <c r="AS12">
        <f>AR12*Conversions!$B$4</f>
        <v>42803.55999999999</v>
      </c>
      <c r="AW12" t="s">
        <v>30</v>
      </c>
      <c r="AY12">
        <v>126.53673000000001</v>
      </c>
      <c r="AZ12">
        <f>AY12</f>
        <v>126.53673000000001</v>
      </c>
      <c r="BC12" t="s">
        <v>30</v>
      </c>
      <c r="BE12">
        <v>151.3544</v>
      </c>
      <c r="BF12">
        <f>BE12</f>
        <v>151.3544</v>
      </c>
      <c r="CX12" t="s">
        <v>30</v>
      </c>
      <c r="CY12">
        <v>18.648</v>
      </c>
      <c r="CZ12">
        <v>11.9580460758</v>
      </c>
      <c r="DA12">
        <v>11.9580460758</v>
      </c>
      <c r="DB12">
        <v>222.9936432215184</v>
      </c>
    </row>
    <row r="13" spans="1:120" x14ac:dyDescent="0.2">
      <c r="N13" t="s">
        <v>55</v>
      </c>
      <c r="P13">
        <v>7.7039999999999997</v>
      </c>
      <c r="Q13">
        <f>P13*Conversions!$C$21*Conversions!$C$23</f>
        <v>7.0876799999999998</v>
      </c>
      <c r="U13" t="s">
        <v>55</v>
      </c>
      <c r="W13">
        <v>13.053999999999998</v>
      </c>
      <c r="X13">
        <f>W13*Conversions!$C$21*Conversions!$C$23</f>
        <v>12.009679999999999</v>
      </c>
      <c r="AB13" t="s">
        <v>55</v>
      </c>
      <c r="AD13">
        <v>8.7739999999999991</v>
      </c>
      <c r="AE13">
        <f>AD13*Conversions!$C$21*Conversions!$C$23</f>
        <v>8.0720799999999997</v>
      </c>
      <c r="AW13" t="s">
        <v>5</v>
      </c>
      <c r="AY13">
        <v>73.669616126309279</v>
      </c>
      <c r="AZ13">
        <f>AY13*Conversions!$B$4</f>
        <v>184174.04031577319</v>
      </c>
      <c r="BC13" t="s">
        <v>5</v>
      </c>
      <c r="BE13">
        <v>87.540799223957322</v>
      </c>
      <c r="BF13">
        <f>BE13*Conversions!$B$4</f>
        <v>218851.99805989332</v>
      </c>
      <c r="CX13" t="s">
        <v>15</v>
      </c>
      <c r="CY13">
        <v>4.6619999999999999</v>
      </c>
      <c r="CZ13">
        <v>99.508928571428555</v>
      </c>
      <c r="DA13">
        <v>99.508928571428555</v>
      </c>
      <c r="DB13">
        <v>463.91062499999992</v>
      </c>
      <c r="DK13" t="s">
        <v>757</v>
      </c>
    </row>
    <row r="14" spans="1:120" x14ac:dyDescent="0.2">
      <c r="DK14" t="s">
        <v>51</v>
      </c>
      <c r="DO14" t="s">
        <v>39</v>
      </c>
    </row>
    <row r="15" spans="1:120" x14ac:dyDescent="0.2">
      <c r="D15" t="s">
        <v>104</v>
      </c>
      <c r="I15" t="s">
        <v>86</v>
      </c>
      <c r="DK15" t="s">
        <v>30</v>
      </c>
      <c r="DL15">
        <f>CY35</f>
        <v>311.76323280000003</v>
      </c>
      <c r="DO15" t="s">
        <v>30</v>
      </c>
      <c r="DP15">
        <v>311.76323280000003</v>
      </c>
    </row>
    <row r="16" spans="1:120" x14ac:dyDescent="0.2">
      <c r="D16" t="s">
        <v>105</v>
      </c>
      <c r="E16" t="s">
        <v>107</v>
      </c>
      <c r="G16" t="s">
        <v>106</v>
      </c>
      <c r="I16" t="s">
        <v>86</v>
      </c>
      <c r="N16" t="s">
        <v>39</v>
      </c>
      <c r="U16" t="s">
        <v>39</v>
      </c>
      <c r="AB16" t="s">
        <v>39</v>
      </c>
      <c r="DK16" t="s">
        <v>698</v>
      </c>
      <c r="DL16">
        <f>CY36</f>
        <v>193.76323280000003</v>
      </c>
      <c r="DO16" t="s">
        <v>15</v>
      </c>
      <c r="DP16">
        <f>DF36</f>
        <v>193.76323280000003</v>
      </c>
    </row>
    <row r="17" spans="3:120" x14ac:dyDescent="0.2">
      <c r="D17" t="s">
        <v>109</v>
      </c>
      <c r="E17" t="s">
        <v>108</v>
      </c>
      <c r="G17" t="s">
        <v>111</v>
      </c>
      <c r="H17" t="s">
        <v>110</v>
      </c>
      <c r="I17" t="s">
        <v>86</v>
      </c>
      <c r="DK17" t="s">
        <v>10</v>
      </c>
      <c r="DL17">
        <f>2317*2</f>
        <v>4634</v>
      </c>
      <c r="DO17" t="s">
        <v>10</v>
      </c>
      <c r="DP17">
        <f>2317*2</f>
        <v>4634</v>
      </c>
    </row>
    <row r="18" spans="3:120" x14ac:dyDescent="0.2">
      <c r="E18" t="s">
        <v>112</v>
      </c>
      <c r="G18" t="s">
        <v>114</v>
      </c>
      <c r="H18" t="s">
        <v>113</v>
      </c>
      <c r="I18" t="s">
        <v>86</v>
      </c>
      <c r="N18" t="s">
        <v>6</v>
      </c>
      <c r="U18" t="s">
        <v>6</v>
      </c>
      <c r="AB18" t="s">
        <v>6</v>
      </c>
    </row>
    <row r="19" spans="3:120" ht="15" x14ac:dyDescent="0.25">
      <c r="I19" t="s">
        <v>86</v>
      </c>
      <c r="N19" s="20" t="s">
        <v>131</v>
      </c>
      <c r="P19" t="s">
        <v>41</v>
      </c>
      <c r="U19" s="20" t="s">
        <v>131</v>
      </c>
      <c r="W19" t="s">
        <v>41</v>
      </c>
      <c r="AB19" s="20" t="s">
        <v>131</v>
      </c>
      <c r="AD19" t="s">
        <v>41</v>
      </c>
    </row>
    <row r="20" spans="3:120" x14ac:dyDescent="0.2">
      <c r="I20" t="s">
        <v>86</v>
      </c>
      <c r="O20" t="s">
        <v>80</v>
      </c>
      <c r="P20">
        <v>6.5</v>
      </c>
      <c r="Q20">
        <f>P20/$F$24</f>
        <v>4.642857142857143E-2</v>
      </c>
      <c r="V20" t="s">
        <v>80</v>
      </c>
      <c r="W20">
        <v>18</v>
      </c>
      <c r="X20">
        <f>W20/$F$24</f>
        <v>0.12857142857142856</v>
      </c>
      <c r="AC20" t="s">
        <v>80</v>
      </c>
      <c r="AD20">
        <v>37</v>
      </c>
      <c r="AE20">
        <v>0.26428571428571429</v>
      </c>
      <c r="DK20" t="s">
        <v>290</v>
      </c>
    </row>
    <row r="21" spans="3:120" x14ac:dyDescent="0.2">
      <c r="D21" t="s">
        <v>115</v>
      </c>
      <c r="G21" t="s">
        <v>117</v>
      </c>
      <c r="H21" t="s">
        <v>116</v>
      </c>
      <c r="I21" t="s">
        <v>86</v>
      </c>
      <c r="O21" t="s">
        <v>10</v>
      </c>
      <c r="P21">
        <v>365</v>
      </c>
      <c r="Q21">
        <f>P21</f>
        <v>365</v>
      </c>
      <c r="V21" t="s">
        <v>10</v>
      </c>
      <c r="W21">
        <v>600</v>
      </c>
      <c r="X21">
        <f>W21</f>
        <v>600</v>
      </c>
      <c r="AC21" t="s">
        <v>10</v>
      </c>
      <c r="AD21">
        <v>1000</v>
      </c>
      <c r="AE21">
        <v>1000</v>
      </c>
      <c r="BH21" t="s">
        <v>725</v>
      </c>
      <c r="DK21" t="s">
        <v>51</v>
      </c>
    </row>
    <row r="22" spans="3:120" x14ac:dyDescent="0.2">
      <c r="BI22" t="s">
        <v>726</v>
      </c>
    </row>
    <row r="23" spans="3:120" x14ac:dyDescent="0.2">
      <c r="D23" t="s">
        <v>118</v>
      </c>
      <c r="E23" t="s">
        <v>124</v>
      </c>
      <c r="F23" t="s">
        <v>125</v>
      </c>
      <c r="N23" t="s">
        <v>30</v>
      </c>
      <c r="P23">
        <v>17.025839999999999</v>
      </c>
      <c r="Q23">
        <f>P23</f>
        <v>17.025839999999999</v>
      </c>
      <c r="U23" t="s">
        <v>30</v>
      </c>
      <c r="W23">
        <v>28.849340000000002</v>
      </c>
      <c r="X23">
        <f>W23</f>
        <v>28.849340000000002</v>
      </c>
      <c r="AB23" t="s">
        <v>30</v>
      </c>
      <c r="AD23">
        <v>52.616019999999999</v>
      </c>
      <c r="AE23">
        <f>AD23</f>
        <v>52.616019999999999</v>
      </c>
      <c r="BI23" t="s">
        <v>727</v>
      </c>
      <c r="DK23" t="s">
        <v>10</v>
      </c>
      <c r="DL23">
        <f>DL17+DL7</f>
        <v>9675.8627247064105</v>
      </c>
    </row>
    <row r="24" spans="3:120" x14ac:dyDescent="0.2">
      <c r="C24" t="s">
        <v>126</v>
      </c>
      <c r="D24" t="s">
        <v>119</v>
      </c>
      <c r="E24">
        <v>776</v>
      </c>
      <c r="F24">
        <v>140</v>
      </c>
      <c r="I24" t="s">
        <v>121</v>
      </c>
      <c r="N24" t="s">
        <v>29</v>
      </c>
      <c r="P24">
        <v>1</v>
      </c>
      <c r="Q24">
        <f>P24*Conversions!$B$16</f>
        <v>1525</v>
      </c>
      <c r="U24" t="s">
        <v>29</v>
      </c>
      <c r="W24">
        <v>1.7000000000000002</v>
      </c>
      <c r="X24">
        <f>W24*Conversions!$B$16</f>
        <v>2592.5000000000005</v>
      </c>
      <c r="AB24" t="s">
        <v>29</v>
      </c>
      <c r="AD24">
        <v>5.0999999999999996</v>
      </c>
      <c r="AE24">
        <f>AD24*Conversions!$B$16</f>
        <v>7777.4999999999991</v>
      </c>
      <c r="BI24" t="s">
        <v>728</v>
      </c>
      <c r="CY24">
        <f>CY11+CY8+CY35</f>
        <v>363.24323280000004</v>
      </c>
      <c r="DK24" t="s">
        <v>752</v>
      </c>
      <c r="DL24">
        <f>DL8</f>
        <v>42.147199999999998</v>
      </c>
    </row>
    <row r="25" spans="3:120" x14ac:dyDescent="0.2">
      <c r="D25" t="s">
        <v>120</v>
      </c>
      <c r="E25">
        <f>1.45*10^4</f>
        <v>14500</v>
      </c>
      <c r="F25">
        <v>4600</v>
      </c>
      <c r="I25" t="s">
        <v>122</v>
      </c>
      <c r="L25" s="10" t="s">
        <v>86</v>
      </c>
      <c r="N25" t="s">
        <v>55</v>
      </c>
      <c r="P25">
        <v>7.7039999999999997</v>
      </c>
      <c r="Q25">
        <f>P25*Conversions!$C$21*Conversions!$C$23</f>
        <v>7.0876799999999998</v>
      </c>
      <c r="U25" t="s">
        <v>55</v>
      </c>
      <c r="W25">
        <v>13.053999999999998</v>
      </c>
      <c r="X25">
        <f>W25*Conversions!$C$21*Conversions!$C$23</f>
        <v>12.009679999999999</v>
      </c>
      <c r="AB25" t="s">
        <v>55</v>
      </c>
      <c r="AD25">
        <v>8.7739999999999991</v>
      </c>
      <c r="AE25">
        <f>AD25*Conversions!$C$21*Conversions!$C$23</f>
        <v>8.0720799999999997</v>
      </c>
      <c r="BI25" t="s">
        <v>729</v>
      </c>
      <c r="DK25" t="s">
        <v>133</v>
      </c>
      <c r="DL25">
        <f>DL9</f>
        <v>0.42857142857142799</v>
      </c>
    </row>
    <row r="26" spans="3:120" x14ac:dyDescent="0.2">
      <c r="J26" t="s">
        <v>123</v>
      </c>
      <c r="L26" s="10" t="s">
        <v>86</v>
      </c>
      <c r="N26" t="s">
        <v>15</v>
      </c>
      <c r="P26">
        <v>11</v>
      </c>
      <c r="Q26">
        <f>P26*Conversions!$B$4</f>
        <v>27500</v>
      </c>
      <c r="U26" t="s">
        <v>15</v>
      </c>
      <c r="W26">
        <v>17.694092999999999</v>
      </c>
      <c r="X26">
        <f>W26*Conversions!$B$4</f>
        <v>44235.232499999998</v>
      </c>
      <c r="AB26" t="s">
        <v>15</v>
      </c>
      <c r="AD26">
        <v>41.32</v>
      </c>
      <c r="AE26">
        <f>AD26*Conversions!$B$4</f>
        <v>103300</v>
      </c>
      <c r="DK26" t="s">
        <v>30</v>
      </c>
      <c r="DL26">
        <f>DL10+DL15</f>
        <v>336.82523280000004</v>
      </c>
    </row>
    <row r="27" spans="3:120" x14ac:dyDescent="0.2">
      <c r="J27" t="s">
        <v>127</v>
      </c>
      <c r="DK27" t="s">
        <v>760</v>
      </c>
      <c r="DL27">
        <f>DL11</f>
        <v>341.88</v>
      </c>
    </row>
    <row r="28" spans="3:120" x14ac:dyDescent="0.2">
      <c r="DK28" t="s">
        <v>698</v>
      </c>
      <c r="DL28">
        <f>DL16</f>
        <v>193.76323280000003</v>
      </c>
    </row>
    <row r="30" spans="3:120" ht="15" x14ac:dyDescent="0.25">
      <c r="C30" t="s">
        <v>129</v>
      </c>
      <c r="N30" t="s">
        <v>132</v>
      </c>
      <c r="P30">
        <v>10</v>
      </c>
      <c r="Q30" s="6">
        <f>P30*Conversions!$B$8</f>
        <v>589.5</v>
      </c>
      <c r="U30" t="s">
        <v>132</v>
      </c>
      <c r="W30">
        <v>12</v>
      </c>
      <c r="X30" s="6">
        <f>W30*Conversions!$B$8</f>
        <v>707.40000000000009</v>
      </c>
      <c r="AB30" t="s">
        <v>132</v>
      </c>
      <c r="AD30">
        <v>16</v>
      </c>
      <c r="AE30" s="6"/>
      <c r="AI30" t="s">
        <v>132</v>
      </c>
      <c r="AJ30">
        <v>12</v>
      </c>
      <c r="AP30" t="s">
        <v>132</v>
      </c>
      <c r="AQ30">
        <v>16</v>
      </c>
      <c r="AW30" t="s">
        <v>132</v>
      </c>
      <c r="AX30">
        <v>18</v>
      </c>
      <c r="BC30" t="s">
        <v>132</v>
      </c>
      <c r="BD30">
        <v>18</v>
      </c>
    </row>
    <row r="31" spans="3:120" x14ac:dyDescent="0.2">
      <c r="C31" t="s">
        <v>130</v>
      </c>
      <c r="D31">
        <f>J9/F24</f>
        <v>4.642857142857143E-2</v>
      </c>
      <c r="E31">
        <v>86</v>
      </c>
      <c r="F31">
        <f>D31*E24</f>
        <v>36.028571428571432</v>
      </c>
      <c r="N31" t="s">
        <v>30</v>
      </c>
      <c r="P31">
        <v>2.7337500000000006</v>
      </c>
      <c r="Q31">
        <f>P31</f>
        <v>2.7337500000000006</v>
      </c>
      <c r="U31" t="s">
        <v>30</v>
      </c>
      <c r="W31" s="3">
        <v>3.0982500000000002</v>
      </c>
      <c r="X31">
        <f>W31</f>
        <v>3.0982500000000002</v>
      </c>
      <c r="CX31" t="s">
        <v>51</v>
      </c>
      <c r="DE31" t="s">
        <v>39</v>
      </c>
    </row>
    <row r="32" spans="3:120" x14ac:dyDescent="0.2">
      <c r="C32" t="s">
        <v>128</v>
      </c>
      <c r="D32">
        <f>J10/F24</f>
        <v>0.12857142857142856</v>
      </c>
      <c r="E32">
        <v>215</v>
      </c>
      <c r="F32">
        <f>D32*E24</f>
        <v>99.771428571428558</v>
      </c>
      <c r="N32" t="s">
        <v>15</v>
      </c>
      <c r="P32">
        <v>2.7337500000000006</v>
      </c>
      <c r="Q32">
        <f>P32</f>
        <v>2.7337500000000006</v>
      </c>
      <c r="U32" t="s">
        <v>15</v>
      </c>
      <c r="W32" s="3">
        <v>3.0982500000000002</v>
      </c>
      <c r="X32">
        <f>W32</f>
        <v>3.0982500000000002</v>
      </c>
      <c r="CX32" t="s">
        <v>757</v>
      </c>
    </row>
    <row r="33" spans="1:113" ht="15" thickBot="1" x14ac:dyDescent="0.25">
      <c r="E33">
        <v>4000</v>
      </c>
      <c r="F33">
        <f>E24</f>
        <v>776</v>
      </c>
      <c r="CY33" t="s">
        <v>41</v>
      </c>
      <c r="CZ33" t="s">
        <v>106</v>
      </c>
      <c r="DA33" t="s">
        <v>749</v>
      </c>
      <c r="DB33" t="s">
        <v>750</v>
      </c>
      <c r="DF33" t="s">
        <v>41</v>
      </c>
    </row>
    <row r="34" spans="1:113" ht="15" thickBot="1" x14ac:dyDescent="0.25">
      <c r="D34" s="34">
        <f>27/F24</f>
        <v>0.19285714285714287</v>
      </c>
      <c r="CX34" t="s">
        <v>754</v>
      </c>
      <c r="CY34">
        <v>1</v>
      </c>
      <c r="CZ34">
        <v>27911.600000000002</v>
      </c>
      <c r="DA34">
        <v>27911.600000000002</v>
      </c>
      <c r="DB34">
        <v>27911.600000000002</v>
      </c>
      <c r="DE34" t="s">
        <v>754</v>
      </c>
      <c r="DF34">
        <v>1</v>
      </c>
      <c r="DG34">
        <v>22447.199999999997</v>
      </c>
      <c r="DH34">
        <v>22447.199999999997</v>
      </c>
      <c r="DI34">
        <v>22447.199999999997</v>
      </c>
    </row>
    <row r="35" spans="1:113" s="34" customFormat="1" ht="21" thickBot="1" x14ac:dyDescent="0.35">
      <c r="A35" s="102" t="s">
        <v>548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4"/>
      <c r="M35" s="35"/>
      <c r="S35" s="36"/>
      <c r="Z35" s="36"/>
      <c r="AG35" s="36"/>
      <c r="AN35" s="36"/>
      <c r="AU35" s="36"/>
      <c r="BA35" s="36"/>
      <c r="BG35" s="36"/>
      <c r="BM35" s="36"/>
      <c r="BS35" s="36"/>
      <c r="BY35" s="36"/>
      <c r="CE35" s="36"/>
      <c r="CK35" s="36"/>
      <c r="CQ35" s="36"/>
      <c r="CW35" s="36"/>
      <c r="CX35" s="34" t="s">
        <v>30</v>
      </c>
      <c r="CY35" s="34">
        <v>311.76323280000003</v>
      </c>
      <c r="CZ35" s="34">
        <v>11.9580460758</v>
      </c>
      <c r="DA35" s="34">
        <v>11.9580460758</v>
      </c>
      <c r="DB35" s="34">
        <v>3728.0791025627623</v>
      </c>
      <c r="DC35" s="36"/>
      <c r="DE35" s="34" t="s">
        <v>30</v>
      </c>
      <c r="DF35" s="34">
        <v>311.76323280000003</v>
      </c>
      <c r="DH35" s="34">
        <v>11.9580460758</v>
      </c>
      <c r="DI35" s="34">
        <v>3728.0791025627623</v>
      </c>
    </row>
    <row r="36" spans="1:113" x14ac:dyDescent="0.2">
      <c r="CX36" t="s">
        <v>758</v>
      </c>
      <c r="CY36">
        <v>193.76323280000003</v>
      </c>
      <c r="CZ36">
        <v>36.718627421191144</v>
      </c>
      <c r="DA36">
        <v>36.718627421191144</v>
      </c>
      <c r="DB36">
        <v>7114.7199531087244</v>
      </c>
      <c r="DE36" t="s">
        <v>758</v>
      </c>
      <c r="DF36">
        <v>193.76323280000003</v>
      </c>
      <c r="DH36">
        <v>36.718627421191144</v>
      </c>
      <c r="DI36">
        <v>7114.7199531087244</v>
      </c>
    </row>
    <row r="37" spans="1:113" x14ac:dyDescent="0.2">
      <c r="N37" t="s">
        <v>51</v>
      </c>
      <c r="U37" t="s">
        <v>51</v>
      </c>
      <c r="AB37" t="s">
        <v>51</v>
      </c>
      <c r="AI37" t="s">
        <v>52</v>
      </c>
      <c r="AP37" t="s">
        <v>52</v>
      </c>
      <c r="AW37" t="s">
        <v>52</v>
      </c>
      <c r="BC37" t="s">
        <v>52</v>
      </c>
    </row>
    <row r="38" spans="1:113" x14ac:dyDescent="0.2">
      <c r="F38" t="s">
        <v>136</v>
      </c>
      <c r="O38" t="s">
        <v>551</v>
      </c>
      <c r="V38" t="s">
        <v>551</v>
      </c>
      <c r="AC38" t="s">
        <v>551</v>
      </c>
      <c r="AJ38" t="s">
        <v>551</v>
      </c>
      <c r="AQ38" t="s">
        <v>551</v>
      </c>
      <c r="AX38" t="s">
        <v>551</v>
      </c>
      <c r="BD38" t="s">
        <v>551</v>
      </c>
      <c r="CX38" t="s">
        <v>755</v>
      </c>
      <c r="DB38">
        <v>38754.399055671485</v>
      </c>
      <c r="DE38" t="s">
        <v>755</v>
      </c>
      <c r="DI38">
        <v>33289.999055671484</v>
      </c>
    </row>
    <row r="39" spans="1:113" x14ac:dyDescent="0.2">
      <c r="N39" t="s">
        <v>10</v>
      </c>
      <c r="O39">
        <v>3340</v>
      </c>
      <c r="U39" t="s">
        <v>10</v>
      </c>
      <c r="V39">
        <v>5310</v>
      </c>
      <c r="AB39" t="s">
        <v>10</v>
      </c>
      <c r="AC39">
        <v>9160</v>
      </c>
      <c r="AI39" t="s">
        <v>10</v>
      </c>
      <c r="AJ39">
        <v>23800</v>
      </c>
      <c r="AP39" t="s">
        <v>10</v>
      </c>
      <c r="AQ39">
        <v>30200</v>
      </c>
      <c r="AW39" t="s">
        <v>10</v>
      </c>
      <c r="AX39">
        <v>30200</v>
      </c>
      <c r="BC39" t="s">
        <v>10</v>
      </c>
      <c r="BD39">
        <v>33900</v>
      </c>
    </row>
    <row r="40" spans="1:113" x14ac:dyDescent="0.2">
      <c r="N40" t="s">
        <v>80</v>
      </c>
      <c r="O40">
        <v>34.1</v>
      </c>
      <c r="U40" t="s">
        <v>80</v>
      </c>
      <c r="V40">
        <v>92.7</v>
      </c>
      <c r="AB40" t="s">
        <v>80</v>
      </c>
      <c r="AC40">
        <v>195</v>
      </c>
      <c r="AI40" t="s">
        <v>80</v>
      </c>
      <c r="AJ40">
        <v>119</v>
      </c>
      <c r="AP40" t="s">
        <v>80</v>
      </c>
      <c r="AQ40">
        <v>142</v>
      </c>
      <c r="AW40" t="s">
        <v>80</v>
      </c>
      <c r="AX40">
        <v>194</v>
      </c>
      <c r="BC40" t="s">
        <v>80</v>
      </c>
      <c r="BD40">
        <v>257</v>
      </c>
    </row>
    <row r="41" spans="1:113" x14ac:dyDescent="0.2">
      <c r="N41" t="s">
        <v>30</v>
      </c>
      <c r="O41">
        <v>8.82</v>
      </c>
      <c r="U41" t="s">
        <v>30</v>
      </c>
      <c r="V41">
        <v>14.9</v>
      </c>
      <c r="AB41" t="s">
        <v>30</v>
      </c>
      <c r="AC41">
        <v>27.7</v>
      </c>
      <c r="AI41" t="s">
        <v>30</v>
      </c>
      <c r="AJ41">
        <v>20.7</v>
      </c>
      <c r="AP41" t="s">
        <v>30</v>
      </c>
      <c r="AQ41">
        <v>33.4</v>
      </c>
      <c r="AW41" t="s">
        <v>42</v>
      </c>
      <c r="AX41">
        <v>118</v>
      </c>
      <c r="BC41" t="s">
        <v>42</v>
      </c>
      <c r="BD41">
        <v>290</v>
      </c>
      <c r="CX41" t="s">
        <v>33</v>
      </c>
      <c r="DB41">
        <v>76109.205373648903</v>
      </c>
      <c r="DE41" t="s">
        <v>33</v>
      </c>
      <c r="DI41">
        <v>70644.805373648909</v>
      </c>
    </row>
    <row r="42" spans="1:113" x14ac:dyDescent="0.2">
      <c r="N42" t="s">
        <v>29</v>
      </c>
      <c r="O42">
        <v>207</v>
      </c>
      <c r="U42" t="s">
        <v>29</v>
      </c>
      <c r="V42">
        <v>335</v>
      </c>
      <c r="AB42" t="s">
        <v>29</v>
      </c>
      <c r="AC42">
        <v>799</v>
      </c>
      <c r="AI42" t="s">
        <v>5</v>
      </c>
      <c r="AJ42">
        <v>4770</v>
      </c>
      <c r="AP42" t="s">
        <v>5</v>
      </c>
      <c r="AQ42">
        <v>6730</v>
      </c>
      <c r="AW42" t="s">
        <v>30</v>
      </c>
      <c r="AX42">
        <v>67.3</v>
      </c>
      <c r="BC42" t="s">
        <v>30</v>
      </c>
      <c r="BD42">
        <v>80.099999999999994</v>
      </c>
    </row>
    <row r="43" spans="1:113" ht="15" x14ac:dyDescent="0.25">
      <c r="F43" s="20" t="s">
        <v>135</v>
      </c>
      <c r="G43">
        <v>0.7</v>
      </c>
      <c r="H43" t="s">
        <v>137</v>
      </c>
      <c r="N43" t="s">
        <v>55</v>
      </c>
      <c r="O43">
        <v>21.3</v>
      </c>
      <c r="U43" t="s">
        <v>55</v>
      </c>
      <c r="V43">
        <v>36</v>
      </c>
      <c r="AB43" t="s">
        <v>55</v>
      </c>
      <c r="AC43">
        <v>24</v>
      </c>
      <c r="AW43" t="s">
        <v>5</v>
      </c>
      <c r="AX43">
        <v>29000</v>
      </c>
      <c r="BC43" t="s">
        <v>5</v>
      </c>
      <c r="BD43">
        <v>34400</v>
      </c>
    </row>
    <row r="44" spans="1:113" ht="15" x14ac:dyDescent="0.25">
      <c r="F44" s="20" t="s">
        <v>138</v>
      </c>
      <c r="G44">
        <v>1.1000000000000001</v>
      </c>
      <c r="H44" t="s">
        <v>137</v>
      </c>
      <c r="CY44" s="1" t="s">
        <v>763</v>
      </c>
      <c r="CZ44" s="1" t="s">
        <v>338</v>
      </c>
    </row>
    <row r="45" spans="1:113" ht="15" x14ac:dyDescent="0.25">
      <c r="N45" t="s">
        <v>290</v>
      </c>
      <c r="O45">
        <v>3620</v>
      </c>
      <c r="U45" t="s">
        <v>290</v>
      </c>
      <c r="V45">
        <v>5790</v>
      </c>
      <c r="X45" t="s">
        <v>51</v>
      </c>
      <c r="Y45">
        <v>5790</v>
      </c>
      <c r="AB45" t="s">
        <v>290</v>
      </c>
      <c r="AC45">
        <v>10200</v>
      </c>
      <c r="AI45" t="s">
        <v>290</v>
      </c>
      <c r="AJ45">
        <v>28700</v>
      </c>
      <c r="AP45" t="s">
        <v>290</v>
      </c>
      <c r="AQ45">
        <v>37100</v>
      </c>
      <c r="AW45" t="s">
        <v>290</v>
      </c>
      <c r="AX45">
        <v>59600</v>
      </c>
      <c r="BC45" t="s">
        <v>290</v>
      </c>
      <c r="BD45">
        <v>68900</v>
      </c>
      <c r="CY45" s="1" t="s">
        <v>51</v>
      </c>
      <c r="CZ45" s="1">
        <f>1.128*10^5</f>
        <v>112799.99999999999</v>
      </c>
    </row>
    <row r="46" spans="1:113" ht="15" x14ac:dyDescent="0.25">
      <c r="I46" t="s">
        <v>142</v>
      </c>
      <c r="X46" t="s">
        <v>39</v>
      </c>
      <c r="Y46">
        <v>12600</v>
      </c>
      <c r="CY46" s="1" t="s">
        <v>39</v>
      </c>
      <c r="CZ46" s="1">
        <f>1.855*10^5</f>
        <v>185500</v>
      </c>
    </row>
    <row r="47" spans="1:113" ht="15" x14ac:dyDescent="0.25">
      <c r="F47" s="20" t="s">
        <v>139</v>
      </c>
      <c r="G47">
        <v>2.2000000000000002</v>
      </c>
      <c r="H47" t="s">
        <v>141</v>
      </c>
      <c r="I47">
        <v>110</v>
      </c>
      <c r="J47" t="s">
        <v>20</v>
      </c>
    </row>
    <row r="48" spans="1:113" ht="15" x14ac:dyDescent="0.25">
      <c r="F48" s="20" t="s">
        <v>140</v>
      </c>
      <c r="G48">
        <v>3</v>
      </c>
      <c r="H48" t="s">
        <v>137</v>
      </c>
      <c r="I48">
        <v>230</v>
      </c>
      <c r="J48" t="s">
        <v>20</v>
      </c>
      <c r="N48" t="s">
        <v>39</v>
      </c>
      <c r="U48" t="s">
        <v>39</v>
      </c>
      <c r="AB48" t="s">
        <v>39</v>
      </c>
    </row>
    <row r="49" spans="5:29" x14ac:dyDescent="0.2">
      <c r="O49" t="s">
        <v>551</v>
      </c>
      <c r="V49" t="s">
        <v>551</v>
      </c>
      <c r="AC49" t="s">
        <v>551</v>
      </c>
    </row>
    <row r="50" spans="5:29" x14ac:dyDescent="0.2">
      <c r="G50" t="s">
        <v>143</v>
      </c>
      <c r="N50" t="s">
        <v>10</v>
      </c>
      <c r="O50">
        <v>3340</v>
      </c>
      <c r="U50" t="s">
        <v>10</v>
      </c>
      <c r="V50">
        <v>5310</v>
      </c>
      <c r="AB50" t="s">
        <v>10</v>
      </c>
      <c r="AC50">
        <v>9160</v>
      </c>
    </row>
    <row r="51" spans="5:29" ht="15" x14ac:dyDescent="0.25">
      <c r="F51" s="20" t="s">
        <v>139</v>
      </c>
      <c r="G51">
        <v>37</v>
      </c>
      <c r="H51" t="s">
        <v>20</v>
      </c>
      <c r="I51" t="s">
        <v>144</v>
      </c>
      <c r="N51" t="s">
        <v>80</v>
      </c>
      <c r="O51">
        <v>34.1</v>
      </c>
      <c r="U51" t="s">
        <v>80</v>
      </c>
      <c r="V51">
        <v>92.7</v>
      </c>
      <c r="AB51" t="s">
        <v>80</v>
      </c>
      <c r="AC51">
        <v>195</v>
      </c>
    </row>
    <row r="52" spans="5:29" ht="15" x14ac:dyDescent="0.25">
      <c r="F52" s="20" t="s">
        <v>140</v>
      </c>
      <c r="G52">
        <v>49.5</v>
      </c>
      <c r="H52" t="s">
        <v>20</v>
      </c>
      <c r="I52" t="s">
        <v>145</v>
      </c>
      <c r="N52" t="s">
        <v>30</v>
      </c>
      <c r="O52">
        <v>8.82</v>
      </c>
      <c r="U52" t="s">
        <v>30</v>
      </c>
      <c r="V52">
        <v>14.9</v>
      </c>
      <c r="AB52" t="s">
        <v>30</v>
      </c>
      <c r="AC52">
        <v>27.7</v>
      </c>
    </row>
    <row r="53" spans="5:29" x14ac:dyDescent="0.2">
      <c r="N53" t="s">
        <v>29</v>
      </c>
      <c r="O53">
        <v>207</v>
      </c>
      <c r="U53" t="s">
        <v>29</v>
      </c>
      <c r="V53">
        <v>335</v>
      </c>
      <c r="AB53" t="s">
        <v>29</v>
      </c>
      <c r="AC53">
        <v>799</v>
      </c>
    </row>
    <row r="54" spans="5:29" ht="15" x14ac:dyDescent="0.25">
      <c r="E54" s="20" t="s">
        <v>139</v>
      </c>
      <c r="F54" t="s">
        <v>146</v>
      </c>
      <c r="G54">
        <f>I47-G51</f>
        <v>73</v>
      </c>
      <c r="N54" t="s">
        <v>55</v>
      </c>
      <c r="O54">
        <v>21.3</v>
      </c>
      <c r="U54" t="s">
        <v>55</v>
      </c>
      <c r="V54">
        <v>36</v>
      </c>
      <c r="AB54" t="s">
        <v>55</v>
      </c>
      <c r="AC54">
        <v>24</v>
      </c>
    </row>
    <row r="55" spans="5:29" ht="15" x14ac:dyDescent="0.25">
      <c r="E55" s="20" t="s">
        <v>140</v>
      </c>
      <c r="G55">
        <f>I48-G52</f>
        <v>180.5</v>
      </c>
      <c r="N55" t="s">
        <v>15</v>
      </c>
      <c r="O55">
        <v>4320</v>
      </c>
      <c r="U55" t="s">
        <v>15</v>
      </c>
      <c r="V55">
        <v>6960</v>
      </c>
      <c r="AB55" t="s">
        <v>15</v>
      </c>
      <c r="AC55">
        <v>16200</v>
      </c>
    </row>
    <row r="57" spans="5:29" x14ac:dyDescent="0.2">
      <c r="N57" t="s">
        <v>290</v>
      </c>
      <c r="O57">
        <v>7730</v>
      </c>
      <c r="U57" t="s">
        <v>290</v>
      </c>
      <c r="V57">
        <v>12600</v>
      </c>
      <c r="AB57" t="s">
        <v>290</v>
      </c>
      <c r="AC57">
        <v>25700</v>
      </c>
    </row>
    <row r="58" spans="5:29" x14ac:dyDescent="0.2">
      <c r="J58">
        <v>0.215</v>
      </c>
      <c r="K58">
        <v>18</v>
      </c>
    </row>
    <row r="59" spans="5:29" x14ac:dyDescent="0.2">
      <c r="J59">
        <v>0.7</v>
      </c>
      <c r="K59">
        <f>10.979*J59+15.016</f>
        <v>22.7013</v>
      </c>
    </row>
    <row r="60" spans="5:29" x14ac:dyDescent="0.2">
      <c r="J60">
        <v>1.1000000000000001</v>
      </c>
      <c r="K60">
        <f>10.979*J60+15.016</f>
        <v>27.0929</v>
      </c>
    </row>
    <row r="61" spans="5:29" x14ac:dyDescent="0.2">
      <c r="J61">
        <v>2.2000000000000002</v>
      </c>
      <c r="K61">
        <v>37</v>
      </c>
    </row>
    <row r="62" spans="5:29" x14ac:dyDescent="0.2">
      <c r="J62">
        <v>3</v>
      </c>
      <c r="K62">
        <v>49.5</v>
      </c>
    </row>
    <row r="65" spans="1:107" x14ac:dyDescent="0.2">
      <c r="C65" t="s">
        <v>147</v>
      </c>
    </row>
    <row r="66" spans="1:107" x14ac:dyDescent="0.2">
      <c r="D66" t="s">
        <v>11</v>
      </c>
      <c r="E66" t="s">
        <v>149</v>
      </c>
      <c r="G66" t="s">
        <v>150</v>
      </c>
    </row>
    <row r="67" spans="1:107" ht="15" x14ac:dyDescent="0.25">
      <c r="C67" s="20" t="s">
        <v>131</v>
      </c>
      <c r="D67">
        <v>3100</v>
      </c>
      <c r="E67">
        <v>1640</v>
      </c>
      <c r="F67">
        <f>(D67*E67)/10^6</f>
        <v>5.0839999999999996</v>
      </c>
      <c r="G67">
        <v>370</v>
      </c>
    </row>
    <row r="68" spans="1:107" ht="15" x14ac:dyDescent="0.25">
      <c r="C68" s="20" t="s">
        <v>148</v>
      </c>
      <c r="D68">
        <v>5600</v>
      </c>
      <c r="E68">
        <v>1640</v>
      </c>
      <c r="F68">
        <f t="shared" ref="F68:F75" si="0">(D68*E68)/10^6</f>
        <v>9.1839999999999993</v>
      </c>
      <c r="G68">
        <v>600</v>
      </c>
    </row>
    <row r="69" spans="1:107" x14ac:dyDescent="0.2">
      <c r="C69" t="s">
        <v>73</v>
      </c>
      <c r="D69">
        <v>3600</v>
      </c>
      <c r="E69">
        <v>1640</v>
      </c>
      <c r="F69">
        <f t="shared" si="0"/>
        <v>5.9039999999999999</v>
      </c>
      <c r="G69">
        <v>400</v>
      </c>
    </row>
    <row r="70" spans="1:107" x14ac:dyDescent="0.2">
      <c r="C70" t="s">
        <v>74</v>
      </c>
      <c r="D70">
        <v>5600</v>
      </c>
      <c r="E70">
        <v>1640</v>
      </c>
      <c r="F70">
        <f t="shared" si="0"/>
        <v>9.1839999999999993</v>
      </c>
      <c r="G70">
        <v>600</v>
      </c>
    </row>
    <row r="71" spans="1:107" ht="15" x14ac:dyDescent="0.25">
      <c r="C71" s="20" t="s">
        <v>135</v>
      </c>
      <c r="D71">
        <v>7500</v>
      </c>
      <c r="E71">
        <v>2124</v>
      </c>
      <c r="F71">
        <f t="shared" si="0"/>
        <v>15.93</v>
      </c>
      <c r="H71">
        <v>2600</v>
      </c>
    </row>
    <row r="72" spans="1:107" ht="15" x14ac:dyDescent="0.25">
      <c r="C72" s="20" t="s">
        <v>138</v>
      </c>
      <c r="D72">
        <v>10500</v>
      </c>
      <c r="E72">
        <v>2524</v>
      </c>
      <c r="F72">
        <f t="shared" si="0"/>
        <v>26.501999999999999</v>
      </c>
      <c r="H72">
        <v>3300</v>
      </c>
    </row>
    <row r="74" spans="1:107" x14ac:dyDescent="0.2">
      <c r="D74">
        <v>10770</v>
      </c>
      <c r="E74">
        <v>2500</v>
      </c>
      <c r="F74">
        <f t="shared" si="0"/>
        <v>26.925000000000001</v>
      </c>
      <c r="H74">
        <f>F74*66.213+1545.2</f>
        <v>3327.985025</v>
      </c>
    </row>
    <row r="75" spans="1:107" x14ac:dyDescent="0.2">
      <c r="D75">
        <v>13000</v>
      </c>
      <c r="E75">
        <v>2500</v>
      </c>
      <c r="F75">
        <f t="shared" si="0"/>
        <v>32.5</v>
      </c>
      <c r="H75">
        <f>F75*66.213+1545.2</f>
        <v>3697.1224999999995</v>
      </c>
    </row>
    <row r="77" spans="1:107" ht="15" thickBot="1" x14ac:dyDescent="0.25"/>
    <row r="78" spans="1:107" s="34" customFormat="1" ht="21" thickBot="1" x14ac:dyDescent="0.35">
      <c r="A78" s="102" t="s">
        <v>303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4"/>
      <c r="S78" s="36"/>
      <c r="Z78" s="36"/>
      <c r="AG78" s="36"/>
      <c r="AN78" s="36"/>
      <c r="AU78" s="36"/>
      <c r="BA78" s="36"/>
      <c r="BG78" s="36"/>
      <c r="BM78" s="36"/>
      <c r="BS78" s="36"/>
      <c r="BY78" s="36"/>
      <c r="CE78" s="36"/>
      <c r="CK78" s="36"/>
      <c r="CQ78" s="36"/>
      <c r="CW78" s="36"/>
      <c r="DC78" s="36"/>
    </row>
    <row r="81" spans="1:30" x14ac:dyDescent="0.2">
      <c r="A81" t="s">
        <v>346</v>
      </c>
    </row>
    <row r="83" spans="1:30" x14ac:dyDescent="0.2">
      <c r="A83">
        <v>2E-3</v>
      </c>
      <c r="B83" t="s">
        <v>376</v>
      </c>
      <c r="D83" t="s">
        <v>372</v>
      </c>
      <c r="E83" t="s">
        <v>373</v>
      </c>
      <c r="H83" t="s">
        <v>315</v>
      </c>
      <c r="I83">
        <v>265</v>
      </c>
    </row>
    <row r="84" spans="1:30" x14ac:dyDescent="0.2">
      <c r="A84">
        <v>57</v>
      </c>
      <c r="B84" t="s">
        <v>375</v>
      </c>
      <c r="D84" t="s">
        <v>374</v>
      </c>
      <c r="H84" t="s">
        <v>377</v>
      </c>
      <c r="I84">
        <v>28</v>
      </c>
    </row>
    <row r="85" spans="1:30" x14ac:dyDescent="0.2">
      <c r="N85" t="s">
        <v>89</v>
      </c>
      <c r="O85" t="s">
        <v>396</v>
      </c>
      <c r="P85" t="s">
        <v>385</v>
      </c>
      <c r="U85">
        <f>Tankering!B35</f>
        <v>7.5</v>
      </c>
      <c r="V85" t="str">
        <f>Tankering!C35</f>
        <v>7.5tn Tanker</v>
      </c>
      <c r="W85" t="str">
        <f>Tankering!E35</f>
        <v>2000L Capcity</v>
      </c>
      <c r="Z85" s="10">
        <f>'Septic Tank - British '!AL97</f>
        <v>0</v>
      </c>
      <c r="AA85">
        <f>'Septic Tank - British '!AM97</f>
        <v>0</v>
      </c>
      <c r="AB85" t="str">
        <f>'Septic Tank - British '!AN97</f>
        <v>Tanker</v>
      </c>
      <c r="AC85">
        <f>'Septic Tank - British '!AO97</f>
        <v>0</v>
      </c>
      <c r="AD85">
        <f>'Septic Tank - British '!AP97</f>
        <v>0</v>
      </c>
    </row>
    <row r="86" spans="1:30" x14ac:dyDescent="0.2">
      <c r="B86" t="s">
        <v>89</v>
      </c>
      <c r="N86">
        <v>5</v>
      </c>
      <c r="O86">
        <f>4.731/3</f>
        <v>1.577</v>
      </c>
      <c r="P86" s="4">
        <f>O86*0.3</f>
        <v>0.47309999999999997</v>
      </c>
      <c r="Q86">
        <f>P86*1000</f>
        <v>473.09999999999997</v>
      </c>
      <c r="S86" s="10">
        <f>U85</f>
        <v>7.5</v>
      </c>
      <c r="U86">
        <f>Tankering!B36</f>
        <v>15</v>
      </c>
      <c r="V86" t="str">
        <f>Tankering!C36</f>
        <v>15 tn</v>
      </c>
      <c r="W86" t="str">
        <f>Tankering!E36</f>
        <v>10500 L Capacity</v>
      </c>
      <c r="Z86" s="10" t="str">
        <f>'Septic Tank - British '!AL98</f>
        <v>Travel Distance (mi)</v>
      </c>
      <c r="AA86" t="str">
        <f>'Septic Tank - British '!AM98</f>
        <v>Travel Distance (km)</v>
      </c>
      <c r="AB86" t="str">
        <f>'Septic Tank - British '!AN98</f>
        <v>3.5 - 7.5</v>
      </c>
      <c r="AC86" t="str">
        <f>'Septic Tank - British '!AO98</f>
        <v>7.5 - 16</v>
      </c>
      <c r="AD86" t="str">
        <f>'Septic Tank - British '!AP98</f>
        <v>16-32</v>
      </c>
    </row>
    <row r="87" spans="1:30" x14ac:dyDescent="0.2">
      <c r="B87">
        <v>5</v>
      </c>
      <c r="C87">
        <v>10</v>
      </c>
      <c r="D87">
        <v>20</v>
      </c>
      <c r="E87">
        <v>30</v>
      </c>
      <c r="F87">
        <v>50</v>
      </c>
      <c r="G87">
        <v>75</v>
      </c>
      <c r="H87">
        <v>100</v>
      </c>
      <c r="N87">
        <v>10</v>
      </c>
      <c r="O87">
        <f>8.806/3</f>
        <v>2.9353333333333329</v>
      </c>
      <c r="P87" s="4">
        <f t="shared" ref="P87:P91" si="1">O87*0.3</f>
        <v>0.88059999999999983</v>
      </c>
      <c r="Q87">
        <f t="shared" ref="Q87:Q100" si="2">P87*1000</f>
        <v>880.5999999999998</v>
      </c>
      <c r="S87" s="10">
        <f>S86</f>
        <v>7.5</v>
      </c>
      <c r="U87">
        <f>Tankering!B37</f>
        <v>32</v>
      </c>
      <c r="V87" t="str">
        <f>Tankering!C37</f>
        <v>32 tn</v>
      </c>
      <c r="W87" t="str">
        <f>Tankering!E37</f>
        <v>19000 L Capacity</v>
      </c>
      <c r="Z87" s="10">
        <f>'Septic Tank - British '!AL99</f>
        <v>5</v>
      </c>
      <c r="AA87">
        <f>'Septic Tank - British '!AM99</f>
        <v>8</v>
      </c>
      <c r="AB87">
        <f>'Septic Tank - British '!AN99</f>
        <v>31.754999999999999</v>
      </c>
      <c r="AC87">
        <f>'Septic Tank - British '!AO99</f>
        <v>26.37</v>
      </c>
      <c r="AD87">
        <f>'Septic Tank - British '!AP99</f>
        <v>43.648000000000003</v>
      </c>
    </row>
    <row r="88" spans="1:30" x14ac:dyDescent="0.2">
      <c r="A88" t="s">
        <v>311</v>
      </c>
      <c r="B88">
        <v>75</v>
      </c>
      <c r="C88">
        <v>150</v>
      </c>
      <c r="D88">
        <v>300</v>
      </c>
      <c r="E88">
        <v>450</v>
      </c>
      <c r="F88">
        <v>750</v>
      </c>
      <c r="G88">
        <v>1125</v>
      </c>
      <c r="H88">
        <v>1500</v>
      </c>
      <c r="N88">
        <v>20</v>
      </c>
      <c r="O88">
        <f>14.35/3</f>
        <v>4.7833333333333332</v>
      </c>
      <c r="P88" s="4">
        <f t="shared" si="1"/>
        <v>1.4349999999999998</v>
      </c>
      <c r="Q88">
        <f t="shared" si="2"/>
        <v>1434.9999999999998</v>
      </c>
      <c r="S88" s="10">
        <f>S87</f>
        <v>7.5</v>
      </c>
      <c r="Z88" s="10">
        <f>'Septic Tank - British '!AL100</f>
        <v>10</v>
      </c>
      <c r="AA88">
        <f>'Septic Tank - British '!AM100</f>
        <v>16</v>
      </c>
      <c r="AB88">
        <f>'Septic Tank - British '!AN100</f>
        <v>63.51</v>
      </c>
      <c r="AC88">
        <f>'Septic Tank - British '!AO100</f>
        <v>52.74</v>
      </c>
      <c r="AD88">
        <f>'Septic Tank - British '!AP100</f>
        <v>87.296000000000006</v>
      </c>
    </row>
    <row r="89" spans="1:30" x14ac:dyDescent="0.2">
      <c r="N89">
        <v>30</v>
      </c>
      <c r="O89">
        <v>8.9466486792452837</v>
      </c>
      <c r="P89" s="4">
        <f t="shared" si="1"/>
        <v>2.6839946037735851</v>
      </c>
      <c r="Q89">
        <f t="shared" si="2"/>
        <v>2683.9946037735849</v>
      </c>
      <c r="S89" s="10">
        <f>U86</f>
        <v>15</v>
      </c>
      <c r="Z89" s="10">
        <f>'Septic Tank - British '!AL101</f>
        <v>20</v>
      </c>
      <c r="AA89">
        <f>'Septic Tank - British '!AM101</f>
        <v>32</v>
      </c>
      <c r="AB89">
        <f>'Septic Tank - British '!AN101</f>
        <v>127.02</v>
      </c>
      <c r="AC89">
        <f>'Septic Tank - British '!AO101</f>
        <v>105.48</v>
      </c>
      <c r="AD89">
        <f>'Septic Tank - British '!AP101</f>
        <v>174.59200000000001</v>
      </c>
    </row>
    <row r="90" spans="1:30" x14ac:dyDescent="0.2">
      <c r="A90" t="s">
        <v>379</v>
      </c>
      <c r="B90">
        <f>B88*$A$83</f>
        <v>0.15</v>
      </c>
      <c r="C90">
        <f t="shared" ref="C90:H90" si="3">C88*$A$83</f>
        <v>0.3</v>
      </c>
      <c r="D90">
        <f t="shared" si="3"/>
        <v>0.6</v>
      </c>
      <c r="E90">
        <f t="shared" si="3"/>
        <v>0.9</v>
      </c>
      <c r="F90">
        <f t="shared" si="3"/>
        <v>1.5</v>
      </c>
      <c r="G90">
        <f t="shared" si="3"/>
        <v>2.25</v>
      </c>
      <c r="H90">
        <f t="shared" si="3"/>
        <v>3</v>
      </c>
      <c r="N90">
        <v>50</v>
      </c>
      <c r="O90">
        <v>14.884123245283021</v>
      </c>
      <c r="P90" s="4">
        <f t="shared" si="1"/>
        <v>4.465236973584906</v>
      </c>
      <c r="Q90">
        <f t="shared" si="2"/>
        <v>4465.2369735849061</v>
      </c>
      <c r="S90" s="10">
        <f>U86</f>
        <v>15</v>
      </c>
      <c r="Z90" s="10">
        <f>'Septic Tank - British '!AL102</f>
        <v>30</v>
      </c>
      <c r="AA90">
        <f>'Septic Tank - British '!AM102</f>
        <v>48</v>
      </c>
      <c r="AB90">
        <f>'Septic Tank - British '!AN102</f>
        <v>190.53</v>
      </c>
      <c r="AC90">
        <f>'Septic Tank - British '!AO102</f>
        <v>158.22</v>
      </c>
      <c r="AD90">
        <f>'Septic Tank - British '!AP102</f>
        <v>261.88800000000003</v>
      </c>
    </row>
    <row r="91" spans="1:30" x14ac:dyDescent="0.2">
      <c r="N91">
        <v>75</v>
      </c>
      <c r="O91">
        <v>16.475710145568005</v>
      </c>
      <c r="P91" s="4">
        <f t="shared" si="1"/>
        <v>4.942713043670401</v>
      </c>
      <c r="Q91">
        <f t="shared" si="2"/>
        <v>4942.713043670401</v>
      </c>
      <c r="S91" s="10">
        <f>U86</f>
        <v>15</v>
      </c>
      <c r="Z91" s="10">
        <f>'Septic Tank - British '!AL103</f>
        <v>40</v>
      </c>
      <c r="AA91">
        <f>'Septic Tank - British '!AM103</f>
        <v>64</v>
      </c>
      <c r="AB91">
        <f>'Septic Tank - British '!AN103</f>
        <v>254.04</v>
      </c>
      <c r="AC91">
        <f>'Septic Tank - British '!AO103</f>
        <v>210.96</v>
      </c>
      <c r="AD91">
        <f>'Septic Tank - British '!AP103</f>
        <v>349.18400000000003</v>
      </c>
    </row>
    <row r="92" spans="1:30" x14ac:dyDescent="0.2">
      <c r="A92" t="s">
        <v>380</v>
      </c>
      <c r="B92">
        <f>B90*$I$83</f>
        <v>39.75</v>
      </c>
      <c r="C92">
        <f t="shared" ref="C92:H92" si="4">C90*$I$83</f>
        <v>79.5</v>
      </c>
      <c r="D92">
        <f t="shared" si="4"/>
        <v>159</v>
      </c>
      <c r="E92">
        <f t="shared" si="4"/>
        <v>238.5</v>
      </c>
      <c r="F92">
        <f t="shared" si="4"/>
        <v>397.5</v>
      </c>
      <c r="G92">
        <f t="shared" si="4"/>
        <v>596.25</v>
      </c>
      <c r="H92">
        <f t="shared" si="4"/>
        <v>795</v>
      </c>
      <c r="N92">
        <v>100</v>
      </c>
      <c r="O92">
        <v>19.887115310342068</v>
      </c>
      <c r="P92" s="4">
        <f>O92*0.3</f>
        <v>5.9661345931026206</v>
      </c>
      <c r="Q92">
        <f t="shared" si="2"/>
        <v>5966.1345931026208</v>
      </c>
      <c r="S92" s="10">
        <f>U86</f>
        <v>15</v>
      </c>
      <c r="Z92" s="10">
        <f>'Septic Tank - British '!AL104</f>
        <v>50</v>
      </c>
      <c r="AA92">
        <f>'Septic Tank - British '!AM104</f>
        <v>80</v>
      </c>
      <c r="AB92">
        <f>'Septic Tank - British '!AN104</f>
        <v>317.55</v>
      </c>
      <c r="AC92">
        <f>'Septic Tank - British '!AO104</f>
        <v>263.7</v>
      </c>
      <c r="AD92">
        <f>'Septic Tank - British '!AP104</f>
        <v>436.48</v>
      </c>
    </row>
    <row r="93" spans="1:30" x14ac:dyDescent="0.2">
      <c r="A93" t="s">
        <v>378</v>
      </c>
      <c r="B93">
        <f>(B92*365.25)/1000</f>
        <v>14.5186875</v>
      </c>
      <c r="C93">
        <f t="shared" ref="C93:H93" si="5">(C92*365.25)/1000</f>
        <v>29.037375000000001</v>
      </c>
      <c r="D93">
        <f t="shared" si="5"/>
        <v>58.074750000000002</v>
      </c>
      <c r="E93">
        <f t="shared" si="5"/>
        <v>87.112125000000006</v>
      </c>
      <c r="F93">
        <f t="shared" si="5"/>
        <v>145.18687499999999</v>
      </c>
      <c r="G93">
        <f t="shared" si="5"/>
        <v>217.78031250000001</v>
      </c>
      <c r="H93">
        <f t="shared" si="5"/>
        <v>290.37374999999997</v>
      </c>
      <c r="N93">
        <v>150</v>
      </c>
      <c r="P93">
        <v>1</v>
      </c>
      <c r="Q93">
        <f t="shared" si="2"/>
        <v>1000</v>
      </c>
      <c r="S93" s="10">
        <f>S88</f>
        <v>7.5</v>
      </c>
      <c r="U93">
        <v>1095</v>
      </c>
      <c r="V93">
        <v>90</v>
      </c>
      <c r="W93" t="s">
        <v>622</v>
      </c>
      <c r="Z93" s="10">
        <f>'Septic Tank - British '!AL105</f>
        <v>60</v>
      </c>
      <c r="AA93">
        <f>'Septic Tank - British '!AM105</f>
        <v>96</v>
      </c>
      <c r="AB93">
        <f>'Septic Tank - British '!AN105</f>
        <v>381.06</v>
      </c>
      <c r="AC93">
        <f>'Septic Tank - British '!AO105</f>
        <v>316.44</v>
      </c>
      <c r="AD93">
        <f>'Septic Tank - British '!AP105</f>
        <v>523.77600000000007</v>
      </c>
    </row>
    <row r="94" spans="1:30" x14ac:dyDescent="0.2">
      <c r="K94">
        <f>B93/B101</f>
        <v>0.83280955373978627</v>
      </c>
      <c r="N94">
        <v>200</v>
      </c>
      <c r="P94">
        <v>1.3</v>
      </c>
      <c r="Q94">
        <f t="shared" si="2"/>
        <v>1300</v>
      </c>
      <c r="S94" s="10">
        <f>S88</f>
        <v>7.5</v>
      </c>
      <c r="Z94" s="10">
        <f>'Septic Tank - British '!AL106</f>
        <v>70</v>
      </c>
      <c r="AA94">
        <f>'Septic Tank - British '!AM106</f>
        <v>112</v>
      </c>
      <c r="AB94">
        <f>'Septic Tank - British '!AN106</f>
        <v>444.57</v>
      </c>
      <c r="AC94">
        <f>'Septic Tank - British '!AO106</f>
        <v>369.18</v>
      </c>
      <c r="AD94">
        <f>'Septic Tank - British '!AP106</f>
        <v>611.072</v>
      </c>
    </row>
    <row r="95" spans="1:30" x14ac:dyDescent="0.2">
      <c r="N95">
        <v>300</v>
      </c>
      <c r="P95">
        <v>1.9</v>
      </c>
      <c r="Q95">
        <f t="shared" si="2"/>
        <v>1900</v>
      </c>
      <c r="S95" s="10">
        <f>S88</f>
        <v>7.5</v>
      </c>
      <c r="U95">
        <f>365/U93</f>
        <v>0.33333333333333331</v>
      </c>
      <c r="V95">
        <f>365/V93</f>
        <v>4.0555555555555554</v>
      </c>
      <c r="Z95" s="10">
        <f>'Septic Tank - British '!AL107</f>
        <v>80</v>
      </c>
      <c r="AA95">
        <f>'Septic Tank - British '!AM107</f>
        <v>128</v>
      </c>
      <c r="AB95">
        <f>'Septic Tank - British '!AN107</f>
        <v>508.08</v>
      </c>
      <c r="AC95">
        <f>'Septic Tank - British '!AO107</f>
        <v>421.92</v>
      </c>
      <c r="AD95">
        <f>'Septic Tank - British '!AP107</f>
        <v>698.36800000000005</v>
      </c>
    </row>
    <row r="96" spans="1:30" x14ac:dyDescent="0.2">
      <c r="A96" t="s">
        <v>381</v>
      </c>
      <c r="B96">
        <f>$A$84*B87/1000</f>
        <v>0.28499999999999998</v>
      </c>
      <c r="C96">
        <f t="shared" ref="C96:H96" si="6">$A$84*C87/1000</f>
        <v>0.56999999999999995</v>
      </c>
      <c r="D96">
        <f t="shared" si="6"/>
        <v>1.1399999999999999</v>
      </c>
      <c r="E96">
        <f t="shared" si="6"/>
        <v>1.71</v>
      </c>
      <c r="F96">
        <f t="shared" si="6"/>
        <v>2.85</v>
      </c>
      <c r="G96">
        <f t="shared" si="6"/>
        <v>4.2750000000000004</v>
      </c>
      <c r="H96">
        <f t="shared" si="6"/>
        <v>5.7</v>
      </c>
      <c r="N96">
        <v>400</v>
      </c>
      <c r="P96">
        <v>2.6</v>
      </c>
      <c r="Q96">
        <f t="shared" si="2"/>
        <v>2600</v>
      </c>
      <c r="S96" s="10">
        <f>U86</f>
        <v>15</v>
      </c>
    </row>
    <row r="97" spans="1:43" x14ac:dyDescent="0.2">
      <c r="N97">
        <v>500</v>
      </c>
      <c r="P97">
        <v>3.2</v>
      </c>
      <c r="Q97">
        <f t="shared" si="2"/>
        <v>3200</v>
      </c>
      <c r="S97" s="10">
        <f>S96</f>
        <v>15</v>
      </c>
    </row>
    <row r="98" spans="1:43" x14ac:dyDescent="0.2">
      <c r="A98" t="s">
        <v>380</v>
      </c>
      <c r="B98">
        <f t="shared" ref="B98:H98" si="7">B96*$I$84</f>
        <v>7.9799999999999995</v>
      </c>
      <c r="C98">
        <f t="shared" si="7"/>
        <v>15.959999999999999</v>
      </c>
      <c r="D98">
        <f t="shared" si="7"/>
        <v>31.919999999999998</v>
      </c>
      <c r="E98">
        <f t="shared" si="7"/>
        <v>47.879999999999995</v>
      </c>
      <c r="F98">
        <f t="shared" si="7"/>
        <v>79.8</v>
      </c>
      <c r="G98">
        <f t="shared" si="7"/>
        <v>119.70000000000002</v>
      </c>
      <c r="H98">
        <f t="shared" si="7"/>
        <v>159.6</v>
      </c>
      <c r="N98">
        <v>600</v>
      </c>
      <c r="P98">
        <v>3.9</v>
      </c>
      <c r="Q98">
        <f t="shared" si="2"/>
        <v>3900</v>
      </c>
      <c r="S98" s="10">
        <f t="shared" ref="S98:S99" si="8">S97</f>
        <v>15</v>
      </c>
    </row>
    <row r="99" spans="1:43" x14ac:dyDescent="0.2">
      <c r="A99" t="s">
        <v>378</v>
      </c>
      <c r="B99">
        <f>(B98*365.25)/1000</f>
        <v>2.9146949999999996</v>
      </c>
      <c r="C99">
        <f t="shared" ref="C99:H99" si="9">(C98*365.25)/1000</f>
        <v>5.8293899999999992</v>
      </c>
      <c r="D99">
        <f t="shared" si="9"/>
        <v>11.658779999999998</v>
      </c>
      <c r="E99">
        <f t="shared" si="9"/>
        <v>17.488169999999997</v>
      </c>
      <c r="F99">
        <f t="shared" si="9"/>
        <v>29.14695</v>
      </c>
      <c r="G99">
        <f t="shared" si="9"/>
        <v>43.720425000000006</v>
      </c>
      <c r="H99">
        <f t="shared" si="9"/>
        <v>58.293900000000001</v>
      </c>
      <c r="N99">
        <v>800</v>
      </c>
      <c r="P99">
        <v>5.0999999999999996</v>
      </c>
      <c r="Q99">
        <f t="shared" si="2"/>
        <v>5100</v>
      </c>
      <c r="S99" s="10">
        <f t="shared" si="8"/>
        <v>15</v>
      </c>
    </row>
    <row r="100" spans="1:43" x14ac:dyDescent="0.2">
      <c r="N100">
        <v>1000</v>
      </c>
      <c r="P100">
        <v>6.5</v>
      </c>
      <c r="Q100">
        <f t="shared" si="2"/>
        <v>6500</v>
      </c>
      <c r="S100" s="10">
        <f>S99</f>
        <v>15</v>
      </c>
      <c r="W100" t="str">
        <f>'Septic Tank - British '!AM111</f>
        <v>3.5 - 7.5</v>
      </c>
      <c r="X100" t="str">
        <f>'Septic Tank - British '!AN111</f>
        <v>7.5 - 16</v>
      </c>
      <c r="Y100" t="str">
        <f>'Septic Tank - British '!AO111</f>
        <v>16-32</v>
      </c>
    </row>
    <row r="101" spans="1:43" x14ac:dyDescent="0.2">
      <c r="A101" t="s">
        <v>382</v>
      </c>
      <c r="B101">
        <f>B99+B93</f>
        <v>17.4333825</v>
      </c>
      <c r="C101">
        <f t="shared" ref="C101:G101" si="10">C99+C93</f>
        <v>34.866765000000001</v>
      </c>
      <c r="D101">
        <f t="shared" si="10"/>
        <v>69.733530000000002</v>
      </c>
      <c r="E101">
        <f t="shared" si="10"/>
        <v>104.600295</v>
      </c>
      <c r="F101">
        <f t="shared" si="10"/>
        <v>174.33382499999999</v>
      </c>
      <c r="G101">
        <f t="shared" si="10"/>
        <v>261.50073750000001</v>
      </c>
      <c r="H101">
        <f>H99+H93</f>
        <v>348.66764999999998</v>
      </c>
      <c r="W101">
        <f>'Septic Tank - British '!AM112</f>
        <v>0.52925</v>
      </c>
      <c r="X101">
        <f>'Septic Tank - British '!AN112</f>
        <v>0.21975</v>
      </c>
      <c r="Y101">
        <f>'Septic Tank - British '!AO112</f>
        <v>0.17050000000000001</v>
      </c>
    </row>
    <row r="102" spans="1:43" x14ac:dyDescent="0.2">
      <c r="A102" t="s">
        <v>383</v>
      </c>
      <c r="B102">
        <f>B101*25</f>
        <v>435.8345625</v>
      </c>
      <c r="C102">
        <f t="shared" ref="C102:G102" si="11">C101*25</f>
        <v>871.66912500000001</v>
      </c>
      <c r="D102">
        <f t="shared" si="11"/>
        <v>1743.33825</v>
      </c>
      <c r="E102">
        <f t="shared" si="11"/>
        <v>2615.0073750000001</v>
      </c>
      <c r="F102">
        <f t="shared" si="11"/>
        <v>4358.3456249999999</v>
      </c>
      <c r="G102">
        <f t="shared" si="11"/>
        <v>6537.5184375000008</v>
      </c>
      <c r="H102">
        <f>H101*25</f>
        <v>8716.6912499999999</v>
      </c>
      <c r="V102" t="str">
        <f>'Septic Tank - British '!AL113</f>
        <v>Dry Mass</v>
      </c>
      <c r="W102">
        <f>'Septic Tank - British '!AM113</f>
        <v>7.5</v>
      </c>
      <c r="X102">
        <f>'Septic Tank - British '!AN113</f>
        <v>15</v>
      </c>
      <c r="Y102">
        <f>'Septic Tank - British '!AO113</f>
        <v>32</v>
      </c>
    </row>
    <row r="104" spans="1:43" x14ac:dyDescent="0.2">
      <c r="B104">
        <f>B102/B87</f>
        <v>87.166912499999995</v>
      </c>
      <c r="C104">
        <f t="shared" ref="C104:H104" si="12">C102/C87</f>
        <v>87.166912499999995</v>
      </c>
      <c r="D104">
        <f t="shared" si="12"/>
        <v>87.166912499999995</v>
      </c>
      <c r="E104">
        <f t="shared" si="12"/>
        <v>87.166912500000009</v>
      </c>
      <c r="F104">
        <f t="shared" si="12"/>
        <v>87.166912499999995</v>
      </c>
      <c r="G104">
        <f t="shared" si="12"/>
        <v>87.166912500000009</v>
      </c>
      <c r="H104">
        <f t="shared" si="12"/>
        <v>87.166912499999995</v>
      </c>
      <c r="W104" t="s">
        <v>544</v>
      </c>
      <c r="Z104"/>
    </row>
    <row r="105" spans="1:43" ht="15" x14ac:dyDescent="0.25">
      <c r="S105"/>
      <c r="W105" s="1" t="s">
        <v>543</v>
      </c>
      <c r="Z105"/>
    </row>
    <row r="106" spans="1:43" ht="15" x14ac:dyDescent="0.25">
      <c r="O106" s="1" t="s">
        <v>539</v>
      </c>
      <c r="P106" s="1" t="s">
        <v>540</v>
      </c>
      <c r="Q106" s="1"/>
      <c r="R106" s="1" t="s">
        <v>535</v>
      </c>
      <c r="S106" s="1" t="s">
        <v>536</v>
      </c>
      <c r="T106" s="1" t="s">
        <v>290</v>
      </c>
      <c r="V106" s="1" t="s">
        <v>539</v>
      </c>
      <c r="W106" s="1">
        <v>6</v>
      </c>
      <c r="X106" s="1">
        <v>5</v>
      </c>
      <c r="Y106" s="1">
        <v>4</v>
      </c>
      <c r="Z106" s="1">
        <v>3</v>
      </c>
      <c r="AA106" s="1">
        <v>2</v>
      </c>
      <c r="AB106" s="1">
        <v>1</v>
      </c>
      <c r="AC106" s="1">
        <v>0.5</v>
      </c>
      <c r="AD106" s="1">
        <f>1/3</f>
        <v>0.33333333333333331</v>
      </c>
      <c r="AE106" s="1">
        <v>0.25</v>
      </c>
      <c r="AH106" s="1" t="s">
        <v>539</v>
      </c>
      <c r="AI106" s="1">
        <v>6</v>
      </c>
      <c r="AJ106" s="1">
        <v>5</v>
      </c>
      <c r="AK106" s="1">
        <v>4</v>
      </c>
      <c r="AL106" s="1">
        <v>3</v>
      </c>
      <c r="AM106" s="1">
        <v>2</v>
      </c>
      <c r="AN106" s="1">
        <v>1</v>
      </c>
      <c r="AO106" s="1">
        <v>0.5</v>
      </c>
      <c r="AP106" s="1">
        <v>0.33333333333333331</v>
      </c>
      <c r="AQ106" s="1">
        <v>0.25</v>
      </c>
    </row>
    <row r="107" spans="1:43" ht="15" x14ac:dyDescent="0.25">
      <c r="B107">
        <v>150</v>
      </c>
      <c r="C107">
        <v>200</v>
      </c>
      <c r="D107">
        <v>300</v>
      </c>
      <c r="E107">
        <v>400</v>
      </c>
      <c r="F107">
        <v>500</v>
      </c>
      <c r="G107">
        <v>600</v>
      </c>
      <c r="H107">
        <v>800</v>
      </c>
      <c r="I107">
        <v>1000</v>
      </c>
      <c r="N107" s="93">
        <v>5</v>
      </c>
      <c r="O107">
        <v>5</v>
      </c>
      <c r="P107">
        <f>AB87</f>
        <v>31.754999999999999</v>
      </c>
      <c r="R107">
        <f>P107</f>
        <v>31.754999999999999</v>
      </c>
      <c r="S107" s="10">
        <f>O107*1.6*($P$86+$U$85)</f>
        <v>63.784799999999997</v>
      </c>
      <c r="T107">
        <f>(R107+S107)*$W$101</f>
        <v>50.564439149999998</v>
      </c>
      <c r="V107" s="1">
        <v>5</v>
      </c>
      <c r="W107">
        <f>$T107*W$106</f>
        <v>303.38663489999999</v>
      </c>
      <c r="X107">
        <f t="shared" ref="X107:AD122" si="13">$T107*X$106</f>
        <v>252.82219574999999</v>
      </c>
      <c r="Y107">
        <f t="shared" si="13"/>
        <v>202.25775659999999</v>
      </c>
      <c r="Z107">
        <f t="shared" si="13"/>
        <v>151.69331745</v>
      </c>
      <c r="AA107">
        <f t="shared" si="13"/>
        <v>101.1288783</v>
      </c>
      <c r="AB107">
        <f t="shared" si="13"/>
        <v>50.564439149999998</v>
      </c>
      <c r="AC107">
        <f t="shared" si="13"/>
        <v>25.282219574999999</v>
      </c>
      <c r="AD107" s="1">
        <f>$T107*AD$106</f>
        <v>16.854813049999997</v>
      </c>
      <c r="AE107">
        <f>$T107*AE$106</f>
        <v>12.6411097875</v>
      </c>
      <c r="AH107" s="1"/>
      <c r="AN107"/>
      <c r="AP107" s="1"/>
    </row>
    <row r="108" spans="1:43" ht="15" x14ac:dyDescent="0.25">
      <c r="A108" t="str">
        <f>'[1]SAF - Design'!AY186</f>
        <v>Power (kW)</v>
      </c>
      <c r="B108">
        <f>'[1]SAF - Design'!AZ186</f>
        <v>17.600000000000001</v>
      </c>
      <c r="C108">
        <f>'[1]SAF - Design'!BA186</f>
        <v>22</v>
      </c>
      <c r="D108">
        <f>'[1]SAF - Design'!BB186</f>
        <v>33</v>
      </c>
      <c r="E108">
        <f>'[1]SAF - Design'!BC186</f>
        <v>44</v>
      </c>
      <c r="F108">
        <f>'[1]SAF - Design'!BD186</f>
        <v>55.000000000000007</v>
      </c>
      <c r="G108">
        <f>'[1]SAF - Design'!BE186</f>
        <v>66</v>
      </c>
      <c r="H108">
        <f>'[1]SAF - Design'!BF186</f>
        <v>88</v>
      </c>
      <c r="I108">
        <f>'[1]SAF - Design'!BG186</f>
        <v>110.00000000000001</v>
      </c>
      <c r="N108" s="93"/>
      <c r="O108">
        <v>10</v>
      </c>
      <c r="P108">
        <f t="shared" ref="P108:P115" si="14">AB88</f>
        <v>63.51</v>
      </c>
      <c r="R108">
        <f t="shared" ref="R108:R171" si="15">P108</f>
        <v>63.51</v>
      </c>
      <c r="S108" s="10">
        <f t="shared" ref="S108:S115" si="16">O108*1.6*($P$86+$U$85)</f>
        <v>127.56959999999999</v>
      </c>
      <c r="T108">
        <f t="shared" ref="T108:T133" si="17">(R108+S108)*$W$101</f>
        <v>101.1288783</v>
      </c>
      <c r="V108" s="1">
        <v>10</v>
      </c>
      <c r="W108">
        <f t="shared" ref="W108:AD139" si="18">$T108*W$106</f>
        <v>606.77326979999998</v>
      </c>
      <c r="X108">
        <f t="shared" si="13"/>
        <v>505.64439149999998</v>
      </c>
      <c r="Y108">
        <f t="shared" si="13"/>
        <v>404.51551319999999</v>
      </c>
      <c r="Z108">
        <f t="shared" si="13"/>
        <v>303.38663489999999</v>
      </c>
      <c r="AA108">
        <f t="shared" si="13"/>
        <v>202.25775659999999</v>
      </c>
      <c r="AB108">
        <f t="shared" si="13"/>
        <v>101.1288783</v>
      </c>
      <c r="AC108">
        <f t="shared" si="13"/>
        <v>50.564439149999998</v>
      </c>
      <c r="AD108" s="1">
        <f t="shared" si="13"/>
        <v>33.709626099999994</v>
      </c>
      <c r="AE108">
        <f t="shared" ref="AE108:AE139" si="19">$T108*AE$106</f>
        <v>25.282219574999999</v>
      </c>
      <c r="AH108" s="1"/>
      <c r="AN108"/>
      <c r="AP108" s="1"/>
    </row>
    <row r="109" spans="1:43" ht="15" x14ac:dyDescent="0.25">
      <c r="N109" s="93"/>
      <c r="O109">
        <v>20</v>
      </c>
      <c r="P109">
        <f t="shared" si="14"/>
        <v>127.02</v>
      </c>
      <c r="R109">
        <f t="shared" si="15"/>
        <v>127.02</v>
      </c>
      <c r="S109" s="10">
        <f t="shared" si="16"/>
        <v>255.13919999999999</v>
      </c>
      <c r="T109">
        <f>(R109+S109)*$W$101</f>
        <v>202.25775659999999</v>
      </c>
      <c r="V109" s="1">
        <v>20</v>
      </c>
      <c r="W109">
        <f t="shared" si="18"/>
        <v>1213.5465396</v>
      </c>
      <c r="X109">
        <f t="shared" si="13"/>
        <v>1011.288783</v>
      </c>
      <c r="Y109">
        <f t="shared" si="13"/>
        <v>809.03102639999997</v>
      </c>
      <c r="Z109">
        <f t="shared" si="13"/>
        <v>606.77326979999998</v>
      </c>
      <c r="AA109">
        <f t="shared" si="13"/>
        <v>404.51551319999999</v>
      </c>
      <c r="AB109">
        <f t="shared" si="13"/>
        <v>202.25775659999999</v>
      </c>
      <c r="AC109">
        <f t="shared" si="13"/>
        <v>101.1288783</v>
      </c>
      <c r="AD109" s="1">
        <f t="shared" si="13"/>
        <v>67.419252199999988</v>
      </c>
      <c r="AE109">
        <f t="shared" si="19"/>
        <v>50.564439149999998</v>
      </c>
      <c r="AH109" s="1">
        <v>20</v>
      </c>
      <c r="AN109"/>
      <c r="AP109" s="1">
        <v>67.419252199999988</v>
      </c>
    </row>
    <row r="110" spans="1:43" ht="15" x14ac:dyDescent="0.25">
      <c r="B110">
        <f>B108*(365.25*24)</f>
        <v>154281.60000000001</v>
      </c>
      <c r="C110">
        <f t="shared" ref="C110:H110" si="20">C108*(365.25*24)</f>
        <v>192852</v>
      </c>
      <c r="D110">
        <f t="shared" si="20"/>
        <v>289278</v>
      </c>
      <c r="E110">
        <f t="shared" si="20"/>
        <v>385704</v>
      </c>
      <c r="F110">
        <f t="shared" si="20"/>
        <v>482130.00000000006</v>
      </c>
      <c r="G110">
        <f t="shared" si="20"/>
        <v>578556</v>
      </c>
      <c r="H110">
        <f t="shared" si="20"/>
        <v>771408</v>
      </c>
      <c r="I110">
        <f>I108*(365.25*24)</f>
        <v>964260.00000000012</v>
      </c>
      <c r="N110" s="93"/>
      <c r="O110">
        <v>30</v>
      </c>
      <c r="P110">
        <f t="shared" si="14"/>
        <v>190.53</v>
      </c>
      <c r="R110">
        <f t="shared" si="15"/>
        <v>190.53</v>
      </c>
      <c r="S110" s="10">
        <f t="shared" si="16"/>
        <v>382.7088</v>
      </c>
      <c r="T110">
        <f t="shared" si="17"/>
        <v>303.38663489999999</v>
      </c>
      <c r="V110" s="1">
        <v>30</v>
      </c>
      <c r="W110">
        <f t="shared" si="18"/>
        <v>1820.3198093999999</v>
      </c>
      <c r="X110">
        <f t="shared" si="13"/>
        <v>1516.9331745</v>
      </c>
      <c r="Y110">
        <f t="shared" si="13"/>
        <v>1213.5465396</v>
      </c>
      <c r="Z110">
        <f t="shared" si="13"/>
        <v>910.15990469999997</v>
      </c>
      <c r="AA110">
        <f t="shared" si="13"/>
        <v>606.77326979999998</v>
      </c>
      <c r="AB110">
        <f t="shared" si="13"/>
        <v>303.38663489999999</v>
      </c>
      <c r="AC110">
        <f t="shared" si="13"/>
        <v>151.69331745</v>
      </c>
      <c r="AD110" s="1">
        <f t="shared" si="13"/>
        <v>101.1288783</v>
      </c>
      <c r="AE110">
        <f t="shared" si="19"/>
        <v>75.846658724999998</v>
      </c>
      <c r="AH110" s="1"/>
      <c r="AN110"/>
      <c r="AP110" s="1"/>
    </row>
    <row r="111" spans="1:43" ht="15" x14ac:dyDescent="0.25">
      <c r="A111">
        <f>365.24*24</f>
        <v>8765.76</v>
      </c>
      <c r="N111" s="93"/>
      <c r="O111">
        <v>40</v>
      </c>
      <c r="P111">
        <f>AB91</f>
        <v>254.04</v>
      </c>
      <c r="R111">
        <f t="shared" si="15"/>
        <v>254.04</v>
      </c>
      <c r="S111" s="10">
        <f t="shared" si="16"/>
        <v>510.27839999999998</v>
      </c>
      <c r="T111">
        <f t="shared" si="17"/>
        <v>404.51551319999999</v>
      </c>
      <c r="V111" s="1">
        <v>40</v>
      </c>
      <c r="W111">
        <f t="shared" si="18"/>
        <v>2427.0930791999999</v>
      </c>
      <c r="X111">
        <f t="shared" si="13"/>
        <v>2022.5775659999999</v>
      </c>
      <c r="Y111">
        <f t="shared" si="13"/>
        <v>1618.0620527999999</v>
      </c>
      <c r="Z111">
        <f t="shared" si="13"/>
        <v>1213.5465396</v>
      </c>
      <c r="AA111">
        <f t="shared" si="13"/>
        <v>809.03102639999997</v>
      </c>
      <c r="AB111">
        <f t="shared" si="13"/>
        <v>404.51551319999999</v>
      </c>
      <c r="AC111">
        <f t="shared" si="13"/>
        <v>202.25775659999999</v>
      </c>
      <c r="AD111" s="1">
        <f t="shared" si="13"/>
        <v>134.83850439999998</v>
      </c>
      <c r="AE111">
        <f t="shared" si="19"/>
        <v>101.1288783</v>
      </c>
      <c r="AH111" s="1"/>
      <c r="AN111"/>
      <c r="AP111" s="1"/>
    </row>
    <row r="112" spans="1:43" ht="15" x14ac:dyDescent="0.25">
      <c r="N112" s="93"/>
      <c r="O112">
        <v>50</v>
      </c>
      <c r="P112">
        <f t="shared" si="14"/>
        <v>317.55</v>
      </c>
      <c r="R112">
        <f t="shared" si="15"/>
        <v>317.55</v>
      </c>
      <c r="S112" s="10">
        <f t="shared" si="16"/>
        <v>637.84799999999996</v>
      </c>
      <c r="T112">
        <f t="shared" si="17"/>
        <v>505.64439149999993</v>
      </c>
      <c r="V112" s="1">
        <v>50</v>
      </c>
      <c r="W112">
        <f t="shared" si="18"/>
        <v>3033.8663489999994</v>
      </c>
      <c r="X112">
        <f t="shared" si="13"/>
        <v>2528.2219574999995</v>
      </c>
      <c r="Y112">
        <f t="shared" si="13"/>
        <v>2022.5775659999997</v>
      </c>
      <c r="Z112">
        <f t="shared" si="13"/>
        <v>1516.9331744999997</v>
      </c>
      <c r="AA112">
        <f t="shared" si="13"/>
        <v>1011.2887829999999</v>
      </c>
      <c r="AB112">
        <f t="shared" si="13"/>
        <v>505.64439149999993</v>
      </c>
      <c r="AC112">
        <f t="shared" si="13"/>
        <v>252.82219574999996</v>
      </c>
      <c r="AD112" s="1">
        <f t="shared" si="13"/>
        <v>168.54813049999996</v>
      </c>
      <c r="AE112">
        <f t="shared" si="19"/>
        <v>126.41109787499998</v>
      </c>
      <c r="AH112" s="1"/>
      <c r="AN112"/>
      <c r="AP112" s="1"/>
    </row>
    <row r="113" spans="2:42" ht="15" x14ac:dyDescent="0.25">
      <c r="B113">
        <f>B110/1000</f>
        <v>154.2816</v>
      </c>
      <c r="C113">
        <f t="shared" ref="C113:H113" si="21">C110/1000</f>
        <v>192.852</v>
      </c>
      <c r="D113">
        <f t="shared" si="21"/>
        <v>289.27800000000002</v>
      </c>
      <c r="E113">
        <f t="shared" si="21"/>
        <v>385.70400000000001</v>
      </c>
      <c r="F113">
        <f t="shared" si="21"/>
        <v>482.13000000000005</v>
      </c>
      <c r="G113">
        <f t="shared" si="21"/>
        <v>578.55600000000004</v>
      </c>
      <c r="H113">
        <f t="shared" si="21"/>
        <v>771.40800000000002</v>
      </c>
      <c r="I113">
        <f>I110/1000</f>
        <v>964.2600000000001</v>
      </c>
      <c r="N113" s="93"/>
      <c r="O113">
        <v>60</v>
      </c>
      <c r="P113">
        <f t="shared" si="14"/>
        <v>381.06</v>
      </c>
      <c r="R113">
        <f t="shared" si="15"/>
        <v>381.06</v>
      </c>
      <c r="S113" s="10">
        <f t="shared" si="16"/>
        <v>765.41759999999999</v>
      </c>
      <c r="T113">
        <f t="shared" si="17"/>
        <v>606.77326979999998</v>
      </c>
      <c r="V113" s="1">
        <v>60</v>
      </c>
      <c r="W113">
        <f t="shared" si="18"/>
        <v>3640.6396187999999</v>
      </c>
      <c r="X113">
        <f t="shared" si="13"/>
        <v>3033.8663489999999</v>
      </c>
      <c r="Y113">
        <f t="shared" si="13"/>
        <v>2427.0930791999999</v>
      </c>
      <c r="Z113">
        <f t="shared" si="13"/>
        <v>1820.3198093999999</v>
      </c>
      <c r="AA113">
        <f t="shared" si="13"/>
        <v>1213.5465396</v>
      </c>
      <c r="AB113">
        <f t="shared" si="13"/>
        <v>606.77326979999998</v>
      </c>
      <c r="AC113">
        <f t="shared" si="13"/>
        <v>303.38663489999999</v>
      </c>
      <c r="AD113" s="1">
        <f t="shared" si="13"/>
        <v>202.25775659999999</v>
      </c>
      <c r="AE113">
        <f t="shared" si="19"/>
        <v>151.69331745</v>
      </c>
      <c r="AH113" s="1"/>
      <c r="AN113"/>
      <c r="AP113" s="1"/>
    </row>
    <row r="114" spans="2:42" ht="15" x14ac:dyDescent="0.25">
      <c r="D114" s="4"/>
      <c r="N114" s="93"/>
      <c r="O114">
        <v>70</v>
      </c>
      <c r="P114">
        <f t="shared" si="14"/>
        <v>444.57</v>
      </c>
      <c r="R114">
        <f t="shared" si="15"/>
        <v>444.57</v>
      </c>
      <c r="S114" s="10">
        <f t="shared" si="16"/>
        <v>892.98719999999992</v>
      </c>
      <c r="T114">
        <f t="shared" si="17"/>
        <v>707.90214809999998</v>
      </c>
      <c r="V114" s="1">
        <v>70</v>
      </c>
      <c r="W114">
        <f t="shared" si="18"/>
        <v>4247.4128885999999</v>
      </c>
      <c r="X114">
        <f t="shared" si="13"/>
        <v>3539.5107404999999</v>
      </c>
      <c r="Y114">
        <f t="shared" si="13"/>
        <v>2831.6085923999999</v>
      </c>
      <c r="Z114">
        <f t="shared" si="13"/>
        <v>2123.7064442999999</v>
      </c>
      <c r="AA114">
        <f t="shared" si="13"/>
        <v>1415.8042962</v>
      </c>
      <c r="AB114">
        <f t="shared" si="13"/>
        <v>707.90214809999998</v>
      </c>
      <c r="AC114">
        <f t="shared" si="13"/>
        <v>353.95107404999999</v>
      </c>
      <c r="AD114" s="1">
        <f t="shared" si="13"/>
        <v>235.96738269999997</v>
      </c>
      <c r="AE114">
        <f t="shared" si="19"/>
        <v>176.97553702499999</v>
      </c>
      <c r="AH114" s="1"/>
      <c r="AN114"/>
      <c r="AP114" s="1"/>
    </row>
    <row r="115" spans="2:42" ht="15" x14ac:dyDescent="0.25">
      <c r="N115" s="93"/>
      <c r="O115">
        <v>80</v>
      </c>
      <c r="P115">
        <f t="shared" si="14"/>
        <v>508.08</v>
      </c>
      <c r="R115">
        <f t="shared" si="15"/>
        <v>508.08</v>
      </c>
      <c r="S115" s="10">
        <f t="shared" si="16"/>
        <v>1020.5568</v>
      </c>
      <c r="T115">
        <f t="shared" si="17"/>
        <v>809.03102639999997</v>
      </c>
      <c r="V115" s="1">
        <v>80</v>
      </c>
      <c r="W115">
        <f t="shared" si="18"/>
        <v>4854.1861583999998</v>
      </c>
      <c r="X115">
        <f t="shared" si="13"/>
        <v>4045.1551319999999</v>
      </c>
      <c r="Y115">
        <f t="shared" si="13"/>
        <v>3236.1241055999999</v>
      </c>
      <c r="Z115">
        <f>$T115*Z$106</f>
        <v>2427.0930791999999</v>
      </c>
      <c r="AA115">
        <f t="shared" si="13"/>
        <v>1618.0620527999999</v>
      </c>
      <c r="AB115">
        <f t="shared" si="13"/>
        <v>809.03102639999997</v>
      </c>
      <c r="AC115">
        <f t="shared" si="13"/>
        <v>404.51551319999999</v>
      </c>
      <c r="AD115" s="1">
        <f t="shared" si="13"/>
        <v>269.67700879999995</v>
      </c>
      <c r="AE115">
        <f t="shared" si="19"/>
        <v>202.25775659999999</v>
      </c>
      <c r="AH115" s="1"/>
      <c r="AN115"/>
      <c r="AP115" s="1"/>
    </row>
    <row r="116" spans="2:42" ht="15" x14ac:dyDescent="0.25">
      <c r="N116" s="93">
        <v>10</v>
      </c>
      <c r="O116">
        <v>5</v>
      </c>
      <c r="P116">
        <f>AB87</f>
        <v>31.754999999999999</v>
      </c>
      <c r="R116">
        <f t="shared" si="15"/>
        <v>31.754999999999999</v>
      </c>
      <c r="S116" s="10">
        <f>O116*1.6*($P$87+$U$85)</f>
        <v>67.044799999999995</v>
      </c>
      <c r="T116">
        <f t="shared" si="17"/>
        <v>52.289794149999992</v>
      </c>
      <c r="V116" s="1">
        <v>5</v>
      </c>
      <c r="W116">
        <f t="shared" si="18"/>
        <v>313.73876489999998</v>
      </c>
      <c r="X116">
        <f t="shared" si="13"/>
        <v>261.44897074999994</v>
      </c>
      <c r="Y116">
        <f t="shared" si="13"/>
        <v>209.15917659999997</v>
      </c>
      <c r="Z116">
        <f t="shared" si="13"/>
        <v>156.86938244999999</v>
      </c>
      <c r="AA116">
        <f t="shared" si="13"/>
        <v>104.57958829999998</v>
      </c>
      <c r="AB116">
        <f t="shared" si="13"/>
        <v>52.289794149999992</v>
      </c>
      <c r="AC116" s="1">
        <f t="shared" si="13"/>
        <v>26.144897074999996</v>
      </c>
      <c r="AD116">
        <f t="shared" si="13"/>
        <v>17.429931383333329</v>
      </c>
      <c r="AE116">
        <f t="shared" si="19"/>
        <v>13.072448537499998</v>
      </c>
      <c r="AH116" s="1"/>
      <c r="AN116"/>
      <c r="AO116" s="1"/>
    </row>
    <row r="117" spans="2:42" ht="15" x14ac:dyDescent="0.25">
      <c r="N117" s="93"/>
      <c r="O117">
        <v>10</v>
      </c>
      <c r="P117">
        <f t="shared" ref="P117:P124" si="22">AB88</f>
        <v>63.51</v>
      </c>
      <c r="R117">
        <f t="shared" si="15"/>
        <v>63.51</v>
      </c>
      <c r="S117" s="10">
        <f t="shared" ref="S117:S124" si="23">O117*1.6*($P$87+$U$85)</f>
        <v>134.08959999999999</v>
      </c>
      <c r="T117">
        <f t="shared" si="17"/>
        <v>104.57958829999998</v>
      </c>
      <c r="V117" s="1">
        <v>10</v>
      </c>
      <c r="W117">
        <f t="shared" si="18"/>
        <v>627.47752979999996</v>
      </c>
      <c r="X117">
        <f t="shared" si="13"/>
        <v>522.89794149999989</v>
      </c>
      <c r="Y117">
        <f t="shared" si="13"/>
        <v>418.31835319999993</v>
      </c>
      <c r="Z117">
        <f t="shared" si="13"/>
        <v>313.73876489999998</v>
      </c>
      <c r="AA117">
        <f t="shared" si="13"/>
        <v>209.15917659999997</v>
      </c>
      <c r="AB117">
        <f t="shared" si="13"/>
        <v>104.57958829999998</v>
      </c>
      <c r="AC117" s="1">
        <f t="shared" si="13"/>
        <v>52.289794149999992</v>
      </c>
      <c r="AD117">
        <f t="shared" si="13"/>
        <v>34.859862766666659</v>
      </c>
      <c r="AE117">
        <f t="shared" si="19"/>
        <v>26.144897074999996</v>
      </c>
      <c r="AH117" s="1"/>
      <c r="AN117"/>
      <c r="AO117" s="1"/>
    </row>
    <row r="118" spans="2:42" ht="15" x14ac:dyDescent="0.25">
      <c r="N118" s="93"/>
      <c r="O118">
        <v>20</v>
      </c>
      <c r="P118">
        <f t="shared" si="22"/>
        <v>127.02</v>
      </c>
      <c r="R118">
        <f t="shared" si="15"/>
        <v>127.02</v>
      </c>
      <c r="S118" s="10">
        <f t="shared" si="23"/>
        <v>268.17919999999998</v>
      </c>
      <c r="T118">
        <f t="shared" si="17"/>
        <v>209.15917659999997</v>
      </c>
      <c r="V118" s="1">
        <v>20</v>
      </c>
      <c r="W118">
        <f t="shared" si="18"/>
        <v>1254.9550595999999</v>
      </c>
      <c r="X118">
        <f t="shared" si="13"/>
        <v>1045.7958829999998</v>
      </c>
      <c r="Y118">
        <f t="shared" si="13"/>
        <v>836.63670639999987</v>
      </c>
      <c r="Z118">
        <f t="shared" si="13"/>
        <v>627.47752979999996</v>
      </c>
      <c r="AA118">
        <f t="shared" si="13"/>
        <v>418.31835319999993</v>
      </c>
      <c r="AB118">
        <f t="shared" si="13"/>
        <v>209.15917659999997</v>
      </c>
      <c r="AC118" s="1">
        <f t="shared" si="13"/>
        <v>104.57958829999998</v>
      </c>
      <c r="AD118">
        <f t="shared" si="13"/>
        <v>69.719725533333317</v>
      </c>
      <c r="AE118">
        <f t="shared" si="19"/>
        <v>52.289794149999992</v>
      </c>
      <c r="AH118" s="1">
        <v>20</v>
      </c>
      <c r="AN118"/>
      <c r="AO118" s="1">
        <v>104.57958829999998</v>
      </c>
    </row>
    <row r="119" spans="2:42" ht="15" x14ac:dyDescent="0.25">
      <c r="N119" s="93"/>
      <c r="O119">
        <v>30</v>
      </c>
      <c r="P119">
        <f t="shared" si="22"/>
        <v>190.53</v>
      </c>
      <c r="R119">
        <f t="shared" si="15"/>
        <v>190.53</v>
      </c>
      <c r="S119" s="10">
        <f t="shared" si="23"/>
        <v>402.26879999999994</v>
      </c>
      <c r="T119">
        <f t="shared" si="17"/>
        <v>313.73876489999998</v>
      </c>
      <c r="V119" s="1">
        <v>30</v>
      </c>
      <c r="W119">
        <f t="shared" si="18"/>
        <v>1882.4325893999999</v>
      </c>
      <c r="X119">
        <f t="shared" si="13"/>
        <v>1568.6938244999999</v>
      </c>
      <c r="Y119">
        <f t="shared" si="13"/>
        <v>1254.9550595999999</v>
      </c>
      <c r="Z119">
        <f t="shared" si="13"/>
        <v>941.21629469999993</v>
      </c>
      <c r="AA119">
        <f t="shared" si="13"/>
        <v>627.47752979999996</v>
      </c>
      <c r="AB119">
        <f t="shared" si="13"/>
        <v>313.73876489999998</v>
      </c>
      <c r="AC119" s="1">
        <f t="shared" si="13"/>
        <v>156.86938244999999</v>
      </c>
      <c r="AD119">
        <f t="shared" si="13"/>
        <v>104.57958829999998</v>
      </c>
      <c r="AE119">
        <f t="shared" si="19"/>
        <v>78.434691224999995</v>
      </c>
      <c r="AH119" s="1"/>
      <c r="AN119"/>
      <c r="AO119" s="1"/>
    </row>
    <row r="120" spans="2:42" ht="15" x14ac:dyDescent="0.25">
      <c r="N120" s="93"/>
      <c r="O120">
        <v>40</v>
      </c>
      <c r="P120">
        <f t="shared" si="22"/>
        <v>254.04</v>
      </c>
      <c r="R120">
        <f t="shared" si="15"/>
        <v>254.04</v>
      </c>
      <c r="S120" s="10">
        <f t="shared" si="23"/>
        <v>536.35839999999996</v>
      </c>
      <c r="T120">
        <f t="shared" si="17"/>
        <v>418.31835319999993</v>
      </c>
      <c r="V120" s="1">
        <v>40</v>
      </c>
      <c r="W120">
        <f t="shared" si="18"/>
        <v>2509.9101191999998</v>
      </c>
      <c r="X120">
        <f t="shared" si="13"/>
        <v>2091.5917659999996</v>
      </c>
      <c r="Y120">
        <f t="shared" si="13"/>
        <v>1673.2734127999997</v>
      </c>
      <c r="Z120">
        <f t="shared" si="13"/>
        <v>1254.9550595999999</v>
      </c>
      <c r="AA120">
        <f t="shared" si="13"/>
        <v>836.63670639999987</v>
      </c>
      <c r="AB120">
        <f t="shared" si="13"/>
        <v>418.31835319999993</v>
      </c>
      <c r="AC120" s="1">
        <f t="shared" si="13"/>
        <v>209.15917659999997</v>
      </c>
      <c r="AD120">
        <f t="shared" si="13"/>
        <v>139.43945106666663</v>
      </c>
      <c r="AE120">
        <f t="shared" si="19"/>
        <v>104.57958829999998</v>
      </c>
      <c r="AH120" s="1"/>
      <c r="AN120"/>
      <c r="AO120" s="1"/>
    </row>
    <row r="121" spans="2:42" ht="15" x14ac:dyDescent="0.25">
      <c r="N121" s="93"/>
      <c r="O121">
        <v>50</v>
      </c>
      <c r="P121">
        <f t="shared" si="22"/>
        <v>317.55</v>
      </c>
      <c r="R121">
        <f t="shared" si="15"/>
        <v>317.55</v>
      </c>
      <c r="S121" s="10">
        <f t="shared" si="23"/>
        <v>670.44799999999998</v>
      </c>
      <c r="T121">
        <f t="shared" si="17"/>
        <v>522.8979415</v>
      </c>
      <c r="V121" s="1">
        <v>50</v>
      </c>
      <c r="W121">
        <f t="shared" si="18"/>
        <v>3137.3876490000002</v>
      </c>
      <c r="X121">
        <f t="shared" si="13"/>
        <v>2614.4897074999999</v>
      </c>
      <c r="Y121">
        <f t="shared" si="13"/>
        <v>2091.591766</v>
      </c>
      <c r="Z121">
        <f t="shared" si="13"/>
        <v>1568.6938245000001</v>
      </c>
      <c r="AA121">
        <f t="shared" si="13"/>
        <v>1045.795883</v>
      </c>
      <c r="AB121">
        <f t="shared" si="13"/>
        <v>522.8979415</v>
      </c>
      <c r="AC121" s="1">
        <f t="shared" si="13"/>
        <v>261.44897075</v>
      </c>
      <c r="AD121">
        <f t="shared" si="13"/>
        <v>174.29931383333331</v>
      </c>
      <c r="AE121">
        <f t="shared" si="19"/>
        <v>130.724485375</v>
      </c>
      <c r="AH121" s="1"/>
      <c r="AN121"/>
      <c r="AO121" s="1"/>
    </row>
    <row r="122" spans="2:42" ht="15" x14ac:dyDescent="0.25">
      <c r="N122" s="93"/>
      <c r="O122">
        <v>60</v>
      </c>
      <c r="P122">
        <f t="shared" si="22"/>
        <v>381.06</v>
      </c>
      <c r="R122">
        <f t="shared" si="15"/>
        <v>381.06</v>
      </c>
      <c r="S122" s="10">
        <f t="shared" si="23"/>
        <v>804.53759999999988</v>
      </c>
      <c r="T122">
        <f t="shared" si="17"/>
        <v>627.47752979999996</v>
      </c>
      <c r="V122" s="1">
        <v>60</v>
      </c>
      <c r="W122">
        <f t="shared" si="18"/>
        <v>3764.8651787999997</v>
      </c>
      <c r="X122">
        <f t="shared" si="13"/>
        <v>3137.3876489999998</v>
      </c>
      <c r="Y122">
        <f t="shared" si="13"/>
        <v>2509.9101191999998</v>
      </c>
      <c r="Z122">
        <f t="shared" si="13"/>
        <v>1882.4325893999999</v>
      </c>
      <c r="AA122">
        <f t="shared" si="13"/>
        <v>1254.9550595999999</v>
      </c>
      <c r="AB122">
        <f t="shared" si="13"/>
        <v>627.47752979999996</v>
      </c>
      <c r="AC122" s="1">
        <f t="shared" si="13"/>
        <v>313.73876489999998</v>
      </c>
      <c r="AD122">
        <f t="shared" si="13"/>
        <v>209.15917659999997</v>
      </c>
      <c r="AE122">
        <f t="shared" si="19"/>
        <v>156.86938244999999</v>
      </c>
      <c r="AH122" s="1"/>
      <c r="AN122"/>
      <c r="AO122" s="1"/>
    </row>
    <row r="123" spans="2:42" ht="15" x14ac:dyDescent="0.25">
      <c r="N123" s="93"/>
      <c r="O123">
        <v>70</v>
      </c>
      <c r="P123">
        <f t="shared" si="22"/>
        <v>444.57</v>
      </c>
      <c r="R123">
        <f t="shared" si="15"/>
        <v>444.57</v>
      </c>
      <c r="S123" s="10">
        <f t="shared" si="23"/>
        <v>938.6271999999999</v>
      </c>
      <c r="T123">
        <f t="shared" si="17"/>
        <v>732.05711809999991</v>
      </c>
      <c r="V123" s="1">
        <v>70</v>
      </c>
      <c r="W123">
        <f t="shared" si="18"/>
        <v>4392.3427085999992</v>
      </c>
      <c r="X123">
        <f t="shared" si="18"/>
        <v>3660.2855904999997</v>
      </c>
      <c r="Y123">
        <f t="shared" si="18"/>
        <v>2928.2284723999996</v>
      </c>
      <c r="Z123">
        <f t="shared" si="18"/>
        <v>2196.1713542999996</v>
      </c>
      <c r="AA123">
        <f t="shared" si="18"/>
        <v>1464.1142361999998</v>
      </c>
      <c r="AB123">
        <f t="shared" si="18"/>
        <v>732.05711809999991</v>
      </c>
      <c r="AC123" s="1">
        <f t="shared" si="18"/>
        <v>366.02855904999996</v>
      </c>
      <c r="AD123">
        <f t="shared" si="18"/>
        <v>244.01903936666662</v>
      </c>
      <c r="AE123">
        <f t="shared" si="19"/>
        <v>183.01427952499998</v>
      </c>
      <c r="AH123" s="1"/>
      <c r="AN123"/>
      <c r="AO123" s="1"/>
    </row>
    <row r="124" spans="2:42" ht="15" x14ac:dyDescent="0.25">
      <c r="N124" s="93"/>
      <c r="O124">
        <v>80</v>
      </c>
      <c r="P124">
        <f t="shared" si="22"/>
        <v>508.08</v>
      </c>
      <c r="R124">
        <f t="shared" si="15"/>
        <v>508.08</v>
      </c>
      <c r="S124" s="10">
        <f t="shared" si="23"/>
        <v>1072.7167999999999</v>
      </c>
      <c r="T124">
        <f t="shared" si="17"/>
        <v>836.63670639999987</v>
      </c>
      <c r="V124" s="1">
        <v>80</v>
      </c>
      <c r="W124">
        <f t="shared" si="18"/>
        <v>5019.8202383999997</v>
      </c>
      <c r="X124">
        <f t="shared" si="18"/>
        <v>4183.1835319999991</v>
      </c>
      <c r="Y124">
        <f t="shared" si="18"/>
        <v>3346.5468255999995</v>
      </c>
      <c r="Z124">
        <f t="shared" si="18"/>
        <v>2509.9101191999998</v>
      </c>
      <c r="AA124">
        <f t="shared" si="18"/>
        <v>1673.2734127999997</v>
      </c>
      <c r="AB124">
        <f t="shared" si="18"/>
        <v>836.63670639999987</v>
      </c>
      <c r="AC124" s="1">
        <f t="shared" si="18"/>
        <v>418.31835319999993</v>
      </c>
      <c r="AD124">
        <f t="shared" si="18"/>
        <v>278.87890213333327</v>
      </c>
      <c r="AE124">
        <f t="shared" si="19"/>
        <v>209.15917659999997</v>
      </c>
      <c r="AH124" s="1"/>
      <c r="AN124"/>
      <c r="AO124" s="1"/>
    </row>
    <row r="125" spans="2:42" ht="15" x14ac:dyDescent="0.25">
      <c r="N125" s="93">
        <v>20</v>
      </c>
      <c r="O125">
        <v>5</v>
      </c>
      <c r="P125">
        <f t="shared" ref="P125:P133" si="24">AB87</f>
        <v>31.754999999999999</v>
      </c>
      <c r="R125">
        <f t="shared" si="15"/>
        <v>31.754999999999999</v>
      </c>
      <c r="S125" s="10">
        <f>O125*1.6*($P$88+$U$85)</f>
        <v>71.48</v>
      </c>
      <c r="T125">
        <f t="shared" si="17"/>
        <v>54.637123750000001</v>
      </c>
      <c r="V125" s="1">
        <v>5</v>
      </c>
      <c r="W125">
        <f t="shared" si="18"/>
        <v>327.8227425</v>
      </c>
      <c r="X125">
        <f t="shared" si="18"/>
        <v>273.18561875</v>
      </c>
      <c r="Y125">
        <f t="shared" si="18"/>
        <v>218.548495</v>
      </c>
      <c r="Z125">
        <f t="shared" si="18"/>
        <v>163.91137125</v>
      </c>
      <c r="AA125">
        <f t="shared" si="18"/>
        <v>109.2742475</v>
      </c>
      <c r="AB125" s="1">
        <f t="shared" si="18"/>
        <v>54.637123750000001</v>
      </c>
      <c r="AC125">
        <f t="shared" si="18"/>
        <v>27.318561875</v>
      </c>
      <c r="AD125">
        <f t="shared" si="18"/>
        <v>18.212374583333332</v>
      </c>
      <c r="AE125">
        <f t="shared" si="19"/>
        <v>13.6592809375</v>
      </c>
      <c r="AH125" s="1"/>
      <c r="AN125" s="1"/>
    </row>
    <row r="126" spans="2:42" ht="15" x14ac:dyDescent="0.25">
      <c r="N126" s="93"/>
      <c r="O126">
        <v>10</v>
      </c>
      <c r="P126">
        <f t="shared" si="24"/>
        <v>63.51</v>
      </c>
      <c r="R126">
        <f t="shared" si="15"/>
        <v>63.51</v>
      </c>
      <c r="S126" s="10">
        <f t="shared" ref="S126:S133" si="25">O126*1.6*($P$88+$U$85)</f>
        <v>142.96</v>
      </c>
      <c r="T126">
        <f t="shared" si="17"/>
        <v>109.2742475</v>
      </c>
      <c r="V126" s="1">
        <v>10</v>
      </c>
      <c r="W126">
        <f t="shared" si="18"/>
        <v>655.64548500000001</v>
      </c>
      <c r="X126">
        <f t="shared" si="18"/>
        <v>546.37123750000001</v>
      </c>
      <c r="Y126">
        <f t="shared" si="18"/>
        <v>437.09699000000001</v>
      </c>
      <c r="Z126">
        <f t="shared" si="18"/>
        <v>327.8227425</v>
      </c>
      <c r="AA126">
        <f t="shared" si="18"/>
        <v>218.548495</v>
      </c>
      <c r="AB126" s="1">
        <f t="shared" si="18"/>
        <v>109.2742475</v>
      </c>
      <c r="AC126">
        <f t="shared" si="18"/>
        <v>54.637123750000001</v>
      </c>
      <c r="AD126">
        <f t="shared" si="18"/>
        <v>36.424749166666665</v>
      </c>
      <c r="AE126">
        <f t="shared" si="19"/>
        <v>27.318561875</v>
      </c>
      <c r="AH126" s="1"/>
      <c r="AN126" s="1"/>
    </row>
    <row r="127" spans="2:42" ht="15" x14ac:dyDescent="0.25">
      <c r="N127" s="93"/>
      <c r="O127">
        <v>20</v>
      </c>
      <c r="P127">
        <f t="shared" si="24"/>
        <v>127.02</v>
      </c>
      <c r="R127">
        <f t="shared" si="15"/>
        <v>127.02</v>
      </c>
      <c r="S127" s="10">
        <f t="shared" si="25"/>
        <v>285.92</v>
      </c>
      <c r="T127">
        <f t="shared" si="17"/>
        <v>218.548495</v>
      </c>
      <c r="V127" s="1">
        <v>20</v>
      </c>
      <c r="W127">
        <f t="shared" si="18"/>
        <v>1311.29097</v>
      </c>
      <c r="X127">
        <f t="shared" si="18"/>
        <v>1092.742475</v>
      </c>
      <c r="Y127">
        <f t="shared" si="18"/>
        <v>874.19398000000001</v>
      </c>
      <c r="Z127">
        <f t="shared" si="18"/>
        <v>655.64548500000001</v>
      </c>
      <c r="AA127">
        <f t="shared" si="18"/>
        <v>437.09699000000001</v>
      </c>
      <c r="AB127" s="1">
        <f t="shared" si="18"/>
        <v>218.548495</v>
      </c>
      <c r="AC127">
        <f t="shared" si="18"/>
        <v>109.2742475</v>
      </c>
      <c r="AD127">
        <f t="shared" si="18"/>
        <v>72.849498333333329</v>
      </c>
      <c r="AE127">
        <f t="shared" si="19"/>
        <v>54.637123750000001</v>
      </c>
      <c r="AH127" s="1">
        <v>20</v>
      </c>
      <c r="AN127" s="1">
        <v>218.548495</v>
      </c>
    </row>
    <row r="128" spans="2:42" ht="15" x14ac:dyDescent="0.25">
      <c r="N128" s="93"/>
      <c r="O128">
        <v>30</v>
      </c>
      <c r="P128">
        <f t="shared" si="24"/>
        <v>190.53</v>
      </c>
      <c r="R128">
        <f t="shared" si="15"/>
        <v>190.53</v>
      </c>
      <c r="S128" s="10">
        <f t="shared" si="25"/>
        <v>428.88</v>
      </c>
      <c r="T128">
        <f t="shared" si="17"/>
        <v>327.8227425</v>
      </c>
      <c r="V128" s="1">
        <v>30</v>
      </c>
      <c r="W128">
        <f t="shared" si="18"/>
        <v>1966.936455</v>
      </c>
      <c r="X128">
        <f t="shared" si="18"/>
        <v>1639.1137125</v>
      </c>
      <c r="Y128">
        <f t="shared" si="18"/>
        <v>1311.29097</v>
      </c>
      <c r="Z128">
        <f t="shared" si="18"/>
        <v>983.46822750000001</v>
      </c>
      <c r="AA128">
        <f t="shared" si="18"/>
        <v>655.64548500000001</v>
      </c>
      <c r="AB128" s="1">
        <f t="shared" si="18"/>
        <v>327.8227425</v>
      </c>
      <c r="AC128">
        <f t="shared" si="18"/>
        <v>163.91137125</v>
      </c>
      <c r="AD128">
        <f t="shared" si="18"/>
        <v>109.2742475</v>
      </c>
      <c r="AE128">
        <f t="shared" si="19"/>
        <v>81.955685625000001</v>
      </c>
      <c r="AH128" s="1"/>
      <c r="AN128" s="1"/>
    </row>
    <row r="129" spans="14:40" ht="15" x14ac:dyDescent="0.25">
      <c r="N129" s="93"/>
      <c r="O129">
        <v>40</v>
      </c>
      <c r="P129">
        <f t="shared" si="24"/>
        <v>254.04</v>
      </c>
      <c r="R129">
        <f t="shared" si="15"/>
        <v>254.04</v>
      </c>
      <c r="S129" s="10">
        <f t="shared" si="25"/>
        <v>571.84</v>
      </c>
      <c r="T129">
        <f t="shared" si="17"/>
        <v>437.09699000000001</v>
      </c>
      <c r="V129" s="1">
        <v>40</v>
      </c>
      <c r="W129">
        <f t="shared" si="18"/>
        <v>2622.58194</v>
      </c>
      <c r="X129">
        <f t="shared" si="18"/>
        <v>2185.48495</v>
      </c>
      <c r="Y129">
        <f t="shared" si="18"/>
        <v>1748.38796</v>
      </c>
      <c r="Z129">
        <f t="shared" si="18"/>
        <v>1311.29097</v>
      </c>
      <c r="AA129">
        <f t="shared" si="18"/>
        <v>874.19398000000001</v>
      </c>
      <c r="AB129" s="1">
        <f t="shared" si="18"/>
        <v>437.09699000000001</v>
      </c>
      <c r="AC129">
        <f t="shared" si="18"/>
        <v>218.548495</v>
      </c>
      <c r="AD129">
        <f t="shared" si="18"/>
        <v>145.69899666666666</v>
      </c>
      <c r="AE129">
        <f t="shared" si="19"/>
        <v>109.2742475</v>
      </c>
      <c r="AH129" s="1"/>
      <c r="AN129" s="1"/>
    </row>
    <row r="130" spans="14:40" ht="15" x14ac:dyDescent="0.25">
      <c r="N130" s="93"/>
      <c r="O130">
        <v>50</v>
      </c>
      <c r="P130">
        <f t="shared" si="24"/>
        <v>317.55</v>
      </c>
      <c r="R130">
        <f t="shared" si="15"/>
        <v>317.55</v>
      </c>
      <c r="S130" s="10">
        <f t="shared" si="25"/>
        <v>714.80000000000007</v>
      </c>
      <c r="T130">
        <f t="shared" si="17"/>
        <v>546.37123750000012</v>
      </c>
      <c r="V130" s="1">
        <v>50</v>
      </c>
      <c r="W130">
        <f t="shared" si="18"/>
        <v>3278.2274250000009</v>
      </c>
      <c r="X130">
        <f t="shared" si="18"/>
        <v>2731.8561875000005</v>
      </c>
      <c r="Y130">
        <f t="shared" si="18"/>
        <v>2185.4849500000005</v>
      </c>
      <c r="Z130">
        <f t="shared" si="18"/>
        <v>1639.1137125000005</v>
      </c>
      <c r="AA130">
        <f t="shared" si="18"/>
        <v>1092.7424750000002</v>
      </c>
      <c r="AB130" s="1">
        <f t="shared" si="18"/>
        <v>546.37123750000012</v>
      </c>
      <c r="AC130">
        <f t="shared" si="18"/>
        <v>273.18561875000006</v>
      </c>
      <c r="AD130">
        <f t="shared" si="18"/>
        <v>182.12374583333337</v>
      </c>
      <c r="AE130">
        <f t="shared" si="19"/>
        <v>136.59280937500003</v>
      </c>
      <c r="AH130" s="1"/>
      <c r="AN130" s="1"/>
    </row>
    <row r="131" spans="14:40" ht="15" x14ac:dyDescent="0.25">
      <c r="N131" s="93"/>
      <c r="O131">
        <v>60</v>
      </c>
      <c r="P131">
        <f t="shared" si="24"/>
        <v>381.06</v>
      </c>
      <c r="R131">
        <f t="shared" si="15"/>
        <v>381.06</v>
      </c>
      <c r="S131" s="10">
        <f t="shared" si="25"/>
        <v>857.76</v>
      </c>
      <c r="T131">
        <f t="shared" si="17"/>
        <v>655.64548500000001</v>
      </c>
      <c r="V131" s="1">
        <v>60</v>
      </c>
      <c r="W131">
        <f t="shared" si="18"/>
        <v>3933.87291</v>
      </c>
      <c r="X131">
        <f t="shared" si="18"/>
        <v>3278.227425</v>
      </c>
      <c r="Y131">
        <f t="shared" si="18"/>
        <v>2622.58194</v>
      </c>
      <c r="Z131">
        <f t="shared" si="18"/>
        <v>1966.936455</v>
      </c>
      <c r="AA131">
        <f t="shared" si="18"/>
        <v>1311.29097</v>
      </c>
      <c r="AB131" s="1">
        <f t="shared" si="18"/>
        <v>655.64548500000001</v>
      </c>
      <c r="AC131">
        <f t="shared" si="18"/>
        <v>327.8227425</v>
      </c>
      <c r="AD131">
        <f t="shared" si="18"/>
        <v>218.548495</v>
      </c>
      <c r="AE131">
        <f t="shared" si="19"/>
        <v>163.91137125</v>
      </c>
      <c r="AH131" s="1"/>
      <c r="AN131" s="1"/>
    </row>
    <row r="132" spans="14:40" ht="15" x14ac:dyDescent="0.25">
      <c r="N132" s="93"/>
      <c r="O132">
        <v>70</v>
      </c>
      <c r="P132">
        <f t="shared" si="24"/>
        <v>444.57</v>
      </c>
      <c r="R132">
        <f t="shared" si="15"/>
        <v>444.57</v>
      </c>
      <c r="S132" s="10">
        <f t="shared" si="25"/>
        <v>1000.72</v>
      </c>
      <c r="T132">
        <f t="shared" si="17"/>
        <v>764.91973250000001</v>
      </c>
      <c r="V132" s="1">
        <v>70</v>
      </c>
      <c r="W132">
        <f t="shared" si="18"/>
        <v>4589.5183950000001</v>
      </c>
      <c r="X132">
        <f t="shared" si="18"/>
        <v>3824.5986625</v>
      </c>
      <c r="Y132">
        <f t="shared" si="18"/>
        <v>3059.67893</v>
      </c>
      <c r="Z132">
        <f t="shared" si="18"/>
        <v>2294.7591975</v>
      </c>
      <c r="AA132">
        <f t="shared" si="18"/>
        <v>1529.839465</v>
      </c>
      <c r="AB132" s="1">
        <f t="shared" si="18"/>
        <v>764.91973250000001</v>
      </c>
      <c r="AC132">
        <f t="shared" si="18"/>
        <v>382.45986625</v>
      </c>
      <c r="AD132">
        <f t="shared" si="18"/>
        <v>254.97324416666666</v>
      </c>
      <c r="AE132">
        <f t="shared" si="19"/>
        <v>191.229933125</v>
      </c>
      <c r="AH132" s="1"/>
      <c r="AN132" s="1"/>
    </row>
    <row r="133" spans="14:40" ht="15" x14ac:dyDescent="0.25">
      <c r="N133" s="93"/>
      <c r="O133">
        <v>80</v>
      </c>
      <c r="P133">
        <f t="shared" si="24"/>
        <v>508.08</v>
      </c>
      <c r="R133">
        <f t="shared" si="15"/>
        <v>508.08</v>
      </c>
      <c r="S133" s="10">
        <f t="shared" si="25"/>
        <v>1143.68</v>
      </c>
      <c r="T133">
        <f t="shared" si="17"/>
        <v>874.19398000000001</v>
      </c>
      <c r="V133" s="1">
        <v>80</v>
      </c>
      <c r="W133">
        <f t="shared" si="18"/>
        <v>5245.1638800000001</v>
      </c>
      <c r="X133">
        <f t="shared" si="18"/>
        <v>4370.9699000000001</v>
      </c>
      <c r="Y133">
        <f t="shared" si="18"/>
        <v>3496.77592</v>
      </c>
      <c r="Z133">
        <f t="shared" si="18"/>
        <v>2622.58194</v>
      </c>
      <c r="AA133">
        <f t="shared" si="18"/>
        <v>1748.38796</v>
      </c>
      <c r="AB133" s="1">
        <f t="shared" si="18"/>
        <v>874.19398000000001</v>
      </c>
      <c r="AC133">
        <f t="shared" si="18"/>
        <v>437.09699000000001</v>
      </c>
      <c r="AD133">
        <f t="shared" si="18"/>
        <v>291.39799333333332</v>
      </c>
      <c r="AE133">
        <f t="shared" si="19"/>
        <v>218.548495</v>
      </c>
      <c r="AH133" s="1"/>
      <c r="AN133" s="1"/>
    </row>
    <row r="134" spans="14:40" ht="15" x14ac:dyDescent="0.25">
      <c r="N134" s="93">
        <v>30</v>
      </c>
      <c r="O134">
        <v>5</v>
      </c>
      <c r="P134">
        <f t="shared" ref="P134:P142" si="26">AC87</f>
        <v>26.37</v>
      </c>
      <c r="R134">
        <f t="shared" si="15"/>
        <v>26.37</v>
      </c>
      <c r="S134" s="10">
        <f>O134*1.6*($P$89+$U$86)</f>
        <v>141.47195683018867</v>
      </c>
      <c r="T134">
        <f>(R134+S134)*$X$101</f>
        <v>36.883270013433965</v>
      </c>
      <c r="V134" s="1">
        <v>5</v>
      </c>
      <c r="W134">
        <f t="shared" si="18"/>
        <v>221.2996200806038</v>
      </c>
      <c r="X134">
        <f t="shared" si="18"/>
        <v>184.41635006716982</v>
      </c>
      <c r="Y134">
        <f t="shared" si="18"/>
        <v>147.53308005373586</v>
      </c>
      <c r="Z134">
        <f t="shared" si="18"/>
        <v>110.6498100403019</v>
      </c>
      <c r="AA134">
        <f t="shared" si="18"/>
        <v>73.766540026867929</v>
      </c>
      <c r="AB134" s="1">
        <f t="shared" si="18"/>
        <v>36.883270013433965</v>
      </c>
      <c r="AC134">
        <f t="shared" si="18"/>
        <v>18.441635006716982</v>
      </c>
      <c r="AD134">
        <f t="shared" si="18"/>
        <v>12.29442333781132</v>
      </c>
      <c r="AE134">
        <f t="shared" si="19"/>
        <v>9.2208175033584912</v>
      </c>
      <c r="AH134" s="1"/>
      <c r="AN134" s="1"/>
    </row>
    <row r="135" spans="14:40" ht="15" x14ac:dyDescent="0.25">
      <c r="N135" s="93"/>
      <c r="O135">
        <v>10</v>
      </c>
      <c r="P135">
        <f t="shared" si="26"/>
        <v>52.74</v>
      </c>
      <c r="R135">
        <f t="shared" si="15"/>
        <v>52.74</v>
      </c>
      <c r="S135" s="10">
        <f t="shared" ref="S135:S142" si="27">O135*1.6*($P$89+$U$86)</f>
        <v>282.94391366037735</v>
      </c>
      <c r="T135">
        <f t="shared" ref="T135:T169" si="28">(R135+S135)*$X$101</f>
        <v>73.766540026867929</v>
      </c>
      <c r="V135" s="1">
        <v>10</v>
      </c>
      <c r="W135">
        <f t="shared" si="18"/>
        <v>442.5992401612076</v>
      </c>
      <c r="X135">
        <f t="shared" si="18"/>
        <v>368.83270013433963</v>
      </c>
      <c r="Y135">
        <f t="shared" si="18"/>
        <v>295.06616010747172</v>
      </c>
      <c r="Z135">
        <f t="shared" si="18"/>
        <v>221.2996200806038</v>
      </c>
      <c r="AA135">
        <f t="shared" si="18"/>
        <v>147.53308005373586</v>
      </c>
      <c r="AB135" s="1">
        <f t="shared" si="18"/>
        <v>73.766540026867929</v>
      </c>
      <c r="AC135">
        <f t="shared" si="18"/>
        <v>36.883270013433965</v>
      </c>
      <c r="AD135">
        <f t="shared" si="18"/>
        <v>24.588846675622641</v>
      </c>
      <c r="AE135">
        <f t="shared" si="19"/>
        <v>18.441635006716982</v>
      </c>
      <c r="AH135" s="1"/>
      <c r="AN135" s="1"/>
    </row>
    <row r="136" spans="14:40" ht="15" x14ac:dyDescent="0.25">
      <c r="N136" s="93"/>
      <c r="O136">
        <v>20</v>
      </c>
      <c r="P136">
        <f t="shared" si="26"/>
        <v>105.48</v>
      </c>
      <c r="R136">
        <f t="shared" si="15"/>
        <v>105.48</v>
      </c>
      <c r="S136" s="10">
        <f t="shared" si="27"/>
        <v>565.8878273207547</v>
      </c>
      <c r="T136">
        <f t="shared" si="28"/>
        <v>147.53308005373586</v>
      </c>
      <c r="V136" s="1">
        <v>20</v>
      </c>
      <c r="W136">
        <f t="shared" si="18"/>
        <v>885.19848032241521</v>
      </c>
      <c r="X136">
        <f t="shared" si="18"/>
        <v>737.66540026867926</v>
      </c>
      <c r="Y136">
        <f t="shared" si="18"/>
        <v>590.13232021494343</v>
      </c>
      <c r="Z136">
        <f t="shared" si="18"/>
        <v>442.5992401612076</v>
      </c>
      <c r="AA136">
        <f t="shared" si="18"/>
        <v>295.06616010747172</v>
      </c>
      <c r="AB136" s="1">
        <f t="shared" si="18"/>
        <v>147.53308005373586</v>
      </c>
      <c r="AC136">
        <f t="shared" si="18"/>
        <v>73.766540026867929</v>
      </c>
      <c r="AD136">
        <f t="shared" si="18"/>
        <v>49.177693351245281</v>
      </c>
      <c r="AE136">
        <f t="shared" si="19"/>
        <v>36.883270013433965</v>
      </c>
      <c r="AH136" s="1">
        <v>20</v>
      </c>
      <c r="AN136" s="1">
        <v>147.53308005373586</v>
      </c>
    </row>
    <row r="137" spans="14:40" ht="15" x14ac:dyDescent="0.25">
      <c r="N137" s="93"/>
      <c r="O137">
        <v>30</v>
      </c>
      <c r="P137">
        <f t="shared" si="26"/>
        <v>158.22</v>
      </c>
      <c r="R137">
        <f t="shared" si="15"/>
        <v>158.22</v>
      </c>
      <c r="S137" s="10">
        <f t="shared" si="27"/>
        <v>848.83174098113204</v>
      </c>
      <c r="T137">
        <f t="shared" si="28"/>
        <v>221.29962008060377</v>
      </c>
      <c r="V137" s="1">
        <v>30</v>
      </c>
      <c r="W137">
        <f t="shared" si="18"/>
        <v>1327.7977204836227</v>
      </c>
      <c r="X137">
        <f t="shared" si="18"/>
        <v>1106.498100403019</v>
      </c>
      <c r="Y137">
        <f t="shared" si="18"/>
        <v>885.19848032241509</v>
      </c>
      <c r="Z137">
        <f t="shared" si="18"/>
        <v>663.89886024181135</v>
      </c>
      <c r="AA137">
        <f t="shared" si="18"/>
        <v>442.59924016120755</v>
      </c>
      <c r="AB137" s="1">
        <f t="shared" si="18"/>
        <v>221.29962008060377</v>
      </c>
      <c r="AC137">
        <f t="shared" si="18"/>
        <v>110.64981004030189</v>
      </c>
      <c r="AD137">
        <f t="shared" si="18"/>
        <v>73.766540026867915</v>
      </c>
      <c r="AE137">
        <f t="shared" si="19"/>
        <v>55.324905020150943</v>
      </c>
      <c r="AH137" s="1"/>
      <c r="AN137" s="1"/>
    </row>
    <row r="138" spans="14:40" ht="15" x14ac:dyDescent="0.25">
      <c r="N138" s="93"/>
      <c r="O138">
        <v>40</v>
      </c>
      <c r="P138">
        <f t="shared" si="26"/>
        <v>210.96</v>
      </c>
      <c r="R138">
        <f t="shared" si="15"/>
        <v>210.96</v>
      </c>
      <c r="S138" s="10">
        <f t="shared" si="27"/>
        <v>1131.7756546415094</v>
      </c>
      <c r="T138">
        <f t="shared" si="28"/>
        <v>295.06616010747172</v>
      </c>
      <c r="V138" s="1">
        <v>40</v>
      </c>
      <c r="W138">
        <f t="shared" si="18"/>
        <v>1770.3969606448304</v>
      </c>
      <c r="X138">
        <f t="shared" si="18"/>
        <v>1475.3308005373585</v>
      </c>
      <c r="Y138">
        <f t="shared" si="18"/>
        <v>1180.2646404298869</v>
      </c>
      <c r="Z138">
        <f t="shared" si="18"/>
        <v>885.19848032241521</v>
      </c>
      <c r="AA138">
        <f t="shared" si="18"/>
        <v>590.13232021494343</v>
      </c>
      <c r="AB138" s="1">
        <f t="shared" si="18"/>
        <v>295.06616010747172</v>
      </c>
      <c r="AC138">
        <f t="shared" si="18"/>
        <v>147.53308005373586</v>
      </c>
      <c r="AD138">
        <f t="shared" si="18"/>
        <v>98.355386702490563</v>
      </c>
      <c r="AE138">
        <f t="shared" si="19"/>
        <v>73.766540026867929</v>
      </c>
      <c r="AH138" s="1"/>
      <c r="AN138" s="1"/>
    </row>
    <row r="139" spans="14:40" ht="15" x14ac:dyDescent="0.25">
      <c r="N139" s="93"/>
      <c r="O139">
        <v>50</v>
      </c>
      <c r="P139">
        <f t="shared" si="26"/>
        <v>263.7</v>
      </c>
      <c r="R139">
        <f t="shared" si="15"/>
        <v>263.7</v>
      </c>
      <c r="S139" s="10">
        <f t="shared" si="27"/>
        <v>1414.7195683018867</v>
      </c>
      <c r="T139">
        <f t="shared" si="28"/>
        <v>368.83270013433963</v>
      </c>
      <c r="V139" s="1">
        <v>50</v>
      </c>
      <c r="W139">
        <f t="shared" si="18"/>
        <v>2212.9962008060379</v>
      </c>
      <c r="X139">
        <f t="shared" si="18"/>
        <v>1844.1635006716981</v>
      </c>
      <c r="Y139">
        <f t="shared" si="18"/>
        <v>1475.3308005373585</v>
      </c>
      <c r="Z139">
        <f t="shared" si="18"/>
        <v>1106.498100403019</v>
      </c>
      <c r="AA139">
        <f t="shared" si="18"/>
        <v>737.66540026867926</v>
      </c>
      <c r="AB139" s="1">
        <f t="shared" si="18"/>
        <v>368.83270013433963</v>
      </c>
      <c r="AC139">
        <f t="shared" si="18"/>
        <v>184.41635006716982</v>
      </c>
      <c r="AD139">
        <f t="shared" si="18"/>
        <v>122.94423337811321</v>
      </c>
      <c r="AE139">
        <f t="shared" si="19"/>
        <v>92.208175033584908</v>
      </c>
      <c r="AH139" s="1"/>
      <c r="AN139" s="1"/>
    </row>
    <row r="140" spans="14:40" ht="15" x14ac:dyDescent="0.25">
      <c r="N140" s="93"/>
      <c r="O140">
        <v>60</v>
      </c>
      <c r="P140">
        <f t="shared" si="26"/>
        <v>316.44</v>
      </c>
      <c r="R140">
        <f t="shared" si="15"/>
        <v>316.44</v>
      </c>
      <c r="S140" s="10">
        <f t="shared" si="27"/>
        <v>1697.6634819622641</v>
      </c>
      <c r="T140">
        <f t="shared" si="28"/>
        <v>442.59924016120755</v>
      </c>
      <c r="V140" s="1">
        <v>60</v>
      </c>
      <c r="W140">
        <f t="shared" ref="W140:AD171" si="29">$T140*W$106</f>
        <v>2655.5954409672454</v>
      </c>
      <c r="X140">
        <f t="shared" si="29"/>
        <v>2212.9962008060379</v>
      </c>
      <c r="Y140">
        <f t="shared" si="29"/>
        <v>1770.3969606448302</v>
      </c>
      <c r="Z140">
        <f t="shared" si="29"/>
        <v>1327.7977204836227</v>
      </c>
      <c r="AA140">
        <f t="shared" si="29"/>
        <v>885.19848032241509</v>
      </c>
      <c r="AB140" s="1">
        <f t="shared" si="29"/>
        <v>442.59924016120755</v>
      </c>
      <c r="AC140">
        <f t="shared" si="29"/>
        <v>221.29962008060377</v>
      </c>
      <c r="AD140">
        <f t="shared" si="29"/>
        <v>147.53308005373583</v>
      </c>
      <c r="AE140">
        <f t="shared" ref="AE140:AE171" si="30">$T140*AE$106</f>
        <v>110.64981004030189</v>
      </c>
      <c r="AH140" s="1"/>
      <c r="AN140" s="1"/>
    </row>
    <row r="141" spans="14:40" ht="15" x14ac:dyDescent="0.25">
      <c r="N141" s="93"/>
      <c r="O141">
        <v>70</v>
      </c>
      <c r="P141">
        <f t="shared" si="26"/>
        <v>369.18</v>
      </c>
      <c r="R141">
        <f t="shared" si="15"/>
        <v>369.18</v>
      </c>
      <c r="S141" s="10">
        <f t="shared" si="27"/>
        <v>1980.6073956226414</v>
      </c>
      <c r="T141">
        <f t="shared" si="28"/>
        <v>516.36578018807541</v>
      </c>
      <c r="V141" s="1">
        <v>70</v>
      </c>
      <c r="W141">
        <f t="shared" si="29"/>
        <v>3098.1946811284524</v>
      </c>
      <c r="X141">
        <f t="shared" si="29"/>
        <v>2581.828900940377</v>
      </c>
      <c r="Y141">
        <f t="shared" si="29"/>
        <v>2065.4631207523016</v>
      </c>
      <c r="Z141">
        <f t="shared" si="29"/>
        <v>1549.0973405642262</v>
      </c>
      <c r="AA141">
        <f t="shared" si="29"/>
        <v>1032.7315603761508</v>
      </c>
      <c r="AB141" s="1">
        <f t="shared" si="29"/>
        <v>516.36578018807541</v>
      </c>
      <c r="AC141">
        <f t="shared" si="29"/>
        <v>258.1828900940377</v>
      </c>
      <c r="AD141">
        <f t="shared" si="29"/>
        <v>172.12192672935845</v>
      </c>
      <c r="AE141">
        <f t="shared" si="30"/>
        <v>129.09144504701885</v>
      </c>
      <c r="AH141" s="1"/>
      <c r="AN141" s="1"/>
    </row>
    <row r="142" spans="14:40" ht="15" x14ac:dyDescent="0.25">
      <c r="N142" s="93"/>
      <c r="O142">
        <v>80</v>
      </c>
      <c r="P142">
        <f t="shared" si="26"/>
        <v>421.92</v>
      </c>
      <c r="R142">
        <f t="shared" si="15"/>
        <v>421.92</v>
      </c>
      <c r="S142" s="10">
        <f t="shared" si="27"/>
        <v>2263.5513092830188</v>
      </c>
      <c r="T142">
        <f t="shared" si="28"/>
        <v>590.13232021494343</v>
      </c>
      <c r="V142" s="1">
        <v>80</v>
      </c>
      <c r="W142">
        <f t="shared" si="29"/>
        <v>3540.7939212896608</v>
      </c>
      <c r="X142">
        <f t="shared" si="29"/>
        <v>2950.6616010747171</v>
      </c>
      <c r="Y142">
        <f t="shared" si="29"/>
        <v>2360.5292808597737</v>
      </c>
      <c r="Z142">
        <f t="shared" si="29"/>
        <v>1770.3969606448304</v>
      </c>
      <c r="AA142">
        <f t="shared" si="29"/>
        <v>1180.2646404298869</v>
      </c>
      <c r="AB142" s="1">
        <f t="shared" si="29"/>
        <v>590.13232021494343</v>
      </c>
      <c r="AC142">
        <f t="shared" si="29"/>
        <v>295.06616010747172</v>
      </c>
      <c r="AD142">
        <f t="shared" si="29"/>
        <v>196.71077340498113</v>
      </c>
      <c r="AE142">
        <f t="shared" si="30"/>
        <v>147.53308005373586</v>
      </c>
      <c r="AH142" s="1"/>
      <c r="AN142" s="1"/>
    </row>
    <row r="143" spans="14:40" ht="15" x14ac:dyDescent="0.25">
      <c r="N143" s="93">
        <v>50</v>
      </c>
      <c r="O143">
        <v>5</v>
      </c>
      <c r="P143">
        <f t="shared" ref="P143:P151" si="31">AC87</f>
        <v>26.37</v>
      </c>
      <c r="R143">
        <f t="shared" si="15"/>
        <v>26.37</v>
      </c>
      <c r="S143" s="10">
        <f>O143*1.6*($P$90+$U$86)</f>
        <v>155.72189578867926</v>
      </c>
      <c r="T143">
        <f t="shared" si="28"/>
        <v>40.01469409956227</v>
      </c>
      <c r="V143" s="1">
        <v>5</v>
      </c>
      <c r="W143">
        <f t="shared" si="29"/>
        <v>240.08816459737363</v>
      </c>
      <c r="X143">
        <f t="shared" si="29"/>
        <v>200.07347049781134</v>
      </c>
      <c r="Y143">
        <f t="shared" si="29"/>
        <v>160.05877639824908</v>
      </c>
      <c r="Z143">
        <f t="shared" si="29"/>
        <v>120.04408229868682</v>
      </c>
      <c r="AA143">
        <f t="shared" si="29"/>
        <v>80.02938819912454</v>
      </c>
      <c r="AB143" s="1">
        <f t="shared" si="29"/>
        <v>40.01469409956227</v>
      </c>
      <c r="AC143">
        <f t="shared" si="29"/>
        <v>20.007347049781135</v>
      </c>
      <c r="AD143">
        <f t="shared" si="29"/>
        <v>13.338231366520755</v>
      </c>
      <c r="AE143">
        <f t="shared" si="30"/>
        <v>10.003673524890567</v>
      </c>
      <c r="AH143" s="1"/>
      <c r="AN143" s="1"/>
    </row>
    <row r="144" spans="14:40" ht="15" x14ac:dyDescent="0.25">
      <c r="N144" s="93"/>
      <c r="O144">
        <v>10</v>
      </c>
      <c r="P144">
        <f t="shared" si="31"/>
        <v>52.74</v>
      </c>
      <c r="R144">
        <f t="shared" si="15"/>
        <v>52.74</v>
      </c>
      <c r="S144" s="10">
        <f t="shared" ref="S144:S151" si="32">O144*1.6*($P$90+$U$86)</f>
        <v>311.44379157735852</v>
      </c>
      <c r="T144">
        <f t="shared" si="28"/>
        <v>80.02938819912454</v>
      </c>
      <c r="V144" s="1">
        <v>10</v>
      </c>
      <c r="W144">
        <f t="shared" si="29"/>
        <v>480.17632919474727</v>
      </c>
      <c r="X144">
        <f t="shared" si="29"/>
        <v>400.14694099562269</v>
      </c>
      <c r="Y144">
        <f t="shared" si="29"/>
        <v>320.11755279649816</v>
      </c>
      <c r="Z144">
        <f t="shared" si="29"/>
        <v>240.08816459737363</v>
      </c>
      <c r="AA144">
        <f t="shared" si="29"/>
        <v>160.05877639824908</v>
      </c>
      <c r="AB144" s="1">
        <f t="shared" si="29"/>
        <v>80.02938819912454</v>
      </c>
      <c r="AC144">
        <f t="shared" si="29"/>
        <v>40.01469409956227</v>
      </c>
      <c r="AD144">
        <f t="shared" si="29"/>
        <v>26.676462733041511</v>
      </c>
      <c r="AE144">
        <f t="shared" si="30"/>
        <v>20.007347049781135</v>
      </c>
      <c r="AH144" s="1"/>
      <c r="AN144" s="1"/>
    </row>
    <row r="145" spans="14:40" ht="15" x14ac:dyDescent="0.25">
      <c r="N145" s="93"/>
      <c r="O145">
        <v>20</v>
      </c>
      <c r="P145">
        <f t="shared" si="31"/>
        <v>105.48</v>
      </c>
      <c r="R145">
        <f t="shared" si="15"/>
        <v>105.48</v>
      </c>
      <c r="S145" s="10">
        <f t="shared" si="32"/>
        <v>622.88758315471705</v>
      </c>
      <c r="T145">
        <f t="shared" si="28"/>
        <v>160.05877639824908</v>
      </c>
      <c r="V145" s="1">
        <v>20</v>
      </c>
      <c r="W145">
        <f t="shared" si="29"/>
        <v>960.35265838949454</v>
      </c>
      <c r="X145">
        <f t="shared" si="29"/>
        <v>800.29388199124537</v>
      </c>
      <c r="Y145">
        <f t="shared" si="29"/>
        <v>640.23510559299632</v>
      </c>
      <c r="Z145">
        <f t="shared" si="29"/>
        <v>480.17632919474727</v>
      </c>
      <c r="AA145">
        <f t="shared" si="29"/>
        <v>320.11755279649816</v>
      </c>
      <c r="AB145" s="1">
        <f t="shared" si="29"/>
        <v>160.05877639824908</v>
      </c>
      <c r="AC145">
        <f t="shared" si="29"/>
        <v>80.02938819912454</v>
      </c>
      <c r="AD145">
        <f t="shared" si="29"/>
        <v>53.352925466083022</v>
      </c>
      <c r="AE145">
        <f t="shared" si="30"/>
        <v>40.01469409956227</v>
      </c>
      <c r="AH145" s="1">
        <v>20</v>
      </c>
      <c r="AN145" s="1">
        <v>160.05877639824908</v>
      </c>
    </row>
    <row r="146" spans="14:40" ht="15" x14ac:dyDescent="0.25">
      <c r="N146" s="93"/>
      <c r="O146">
        <v>30</v>
      </c>
      <c r="P146">
        <f t="shared" si="31"/>
        <v>158.22</v>
      </c>
      <c r="R146">
        <f t="shared" si="15"/>
        <v>158.22</v>
      </c>
      <c r="S146" s="10">
        <f t="shared" si="32"/>
        <v>934.33137473207557</v>
      </c>
      <c r="T146">
        <f t="shared" si="28"/>
        <v>240.08816459737361</v>
      </c>
      <c r="V146" s="1">
        <v>30</v>
      </c>
      <c r="W146">
        <f t="shared" si="29"/>
        <v>1440.5289875842416</v>
      </c>
      <c r="X146">
        <f t="shared" si="29"/>
        <v>1200.4408229868679</v>
      </c>
      <c r="Y146">
        <f t="shared" si="29"/>
        <v>960.35265838949442</v>
      </c>
      <c r="Z146">
        <f t="shared" si="29"/>
        <v>720.26449379212079</v>
      </c>
      <c r="AA146">
        <f t="shared" si="29"/>
        <v>480.17632919474721</v>
      </c>
      <c r="AB146" s="1">
        <f t="shared" si="29"/>
        <v>240.08816459737361</v>
      </c>
      <c r="AC146">
        <f t="shared" si="29"/>
        <v>120.0440822986868</v>
      </c>
      <c r="AD146">
        <f t="shared" si="29"/>
        <v>80.029388199124526</v>
      </c>
      <c r="AE146">
        <f t="shared" si="30"/>
        <v>60.022041149343401</v>
      </c>
      <c r="AH146" s="1"/>
      <c r="AN146" s="1"/>
    </row>
    <row r="147" spans="14:40" ht="15" x14ac:dyDescent="0.25">
      <c r="N147" s="93"/>
      <c r="O147">
        <v>40</v>
      </c>
      <c r="P147">
        <f t="shared" si="31"/>
        <v>210.96</v>
      </c>
      <c r="R147">
        <f t="shared" si="15"/>
        <v>210.96</v>
      </c>
      <c r="S147" s="10">
        <f t="shared" si="32"/>
        <v>1245.7751663094341</v>
      </c>
      <c r="T147">
        <f t="shared" si="28"/>
        <v>320.11755279649816</v>
      </c>
      <c r="V147" s="1">
        <v>40</v>
      </c>
      <c r="W147">
        <f t="shared" si="29"/>
        <v>1920.7053167789891</v>
      </c>
      <c r="X147">
        <f t="shared" si="29"/>
        <v>1600.5877639824907</v>
      </c>
      <c r="Y147">
        <f t="shared" si="29"/>
        <v>1280.4702111859926</v>
      </c>
      <c r="Z147">
        <f t="shared" si="29"/>
        <v>960.35265838949454</v>
      </c>
      <c r="AA147">
        <f t="shared" si="29"/>
        <v>640.23510559299632</v>
      </c>
      <c r="AB147" s="1">
        <f t="shared" si="29"/>
        <v>320.11755279649816</v>
      </c>
      <c r="AC147">
        <f t="shared" si="29"/>
        <v>160.05877639824908</v>
      </c>
      <c r="AD147">
        <f t="shared" si="29"/>
        <v>106.70585093216604</v>
      </c>
      <c r="AE147">
        <f t="shared" si="30"/>
        <v>80.02938819912454</v>
      </c>
      <c r="AH147" s="1"/>
      <c r="AN147" s="1"/>
    </row>
    <row r="148" spans="14:40" ht="15" x14ac:dyDescent="0.25">
      <c r="N148" s="93"/>
      <c r="O148">
        <v>50</v>
      </c>
      <c r="P148">
        <f t="shared" si="31"/>
        <v>263.7</v>
      </c>
      <c r="R148">
        <f t="shared" si="15"/>
        <v>263.7</v>
      </c>
      <c r="S148" s="10">
        <f t="shared" si="32"/>
        <v>1557.2189578867926</v>
      </c>
      <c r="T148">
        <f t="shared" si="28"/>
        <v>400.14694099562269</v>
      </c>
      <c r="V148" s="1">
        <v>50</v>
      </c>
      <c r="W148">
        <f t="shared" si="29"/>
        <v>2400.8816459737363</v>
      </c>
      <c r="X148">
        <f t="shared" si="29"/>
        <v>2000.7347049781133</v>
      </c>
      <c r="Y148">
        <f t="shared" si="29"/>
        <v>1600.5877639824907</v>
      </c>
      <c r="Z148">
        <f t="shared" si="29"/>
        <v>1200.4408229868682</v>
      </c>
      <c r="AA148">
        <f t="shared" si="29"/>
        <v>800.29388199124537</v>
      </c>
      <c r="AB148" s="1">
        <f t="shared" si="29"/>
        <v>400.14694099562269</v>
      </c>
      <c r="AC148">
        <f t="shared" si="29"/>
        <v>200.07347049781134</v>
      </c>
      <c r="AD148">
        <f t="shared" si="29"/>
        <v>133.38231366520756</v>
      </c>
      <c r="AE148">
        <f t="shared" si="30"/>
        <v>100.03673524890567</v>
      </c>
      <c r="AH148" s="1"/>
      <c r="AN148" s="1"/>
    </row>
    <row r="149" spans="14:40" ht="15" x14ac:dyDescent="0.25">
      <c r="N149" s="93"/>
      <c r="O149">
        <v>60</v>
      </c>
      <c r="P149">
        <f t="shared" si="31"/>
        <v>316.44</v>
      </c>
      <c r="R149">
        <f t="shared" si="15"/>
        <v>316.44</v>
      </c>
      <c r="S149" s="10">
        <f t="shared" si="32"/>
        <v>1868.6627494641511</v>
      </c>
      <c r="T149">
        <f t="shared" si="28"/>
        <v>480.17632919474721</v>
      </c>
      <c r="V149" s="1">
        <v>60</v>
      </c>
      <c r="W149">
        <f t="shared" si="29"/>
        <v>2881.0579751684832</v>
      </c>
      <c r="X149">
        <f t="shared" si="29"/>
        <v>2400.8816459737359</v>
      </c>
      <c r="Y149">
        <f t="shared" si="29"/>
        <v>1920.7053167789888</v>
      </c>
      <c r="Z149">
        <f t="shared" si="29"/>
        <v>1440.5289875842416</v>
      </c>
      <c r="AA149">
        <f t="shared" si="29"/>
        <v>960.35265838949442</v>
      </c>
      <c r="AB149" s="1">
        <f t="shared" si="29"/>
        <v>480.17632919474721</v>
      </c>
      <c r="AC149">
        <f t="shared" si="29"/>
        <v>240.08816459737361</v>
      </c>
      <c r="AD149">
        <f t="shared" si="29"/>
        <v>160.05877639824905</v>
      </c>
      <c r="AE149">
        <f t="shared" si="30"/>
        <v>120.0440822986868</v>
      </c>
      <c r="AH149" s="1"/>
      <c r="AN149" s="1"/>
    </row>
    <row r="150" spans="14:40" ht="15" x14ac:dyDescent="0.25">
      <c r="N150" s="93"/>
      <c r="O150">
        <v>70</v>
      </c>
      <c r="P150">
        <f t="shared" si="31"/>
        <v>369.18</v>
      </c>
      <c r="R150">
        <f t="shared" si="15"/>
        <v>369.18</v>
      </c>
      <c r="S150" s="10">
        <f t="shared" si="32"/>
        <v>2180.1065410415094</v>
      </c>
      <c r="T150">
        <f t="shared" si="28"/>
        <v>560.20571739387162</v>
      </c>
      <c r="V150" s="1">
        <v>70</v>
      </c>
      <c r="W150">
        <f t="shared" si="29"/>
        <v>3361.23430436323</v>
      </c>
      <c r="X150">
        <f t="shared" si="29"/>
        <v>2801.028586969358</v>
      </c>
      <c r="Y150">
        <f t="shared" si="29"/>
        <v>2240.8228695754865</v>
      </c>
      <c r="Z150">
        <f t="shared" si="29"/>
        <v>1680.617152181615</v>
      </c>
      <c r="AA150">
        <f t="shared" si="29"/>
        <v>1120.4114347877432</v>
      </c>
      <c r="AB150" s="1">
        <f t="shared" si="29"/>
        <v>560.20571739387162</v>
      </c>
      <c r="AC150">
        <f t="shared" si="29"/>
        <v>280.10285869693581</v>
      </c>
      <c r="AD150">
        <f t="shared" si="29"/>
        <v>186.73523913129054</v>
      </c>
      <c r="AE150">
        <f t="shared" si="30"/>
        <v>140.05142934846791</v>
      </c>
      <c r="AH150" s="1"/>
      <c r="AN150" s="1"/>
    </row>
    <row r="151" spans="14:40" ht="15" x14ac:dyDescent="0.25">
      <c r="N151" s="93"/>
      <c r="O151">
        <v>80</v>
      </c>
      <c r="P151">
        <f t="shared" si="31"/>
        <v>421.92</v>
      </c>
      <c r="R151">
        <f t="shared" si="15"/>
        <v>421.92</v>
      </c>
      <c r="S151" s="10">
        <f t="shared" si="32"/>
        <v>2491.5503326188682</v>
      </c>
      <c r="T151">
        <f t="shared" si="28"/>
        <v>640.23510559299632</v>
      </c>
      <c r="V151" s="1">
        <v>80</v>
      </c>
      <c r="W151">
        <f t="shared" si="29"/>
        <v>3841.4106335579781</v>
      </c>
      <c r="X151">
        <f t="shared" si="29"/>
        <v>3201.1755279649815</v>
      </c>
      <c r="Y151">
        <f t="shared" si="29"/>
        <v>2560.9404223719853</v>
      </c>
      <c r="Z151">
        <f t="shared" si="29"/>
        <v>1920.7053167789891</v>
      </c>
      <c r="AA151">
        <f t="shared" si="29"/>
        <v>1280.4702111859926</v>
      </c>
      <c r="AB151" s="1">
        <f t="shared" si="29"/>
        <v>640.23510559299632</v>
      </c>
      <c r="AC151">
        <f t="shared" si="29"/>
        <v>320.11755279649816</v>
      </c>
      <c r="AD151">
        <f t="shared" si="29"/>
        <v>213.41170186433209</v>
      </c>
      <c r="AE151">
        <f t="shared" si="30"/>
        <v>160.05877639824908</v>
      </c>
      <c r="AH151" s="1"/>
      <c r="AN151" s="1"/>
    </row>
    <row r="152" spans="14:40" ht="15" x14ac:dyDescent="0.25">
      <c r="N152" s="93">
        <v>75</v>
      </c>
      <c r="O152">
        <v>5</v>
      </c>
      <c r="P152">
        <f t="shared" ref="P152:P160" si="33">AC87</f>
        <v>26.37</v>
      </c>
      <c r="R152">
        <f t="shared" si="15"/>
        <v>26.37</v>
      </c>
      <c r="S152" s="10">
        <f>O152*1.6*($P$91+$U$86)</f>
        <v>159.54170434936321</v>
      </c>
      <c r="T152">
        <f t="shared" si="28"/>
        <v>40.854097030772564</v>
      </c>
      <c r="V152" s="1">
        <v>5</v>
      </c>
      <c r="W152">
        <f t="shared" si="29"/>
        <v>245.12458218463539</v>
      </c>
      <c r="X152">
        <f t="shared" si="29"/>
        <v>204.27048515386281</v>
      </c>
      <c r="Y152">
        <f t="shared" si="29"/>
        <v>163.41638812309026</v>
      </c>
      <c r="Z152">
        <f t="shared" si="29"/>
        <v>122.56229109231769</v>
      </c>
      <c r="AA152" s="1">
        <f t="shared" si="29"/>
        <v>81.708194061545129</v>
      </c>
      <c r="AB152">
        <f t="shared" si="29"/>
        <v>40.854097030772564</v>
      </c>
      <c r="AC152">
        <f t="shared" si="29"/>
        <v>20.427048515386282</v>
      </c>
      <c r="AD152">
        <f t="shared" si="29"/>
        <v>13.618032343590855</v>
      </c>
      <c r="AE152">
        <f t="shared" si="30"/>
        <v>10.213524257693141</v>
      </c>
      <c r="AH152" s="1"/>
      <c r="AM152" s="1"/>
      <c r="AN152"/>
    </row>
    <row r="153" spans="14:40" ht="15" x14ac:dyDescent="0.25">
      <c r="N153" s="93"/>
      <c r="O153">
        <v>10</v>
      </c>
      <c r="P153">
        <f t="shared" si="33"/>
        <v>52.74</v>
      </c>
      <c r="R153">
        <f t="shared" si="15"/>
        <v>52.74</v>
      </c>
      <c r="S153" s="10">
        <f t="shared" ref="S153:S160" si="34">O153*1.6*($P$91+$U$86)</f>
        <v>319.08340869872643</v>
      </c>
      <c r="T153">
        <f t="shared" si="28"/>
        <v>81.708194061545129</v>
      </c>
      <c r="V153" s="1">
        <v>10</v>
      </c>
      <c r="W153">
        <f t="shared" si="29"/>
        <v>490.24916436927077</v>
      </c>
      <c r="X153">
        <f t="shared" si="29"/>
        <v>408.54097030772562</v>
      </c>
      <c r="Y153">
        <f t="shared" si="29"/>
        <v>326.83277624618052</v>
      </c>
      <c r="Z153">
        <f t="shared" si="29"/>
        <v>245.12458218463539</v>
      </c>
      <c r="AA153" s="1">
        <f t="shared" si="29"/>
        <v>163.41638812309026</v>
      </c>
      <c r="AB153">
        <f t="shared" si="29"/>
        <v>81.708194061545129</v>
      </c>
      <c r="AC153">
        <f t="shared" si="29"/>
        <v>40.854097030772564</v>
      </c>
      <c r="AD153">
        <f t="shared" si="29"/>
        <v>27.23606468718171</v>
      </c>
      <c r="AE153">
        <f t="shared" si="30"/>
        <v>20.427048515386282</v>
      </c>
      <c r="AH153" s="1"/>
      <c r="AM153" s="1"/>
      <c r="AN153"/>
    </row>
    <row r="154" spans="14:40" ht="15" x14ac:dyDescent="0.25">
      <c r="N154" s="93"/>
      <c r="O154">
        <v>20</v>
      </c>
      <c r="P154">
        <f t="shared" si="33"/>
        <v>105.48</v>
      </c>
      <c r="R154">
        <f t="shared" si="15"/>
        <v>105.48</v>
      </c>
      <c r="S154" s="10">
        <f t="shared" si="34"/>
        <v>638.16681739745286</v>
      </c>
      <c r="T154">
        <f t="shared" si="28"/>
        <v>163.41638812309026</v>
      </c>
      <c r="V154" s="1">
        <v>20</v>
      </c>
      <c r="W154">
        <f t="shared" si="29"/>
        <v>980.49832873854155</v>
      </c>
      <c r="X154">
        <f t="shared" si="29"/>
        <v>817.08194061545123</v>
      </c>
      <c r="Y154">
        <f t="shared" si="29"/>
        <v>653.66555249236103</v>
      </c>
      <c r="Z154">
        <f t="shared" si="29"/>
        <v>490.24916436927077</v>
      </c>
      <c r="AA154" s="1">
        <f t="shared" si="29"/>
        <v>326.83277624618052</v>
      </c>
      <c r="AB154">
        <f t="shared" si="29"/>
        <v>163.41638812309026</v>
      </c>
      <c r="AC154">
        <f t="shared" si="29"/>
        <v>81.708194061545129</v>
      </c>
      <c r="AD154">
        <f t="shared" si="29"/>
        <v>54.472129374363419</v>
      </c>
      <c r="AE154">
        <f t="shared" si="30"/>
        <v>40.854097030772564</v>
      </c>
      <c r="AH154" s="1">
        <v>20</v>
      </c>
      <c r="AM154" s="1">
        <v>326.83277624618052</v>
      </c>
      <c r="AN154"/>
    </row>
    <row r="155" spans="14:40" ht="15" x14ac:dyDescent="0.25">
      <c r="N155" s="93"/>
      <c r="O155">
        <v>30</v>
      </c>
      <c r="P155">
        <f t="shared" si="33"/>
        <v>158.22</v>
      </c>
      <c r="R155">
        <f t="shared" si="15"/>
        <v>158.22</v>
      </c>
      <c r="S155" s="10">
        <f t="shared" si="34"/>
        <v>957.25022609617929</v>
      </c>
      <c r="T155">
        <f t="shared" si="28"/>
        <v>245.12458218463539</v>
      </c>
      <c r="V155" s="1">
        <v>30</v>
      </c>
      <c r="W155">
        <f t="shared" si="29"/>
        <v>1470.7474931078123</v>
      </c>
      <c r="X155">
        <f t="shared" si="29"/>
        <v>1225.622910923177</v>
      </c>
      <c r="Y155">
        <f t="shared" si="29"/>
        <v>980.49832873854155</v>
      </c>
      <c r="Z155">
        <f t="shared" si="29"/>
        <v>735.37374655390613</v>
      </c>
      <c r="AA155" s="1">
        <f t="shared" si="29"/>
        <v>490.24916436927077</v>
      </c>
      <c r="AB155">
        <f t="shared" si="29"/>
        <v>245.12458218463539</v>
      </c>
      <c r="AC155">
        <f t="shared" si="29"/>
        <v>122.56229109231769</v>
      </c>
      <c r="AD155">
        <f t="shared" si="29"/>
        <v>81.708194061545129</v>
      </c>
      <c r="AE155">
        <f t="shared" si="30"/>
        <v>61.281145546158847</v>
      </c>
      <c r="AH155" s="1"/>
      <c r="AM155" s="1"/>
      <c r="AN155"/>
    </row>
    <row r="156" spans="14:40" ht="15" x14ac:dyDescent="0.25">
      <c r="N156" s="93"/>
      <c r="O156">
        <v>40</v>
      </c>
      <c r="P156">
        <f t="shared" si="33"/>
        <v>210.96</v>
      </c>
      <c r="R156">
        <f t="shared" si="15"/>
        <v>210.96</v>
      </c>
      <c r="S156" s="10">
        <f t="shared" si="34"/>
        <v>1276.3336347949057</v>
      </c>
      <c r="T156">
        <f t="shared" si="28"/>
        <v>326.83277624618052</v>
      </c>
      <c r="V156" s="1">
        <v>40</v>
      </c>
      <c r="W156">
        <f t="shared" si="29"/>
        <v>1960.9966574770831</v>
      </c>
      <c r="X156">
        <f t="shared" si="29"/>
        <v>1634.1638812309025</v>
      </c>
      <c r="Y156">
        <f t="shared" si="29"/>
        <v>1307.3311049847221</v>
      </c>
      <c r="Z156">
        <f t="shared" si="29"/>
        <v>980.49832873854155</v>
      </c>
      <c r="AA156" s="1">
        <f t="shared" si="29"/>
        <v>653.66555249236103</v>
      </c>
      <c r="AB156">
        <f t="shared" si="29"/>
        <v>326.83277624618052</v>
      </c>
      <c r="AC156">
        <f t="shared" si="29"/>
        <v>163.41638812309026</v>
      </c>
      <c r="AD156">
        <f t="shared" si="29"/>
        <v>108.94425874872684</v>
      </c>
      <c r="AE156">
        <f t="shared" si="30"/>
        <v>81.708194061545129</v>
      </c>
      <c r="AH156" s="1"/>
      <c r="AM156" s="1"/>
      <c r="AN156"/>
    </row>
    <row r="157" spans="14:40" ht="15" x14ac:dyDescent="0.25">
      <c r="N157" s="93"/>
      <c r="O157">
        <v>50</v>
      </c>
      <c r="P157">
        <f t="shared" si="33"/>
        <v>263.7</v>
      </c>
      <c r="R157">
        <f t="shared" si="15"/>
        <v>263.7</v>
      </c>
      <c r="S157" s="10">
        <f t="shared" si="34"/>
        <v>1595.4170434936323</v>
      </c>
      <c r="T157">
        <f t="shared" si="28"/>
        <v>408.54097030772573</v>
      </c>
      <c r="V157" s="1">
        <v>50</v>
      </c>
      <c r="W157">
        <f t="shared" si="29"/>
        <v>2451.2458218463544</v>
      </c>
      <c r="X157">
        <f t="shared" si="29"/>
        <v>2042.7048515386286</v>
      </c>
      <c r="Y157">
        <f t="shared" si="29"/>
        <v>1634.1638812309029</v>
      </c>
      <c r="Z157">
        <f t="shared" si="29"/>
        <v>1225.6229109231772</v>
      </c>
      <c r="AA157" s="1">
        <f t="shared" si="29"/>
        <v>817.08194061545146</v>
      </c>
      <c r="AB157">
        <f t="shared" si="29"/>
        <v>408.54097030772573</v>
      </c>
      <c r="AC157">
        <f t="shared" si="29"/>
        <v>204.27048515386286</v>
      </c>
      <c r="AD157">
        <f t="shared" si="29"/>
        <v>136.18032343590858</v>
      </c>
      <c r="AE157">
        <f t="shared" si="30"/>
        <v>102.13524257693143</v>
      </c>
      <c r="AH157" s="1"/>
      <c r="AL157" s="1">
        <v>67.419252199999988</v>
      </c>
      <c r="AM157" s="1"/>
      <c r="AN157"/>
    </row>
    <row r="158" spans="14:40" ht="15" x14ac:dyDescent="0.25">
      <c r="N158" s="93"/>
      <c r="O158">
        <v>60</v>
      </c>
      <c r="P158">
        <f t="shared" si="33"/>
        <v>316.44</v>
      </c>
      <c r="R158">
        <f t="shared" si="15"/>
        <v>316.44</v>
      </c>
      <c r="S158" s="10">
        <f t="shared" si="34"/>
        <v>1914.5004521923586</v>
      </c>
      <c r="T158">
        <f t="shared" si="28"/>
        <v>490.24916436927077</v>
      </c>
      <c r="V158" s="1">
        <v>60</v>
      </c>
      <c r="W158">
        <f t="shared" si="29"/>
        <v>2941.4949862156245</v>
      </c>
      <c r="X158">
        <f t="shared" si="29"/>
        <v>2451.2458218463539</v>
      </c>
      <c r="Y158">
        <f t="shared" si="29"/>
        <v>1960.9966574770831</v>
      </c>
      <c r="Z158">
        <f t="shared" si="29"/>
        <v>1470.7474931078123</v>
      </c>
      <c r="AA158" s="1">
        <f t="shared" si="29"/>
        <v>980.49832873854155</v>
      </c>
      <c r="AB158">
        <f t="shared" si="29"/>
        <v>490.24916436927077</v>
      </c>
      <c r="AC158">
        <f t="shared" si="29"/>
        <v>245.12458218463539</v>
      </c>
      <c r="AD158">
        <f t="shared" si="29"/>
        <v>163.41638812309026</v>
      </c>
      <c r="AE158">
        <f t="shared" si="30"/>
        <v>122.56229109231769</v>
      </c>
      <c r="AH158" s="1"/>
      <c r="AL158" s="1">
        <v>104.57958829999998</v>
      </c>
      <c r="AM158" s="1"/>
      <c r="AN158"/>
    </row>
    <row r="159" spans="14:40" ht="15" x14ac:dyDescent="0.25">
      <c r="N159" s="93"/>
      <c r="O159">
        <v>70</v>
      </c>
      <c r="P159">
        <f t="shared" si="33"/>
        <v>369.18</v>
      </c>
      <c r="R159">
        <f t="shared" si="15"/>
        <v>369.18</v>
      </c>
      <c r="S159" s="10">
        <f t="shared" si="34"/>
        <v>2233.5838608910849</v>
      </c>
      <c r="T159">
        <f t="shared" si="28"/>
        <v>571.95735843081582</v>
      </c>
      <c r="V159" s="1">
        <v>70</v>
      </c>
      <c r="W159">
        <f t="shared" si="29"/>
        <v>3431.7441505848947</v>
      </c>
      <c r="X159">
        <f t="shared" si="29"/>
        <v>2859.7867921540792</v>
      </c>
      <c r="Y159">
        <f t="shared" si="29"/>
        <v>2287.8294337232633</v>
      </c>
      <c r="Z159">
        <f t="shared" si="29"/>
        <v>1715.8720752924473</v>
      </c>
      <c r="AA159" s="1">
        <f t="shared" si="29"/>
        <v>1143.9147168616316</v>
      </c>
      <c r="AB159">
        <f t="shared" si="29"/>
        <v>571.95735843081582</v>
      </c>
      <c r="AC159">
        <f t="shared" si="29"/>
        <v>285.97867921540791</v>
      </c>
      <c r="AD159">
        <f t="shared" si="29"/>
        <v>190.65245281027194</v>
      </c>
      <c r="AE159">
        <f t="shared" si="30"/>
        <v>142.98933960770395</v>
      </c>
      <c r="AH159" s="1"/>
      <c r="AL159" s="1">
        <v>218.548495</v>
      </c>
      <c r="AM159" s="1"/>
      <c r="AN159"/>
    </row>
    <row r="160" spans="14:40" ht="15" x14ac:dyDescent="0.25">
      <c r="N160" s="93"/>
      <c r="O160">
        <v>80</v>
      </c>
      <c r="P160">
        <f t="shared" si="33"/>
        <v>421.92</v>
      </c>
      <c r="R160">
        <f t="shared" si="15"/>
        <v>421.92</v>
      </c>
      <c r="S160" s="10">
        <f t="shared" si="34"/>
        <v>2552.6672695898114</v>
      </c>
      <c r="T160">
        <f t="shared" si="28"/>
        <v>653.66555249236103</v>
      </c>
      <c r="V160" s="1">
        <v>80</v>
      </c>
      <c r="W160">
        <f t="shared" si="29"/>
        <v>3921.9933149541662</v>
      </c>
      <c r="X160">
        <f t="shared" si="29"/>
        <v>3268.3277624618049</v>
      </c>
      <c r="Y160">
        <f t="shared" si="29"/>
        <v>2614.6622099694441</v>
      </c>
      <c r="Z160">
        <f t="shared" si="29"/>
        <v>1960.9966574770831</v>
      </c>
      <c r="AA160" s="1">
        <f t="shared" si="29"/>
        <v>1307.3311049847221</v>
      </c>
      <c r="AB160">
        <f t="shared" si="29"/>
        <v>653.66555249236103</v>
      </c>
      <c r="AC160">
        <f t="shared" si="29"/>
        <v>326.83277624618052</v>
      </c>
      <c r="AD160">
        <f t="shared" si="29"/>
        <v>217.88851749745368</v>
      </c>
      <c r="AE160">
        <f t="shared" si="30"/>
        <v>163.41638812309026</v>
      </c>
      <c r="AH160" s="1"/>
      <c r="AL160" s="1">
        <v>147.53308005373586</v>
      </c>
      <c r="AM160" s="1"/>
      <c r="AN160"/>
    </row>
    <row r="161" spans="14:40" ht="15" x14ac:dyDescent="0.25">
      <c r="N161" s="93">
        <v>100</v>
      </c>
      <c r="O161">
        <v>5</v>
      </c>
      <c r="P161">
        <f>AC87</f>
        <v>26.37</v>
      </c>
      <c r="R161">
        <f t="shared" si="15"/>
        <v>26.37</v>
      </c>
      <c r="S161" s="10">
        <f>O161*1.6*($P$92+$U$86)</f>
        <v>167.72907674482096</v>
      </c>
      <c r="T161">
        <f>(R161+S161)*$X$101</f>
        <v>42.653272114674408</v>
      </c>
      <c r="V161" s="1">
        <v>5</v>
      </c>
      <c r="W161">
        <f t="shared" si="29"/>
        <v>255.91963268804645</v>
      </c>
      <c r="X161">
        <f t="shared" si="29"/>
        <v>213.26636057337203</v>
      </c>
      <c r="Y161">
        <f t="shared" si="29"/>
        <v>170.61308845869763</v>
      </c>
      <c r="Z161" s="1">
        <f t="shared" si="29"/>
        <v>127.95981634402322</v>
      </c>
      <c r="AA161">
        <f t="shared" si="29"/>
        <v>85.306544229348816</v>
      </c>
      <c r="AB161">
        <f t="shared" si="29"/>
        <v>42.653272114674408</v>
      </c>
      <c r="AC161">
        <f t="shared" si="29"/>
        <v>21.326636057337204</v>
      </c>
      <c r="AD161">
        <f t="shared" si="29"/>
        <v>14.217757371558136</v>
      </c>
      <c r="AE161">
        <f t="shared" si="30"/>
        <v>10.663318028668602</v>
      </c>
      <c r="AH161" s="1"/>
      <c r="AL161" s="1">
        <v>160.05877639824908</v>
      </c>
      <c r="AN161"/>
    </row>
    <row r="162" spans="14:40" ht="15" x14ac:dyDescent="0.25">
      <c r="N162" s="93"/>
      <c r="O162">
        <v>10</v>
      </c>
      <c r="P162">
        <f t="shared" ref="P162:P169" si="35">AC88</f>
        <v>52.74</v>
      </c>
      <c r="R162">
        <f t="shared" si="15"/>
        <v>52.74</v>
      </c>
      <c r="S162" s="10">
        <f t="shared" ref="S162:S169" si="36">O162*1.6*($P$92+$U$86)</f>
        <v>335.45815348964192</v>
      </c>
      <c r="T162">
        <f t="shared" si="28"/>
        <v>85.306544229348816</v>
      </c>
      <c r="V162" s="1">
        <v>10</v>
      </c>
      <c r="W162">
        <f t="shared" si="29"/>
        <v>511.8392653760929</v>
      </c>
      <c r="X162">
        <f t="shared" si="29"/>
        <v>426.53272114674405</v>
      </c>
      <c r="Y162">
        <f t="shared" si="29"/>
        <v>341.22617691739526</v>
      </c>
      <c r="Z162" s="1">
        <f t="shared" si="29"/>
        <v>255.91963268804645</v>
      </c>
      <c r="AA162">
        <f t="shared" si="29"/>
        <v>170.61308845869763</v>
      </c>
      <c r="AB162">
        <f t="shared" si="29"/>
        <v>85.306544229348816</v>
      </c>
      <c r="AC162">
        <f t="shared" si="29"/>
        <v>42.653272114674408</v>
      </c>
      <c r="AD162">
        <f t="shared" si="29"/>
        <v>28.435514743116272</v>
      </c>
      <c r="AE162">
        <f t="shared" si="30"/>
        <v>21.326636057337204</v>
      </c>
      <c r="AH162" s="1"/>
      <c r="AL162" s="1">
        <v>326.83277624618052</v>
      </c>
      <c r="AN162"/>
    </row>
    <row r="163" spans="14:40" ht="15" x14ac:dyDescent="0.25">
      <c r="N163" s="93"/>
      <c r="O163">
        <v>20</v>
      </c>
      <c r="P163">
        <f t="shared" si="35"/>
        <v>105.48</v>
      </c>
      <c r="R163">
        <f t="shared" si="15"/>
        <v>105.48</v>
      </c>
      <c r="S163" s="10">
        <f t="shared" si="36"/>
        <v>670.91630697928383</v>
      </c>
      <c r="T163">
        <f t="shared" si="28"/>
        <v>170.61308845869763</v>
      </c>
      <c r="V163" s="1">
        <v>20</v>
      </c>
      <c r="W163">
        <f t="shared" si="29"/>
        <v>1023.6785307521858</v>
      </c>
      <c r="X163">
        <f t="shared" si="29"/>
        <v>853.0654422934881</v>
      </c>
      <c r="Y163">
        <f t="shared" si="29"/>
        <v>682.45235383479053</v>
      </c>
      <c r="Z163" s="1">
        <f t="shared" si="29"/>
        <v>511.8392653760929</v>
      </c>
      <c r="AA163">
        <f t="shared" si="29"/>
        <v>341.22617691739526</v>
      </c>
      <c r="AB163">
        <f t="shared" si="29"/>
        <v>170.61308845869763</v>
      </c>
      <c r="AC163">
        <f t="shared" si="29"/>
        <v>85.306544229348816</v>
      </c>
      <c r="AD163">
        <f t="shared" si="29"/>
        <v>56.871029486232544</v>
      </c>
      <c r="AE163">
        <f t="shared" si="30"/>
        <v>42.653272114674408</v>
      </c>
      <c r="AH163" s="1">
        <v>20</v>
      </c>
      <c r="AL163" s="1">
        <v>511.8392653760929</v>
      </c>
      <c r="AN163"/>
    </row>
    <row r="164" spans="14:40" ht="15" x14ac:dyDescent="0.25">
      <c r="N164" s="93"/>
      <c r="O164">
        <v>30</v>
      </c>
      <c r="P164">
        <f t="shared" si="35"/>
        <v>158.22</v>
      </c>
      <c r="R164">
        <f t="shared" si="15"/>
        <v>158.22</v>
      </c>
      <c r="S164" s="10">
        <f t="shared" si="36"/>
        <v>1006.3744604689257</v>
      </c>
      <c r="T164">
        <f t="shared" si="28"/>
        <v>255.91963268804642</v>
      </c>
      <c r="V164" s="1">
        <v>30</v>
      </c>
      <c r="W164">
        <f t="shared" si="29"/>
        <v>1535.5177961282784</v>
      </c>
      <c r="X164">
        <f t="shared" si="29"/>
        <v>1279.5981634402322</v>
      </c>
      <c r="Y164">
        <f t="shared" si="29"/>
        <v>1023.6785307521857</v>
      </c>
      <c r="Z164" s="1">
        <f t="shared" si="29"/>
        <v>767.7588980641392</v>
      </c>
      <c r="AA164">
        <f t="shared" si="29"/>
        <v>511.83926537609284</v>
      </c>
      <c r="AB164">
        <f t="shared" si="29"/>
        <v>255.91963268804642</v>
      </c>
      <c r="AC164">
        <f t="shared" si="29"/>
        <v>127.95981634402321</v>
      </c>
      <c r="AD164">
        <f t="shared" si="29"/>
        <v>85.306544229348802</v>
      </c>
      <c r="AE164">
        <f t="shared" si="30"/>
        <v>63.979908172011605</v>
      </c>
      <c r="AH164" s="1"/>
      <c r="AL164" s="1">
        <v>844.72533999999996</v>
      </c>
      <c r="AN164"/>
    </row>
    <row r="165" spans="14:40" ht="15" x14ac:dyDescent="0.25">
      <c r="N165" s="93"/>
      <c r="O165">
        <v>40</v>
      </c>
      <c r="P165">
        <f t="shared" si="35"/>
        <v>210.96</v>
      </c>
      <c r="R165">
        <f t="shared" si="15"/>
        <v>210.96</v>
      </c>
      <c r="S165" s="10">
        <f t="shared" si="36"/>
        <v>1341.8326139585677</v>
      </c>
      <c r="T165">
        <f t="shared" si="28"/>
        <v>341.22617691739526</v>
      </c>
      <c r="V165" s="1">
        <v>40</v>
      </c>
      <c r="W165">
        <f t="shared" si="29"/>
        <v>2047.3570615043716</v>
      </c>
      <c r="X165">
        <f t="shared" si="29"/>
        <v>1706.1308845869762</v>
      </c>
      <c r="Y165">
        <f t="shared" si="29"/>
        <v>1364.9047076695811</v>
      </c>
      <c r="Z165" s="1">
        <f t="shared" si="29"/>
        <v>1023.6785307521858</v>
      </c>
      <c r="AA165">
        <f t="shared" si="29"/>
        <v>682.45235383479053</v>
      </c>
      <c r="AB165">
        <f t="shared" si="29"/>
        <v>341.22617691739526</v>
      </c>
      <c r="AC165">
        <f t="shared" si="29"/>
        <v>170.61308845869763</v>
      </c>
      <c r="AD165">
        <f t="shared" si="29"/>
        <v>113.74205897246509</v>
      </c>
      <c r="AE165">
        <f t="shared" si="30"/>
        <v>85.306544229348816</v>
      </c>
      <c r="AH165" s="1"/>
      <c r="AL165" s="1">
        <v>865.04854</v>
      </c>
      <c r="AN165"/>
    </row>
    <row r="166" spans="14:40" ht="15" x14ac:dyDescent="0.25">
      <c r="N166" s="93"/>
      <c r="O166">
        <v>50</v>
      </c>
      <c r="P166">
        <f t="shared" si="35"/>
        <v>263.7</v>
      </c>
      <c r="R166">
        <f t="shared" si="15"/>
        <v>263.7</v>
      </c>
      <c r="S166" s="10">
        <f t="shared" si="36"/>
        <v>1677.2907674482096</v>
      </c>
      <c r="T166">
        <f t="shared" si="28"/>
        <v>426.53272114674405</v>
      </c>
      <c r="V166" s="1">
        <v>50</v>
      </c>
      <c r="W166">
        <f t="shared" si="29"/>
        <v>2559.1963268804643</v>
      </c>
      <c r="X166">
        <f t="shared" si="29"/>
        <v>2132.66360573372</v>
      </c>
      <c r="Y166">
        <f t="shared" si="29"/>
        <v>1706.1308845869762</v>
      </c>
      <c r="Z166" s="1">
        <f t="shared" si="29"/>
        <v>1279.5981634402322</v>
      </c>
      <c r="AA166">
        <f t="shared" si="29"/>
        <v>853.0654422934881</v>
      </c>
      <c r="AB166">
        <f t="shared" si="29"/>
        <v>426.53272114674405</v>
      </c>
      <c r="AC166">
        <f t="shared" si="29"/>
        <v>213.26636057337203</v>
      </c>
      <c r="AD166">
        <f t="shared" si="29"/>
        <v>142.17757371558133</v>
      </c>
      <c r="AE166">
        <f t="shared" si="30"/>
        <v>106.63318028668601</v>
      </c>
      <c r="AH166" s="1"/>
      <c r="AL166" s="1">
        <v>905.69493999999997</v>
      </c>
      <c r="AN166"/>
    </row>
    <row r="167" spans="14:40" ht="15" x14ac:dyDescent="0.25">
      <c r="N167" s="93"/>
      <c r="O167">
        <v>60</v>
      </c>
      <c r="P167">
        <f t="shared" si="35"/>
        <v>316.44</v>
      </c>
      <c r="R167">
        <f t="shared" si="15"/>
        <v>316.44</v>
      </c>
      <c r="S167" s="10">
        <f t="shared" si="36"/>
        <v>2012.7489209378514</v>
      </c>
      <c r="T167">
        <f t="shared" si="28"/>
        <v>511.83926537609284</v>
      </c>
      <c r="V167" s="1">
        <v>60</v>
      </c>
      <c r="W167">
        <f t="shared" si="29"/>
        <v>3071.0355922565568</v>
      </c>
      <c r="X167">
        <f t="shared" si="29"/>
        <v>2559.1963268804643</v>
      </c>
      <c r="Y167">
        <f t="shared" si="29"/>
        <v>2047.3570615043714</v>
      </c>
      <c r="Z167" s="1">
        <f t="shared" si="29"/>
        <v>1535.5177961282784</v>
      </c>
      <c r="AA167">
        <f t="shared" si="29"/>
        <v>1023.6785307521857</v>
      </c>
      <c r="AB167">
        <f t="shared" si="29"/>
        <v>511.83926537609284</v>
      </c>
      <c r="AC167">
        <f t="shared" si="29"/>
        <v>255.91963268804642</v>
      </c>
      <c r="AD167">
        <f t="shared" si="29"/>
        <v>170.6130884586976</v>
      </c>
      <c r="AE167">
        <f t="shared" si="30"/>
        <v>127.95981634402321</v>
      </c>
      <c r="AH167" s="1"/>
      <c r="AL167" s="1">
        <v>587.76972000000001</v>
      </c>
      <c r="AN167"/>
    </row>
    <row r="168" spans="14:40" ht="15" x14ac:dyDescent="0.25">
      <c r="N168" s="93"/>
      <c r="O168">
        <v>70</v>
      </c>
      <c r="P168">
        <f t="shared" si="35"/>
        <v>369.18</v>
      </c>
      <c r="R168">
        <f t="shared" si="15"/>
        <v>369.18</v>
      </c>
      <c r="S168" s="10">
        <f t="shared" si="36"/>
        <v>2348.2070744274934</v>
      </c>
      <c r="T168">
        <f t="shared" si="28"/>
        <v>597.14580960544163</v>
      </c>
      <c r="V168" s="1">
        <v>70</v>
      </c>
      <c r="W168">
        <f t="shared" si="29"/>
        <v>3582.8748576326498</v>
      </c>
      <c r="X168">
        <f t="shared" si="29"/>
        <v>2985.7290480272081</v>
      </c>
      <c r="Y168">
        <f t="shared" si="29"/>
        <v>2388.5832384217665</v>
      </c>
      <c r="Z168" s="1">
        <f t="shared" si="29"/>
        <v>1791.4374288163249</v>
      </c>
      <c r="AA168">
        <f t="shared" si="29"/>
        <v>1194.2916192108833</v>
      </c>
      <c r="AB168">
        <f t="shared" si="29"/>
        <v>597.14580960544163</v>
      </c>
      <c r="AC168">
        <f t="shared" si="29"/>
        <v>298.57290480272081</v>
      </c>
      <c r="AD168">
        <f t="shared" si="29"/>
        <v>199.04860320181388</v>
      </c>
      <c r="AE168">
        <f t="shared" si="30"/>
        <v>149.28645240136041</v>
      </c>
      <c r="AH168" s="1"/>
      <c r="AL168" s="1">
        <v>604.64652000000001</v>
      </c>
      <c r="AN168"/>
    </row>
    <row r="169" spans="14:40" ht="15" x14ac:dyDescent="0.25">
      <c r="N169" s="93"/>
      <c r="O169">
        <v>80</v>
      </c>
      <c r="P169">
        <f t="shared" si="35"/>
        <v>421.92</v>
      </c>
      <c r="R169">
        <f t="shared" si="15"/>
        <v>421.92</v>
      </c>
      <c r="S169" s="10">
        <f t="shared" si="36"/>
        <v>2683.6652279171353</v>
      </c>
      <c r="T169">
        <f t="shared" si="28"/>
        <v>682.45235383479053</v>
      </c>
      <c r="V169" s="1">
        <v>80</v>
      </c>
      <c r="W169">
        <f t="shared" si="29"/>
        <v>4094.7141230087432</v>
      </c>
      <c r="X169">
        <f t="shared" si="29"/>
        <v>3412.2617691739524</v>
      </c>
      <c r="Y169">
        <f t="shared" si="29"/>
        <v>2729.8094153391621</v>
      </c>
      <c r="Z169" s="1">
        <f t="shared" si="29"/>
        <v>2047.3570615043716</v>
      </c>
      <c r="AA169">
        <f t="shared" si="29"/>
        <v>1364.9047076695811</v>
      </c>
      <c r="AB169">
        <f t="shared" si="29"/>
        <v>682.45235383479053</v>
      </c>
      <c r="AC169">
        <f t="shared" si="29"/>
        <v>341.22617691739526</v>
      </c>
      <c r="AD169">
        <f t="shared" si="29"/>
        <v>227.48411794493018</v>
      </c>
      <c r="AE169">
        <f t="shared" si="30"/>
        <v>170.61308845869763</v>
      </c>
      <c r="AH169" s="1"/>
      <c r="AL169" s="1">
        <v>624.33611999999994</v>
      </c>
      <c r="AN169"/>
    </row>
    <row r="170" spans="14:40" ht="15" x14ac:dyDescent="0.25">
      <c r="N170" s="93">
        <v>150</v>
      </c>
      <c r="O170">
        <v>5</v>
      </c>
      <c r="P170">
        <f t="shared" ref="P170:P178" si="37">AB87</f>
        <v>31.754999999999999</v>
      </c>
      <c r="R170">
        <f t="shared" si="15"/>
        <v>31.754999999999999</v>
      </c>
      <c r="S170" s="10">
        <f>O170*1.6*($P$93+$U$85)</f>
        <v>68</v>
      </c>
      <c r="T170">
        <f>(R170+S170)*$W$101</f>
        <v>52.795333749999998</v>
      </c>
      <c r="V170" s="1">
        <v>5</v>
      </c>
      <c r="W170">
        <f t="shared" si="29"/>
        <v>316.77200249999999</v>
      </c>
      <c r="X170">
        <f t="shared" si="29"/>
        <v>263.97666874999999</v>
      </c>
      <c r="Y170" s="1">
        <f t="shared" si="29"/>
        <v>211.18133499999999</v>
      </c>
      <c r="Z170">
        <f t="shared" si="29"/>
        <v>158.38600124999999</v>
      </c>
      <c r="AA170">
        <f t="shared" si="29"/>
        <v>105.5906675</v>
      </c>
      <c r="AB170">
        <f t="shared" si="29"/>
        <v>52.795333749999998</v>
      </c>
      <c r="AC170">
        <f t="shared" si="29"/>
        <v>26.397666874999999</v>
      </c>
      <c r="AD170">
        <f t="shared" si="29"/>
        <v>17.598444583333333</v>
      </c>
      <c r="AE170">
        <f t="shared" si="30"/>
        <v>13.198833437499999</v>
      </c>
      <c r="AH170" s="1"/>
      <c r="AK170" s="1"/>
      <c r="AL170">
        <v>658.08972000000006</v>
      </c>
      <c r="AN170"/>
    </row>
    <row r="171" spans="14:40" ht="15" x14ac:dyDescent="0.25">
      <c r="N171" s="93"/>
      <c r="O171">
        <v>10</v>
      </c>
      <c r="P171">
        <f t="shared" si="37"/>
        <v>63.51</v>
      </c>
      <c r="R171">
        <f t="shared" si="15"/>
        <v>63.51</v>
      </c>
      <c r="S171" s="10">
        <f t="shared" ref="S171:S178" si="38">O171*1.6*($P$93+$U$85)</f>
        <v>136</v>
      </c>
      <c r="T171">
        <f t="shared" ref="T171:T196" si="39">(R171+S171)*$W$101</f>
        <v>105.5906675</v>
      </c>
      <c r="V171" s="1">
        <v>10</v>
      </c>
      <c r="W171">
        <f t="shared" si="29"/>
        <v>633.54400499999997</v>
      </c>
      <c r="X171">
        <f t="shared" si="29"/>
        <v>527.95333749999998</v>
      </c>
      <c r="Y171" s="1">
        <f t="shared" si="29"/>
        <v>422.36266999999998</v>
      </c>
      <c r="Z171">
        <f t="shared" si="29"/>
        <v>316.77200249999999</v>
      </c>
      <c r="AA171">
        <f t="shared" si="29"/>
        <v>211.18133499999999</v>
      </c>
      <c r="AB171">
        <f t="shared" si="29"/>
        <v>105.5906675</v>
      </c>
      <c r="AC171">
        <f t="shared" si="29"/>
        <v>52.795333749999998</v>
      </c>
      <c r="AD171">
        <f t="shared" ref="AD171:AD234" si="40">$T171*AD$106</f>
        <v>35.196889166666665</v>
      </c>
      <c r="AE171">
        <f t="shared" si="30"/>
        <v>26.397666874999999</v>
      </c>
      <c r="AH171" s="1"/>
      <c r="AK171" s="1"/>
      <c r="AL171">
        <v>697.46892000000003</v>
      </c>
      <c r="AN171"/>
    </row>
    <row r="172" spans="14:40" ht="15" x14ac:dyDescent="0.25">
      <c r="N172" s="93"/>
      <c r="O172">
        <v>20</v>
      </c>
      <c r="P172">
        <f t="shared" si="37"/>
        <v>127.02</v>
      </c>
      <c r="R172">
        <f t="shared" ref="R172:R235" si="41">P172</f>
        <v>127.02</v>
      </c>
      <c r="S172" s="10">
        <f t="shared" si="38"/>
        <v>272</v>
      </c>
      <c r="T172">
        <f t="shared" si="39"/>
        <v>211.18133499999999</v>
      </c>
      <c r="V172" s="1">
        <v>20</v>
      </c>
      <c r="W172">
        <f t="shared" ref="W172:W235" si="42">$T172*W$106</f>
        <v>1267.0880099999999</v>
      </c>
      <c r="X172">
        <f t="shared" ref="X172:AC208" si="43">$T172*X$106</f>
        <v>1055.906675</v>
      </c>
      <c r="Y172" s="1">
        <f t="shared" si="43"/>
        <v>844.72533999999996</v>
      </c>
      <c r="Z172">
        <f t="shared" si="43"/>
        <v>633.54400499999997</v>
      </c>
      <c r="AA172">
        <f t="shared" si="43"/>
        <v>422.36266999999998</v>
      </c>
      <c r="AB172">
        <f t="shared" si="43"/>
        <v>211.18133499999999</v>
      </c>
      <c r="AC172">
        <f t="shared" si="43"/>
        <v>105.5906675</v>
      </c>
      <c r="AD172">
        <f t="shared" si="40"/>
        <v>70.39377833333333</v>
      </c>
      <c r="AE172">
        <f t="shared" ref="AE172:AE203" si="44">$T172*AE$106</f>
        <v>52.795333749999998</v>
      </c>
      <c r="AH172" s="1">
        <v>20</v>
      </c>
      <c r="AK172" s="1">
        <v>844.72533999999996</v>
      </c>
      <c r="AN172"/>
    </row>
    <row r="173" spans="14:40" ht="15" x14ac:dyDescent="0.25">
      <c r="N173" s="93"/>
      <c r="O173">
        <v>30</v>
      </c>
      <c r="P173">
        <f t="shared" si="37"/>
        <v>190.53</v>
      </c>
      <c r="R173">
        <f t="shared" si="41"/>
        <v>190.53</v>
      </c>
      <c r="S173" s="10">
        <f t="shared" si="38"/>
        <v>408</v>
      </c>
      <c r="T173">
        <f t="shared" si="39"/>
        <v>316.77200249999999</v>
      </c>
      <c r="V173" s="1">
        <v>30</v>
      </c>
      <c r="W173">
        <f t="shared" si="42"/>
        <v>1900.6320149999999</v>
      </c>
      <c r="X173">
        <f t="shared" si="43"/>
        <v>1583.8600124999998</v>
      </c>
      <c r="Y173" s="1">
        <f t="shared" si="43"/>
        <v>1267.0880099999999</v>
      </c>
      <c r="Z173">
        <f t="shared" si="43"/>
        <v>950.31600749999996</v>
      </c>
      <c r="AA173">
        <f t="shared" si="43"/>
        <v>633.54400499999997</v>
      </c>
      <c r="AB173">
        <f t="shared" si="43"/>
        <v>316.77200249999999</v>
      </c>
      <c r="AC173">
        <f t="shared" si="43"/>
        <v>158.38600124999999</v>
      </c>
      <c r="AD173">
        <f t="shared" si="40"/>
        <v>105.5906675</v>
      </c>
      <c r="AE173">
        <f t="shared" si="44"/>
        <v>79.193000624999996</v>
      </c>
      <c r="AH173" s="1"/>
      <c r="AK173" s="1"/>
      <c r="AN173"/>
    </row>
    <row r="174" spans="14:40" ht="15" x14ac:dyDescent="0.25">
      <c r="N174" s="93"/>
      <c r="O174">
        <v>40</v>
      </c>
      <c r="P174">
        <f t="shared" si="37"/>
        <v>254.04</v>
      </c>
      <c r="R174">
        <f t="shared" si="41"/>
        <v>254.04</v>
      </c>
      <c r="S174" s="10">
        <f t="shared" si="38"/>
        <v>544</v>
      </c>
      <c r="T174">
        <f t="shared" si="39"/>
        <v>422.36266999999998</v>
      </c>
      <c r="V174" s="1">
        <v>40</v>
      </c>
      <c r="W174">
        <f t="shared" si="42"/>
        <v>2534.1760199999999</v>
      </c>
      <c r="X174">
        <f t="shared" si="43"/>
        <v>2111.8133499999999</v>
      </c>
      <c r="Y174" s="1">
        <f t="shared" si="43"/>
        <v>1689.4506799999999</v>
      </c>
      <c r="Z174">
        <f t="shared" si="43"/>
        <v>1267.0880099999999</v>
      </c>
      <c r="AA174">
        <f t="shared" si="43"/>
        <v>844.72533999999996</v>
      </c>
      <c r="AB174">
        <f t="shared" si="43"/>
        <v>422.36266999999998</v>
      </c>
      <c r="AC174">
        <f t="shared" si="43"/>
        <v>211.18133499999999</v>
      </c>
      <c r="AD174">
        <f t="shared" si="40"/>
        <v>140.78755666666666</v>
      </c>
      <c r="AE174">
        <f t="shared" si="44"/>
        <v>105.5906675</v>
      </c>
      <c r="AH174" s="1"/>
      <c r="AK174" s="1"/>
      <c r="AN174"/>
    </row>
    <row r="175" spans="14:40" ht="15" x14ac:dyDescent="0.25">
      <c r="N175" s="93"/>
      <c r="O175">
        <v>50</v>
      </c>
      <c r="P175">
        <f t="shared" si="37"/>
        <v>317.55</v>
      </c>
      <c r="R175">
        <f t="shared" si="41"/>
        <v>317.55</v>
      </c>
      <c r="S175" s="10">
        <f t="shared" si="38"/>
        <v>680</v>
      </c>
      <c r="T175">
        <f t="shared" si="39"/>
        <v>527.95333749999998</v>
      </c>
      <c r="V175" s="1">
        <v>50</v>
      </c>
      <c r="W175">
        <f t="shared" si="42"/>
        <v>3167.7200249999996</v>
      </c>
      <c r="X175">
        <f t="shared" si="43"/>
        <v>2639.7666875</v>
      </c>
      <c r="Y175" s="1">
        <f t="shared" si="43"/>
        <v>2111.8133499999999</v>
      </c>
      <c r="Z175">
        <f t="shared" si="43"/>
        <v>1583.8600124999998</v>
      </c>
      <c r="AA175">
        <f t="shared" si="43"/>
        <v>1055.906675</v>
      </c>
      <c r="AB175">
        <f t="shared" si="43"/>
        <v>527.95333749999998</v>
      </c>
      <c r="AC175">
        <f t="shared" si="43"/>
        <v>263.97666874999999</v>
      </c>
      <c r="AD175">
        <f t="shared" si="40"/>
        <v>175.98444583333333</v>
      </c>
      <c r="AE175">
        <f t="shared" si="44"/>
        <v>131.98833437499999</v>
      </c>
      <c r="AH175" s="1"/>
      <c r="AK175" s="1"/>
      <c r="AN175"/>
    </row>
    <row r="176" spans="14:40" ht="15" x14ac:dyDescent="0.25">
      <c r="N176" s="93"/>
      <c r="O176">
        <v>60</v>
      </c>
      <c r="P176">
        <f t="shared" si="37"/>
        <v>381.06</v>
      </c>
      <c r="R176">
        <f t="shared" si="41"/>
        <v>381.06</v>
      </c>
      <c r="S176" s="10">
        <f t="shared" si="38"/>
        <v>816</v>
      </c>
      <c r="T176">
        <f t="shared" si="39"/>
        <v>633.54400499999997</v>
      </c>
      <c r="V176" s="1">
        <v>60</v>
      </c>
      <c r="W176">
        <f t="shared" si="42"/>
        <v>3801.2640299999998</v>
      </c>
      <c r="X176">
        <f t="shared" si="43"/>
        <v>3167.7200249999996</v>
      </c>
      <c r="Y176" s="1">
        <f t="shared" si="43"/>
        <v>2534.1760199999999</v>
      </c>
      <c r="Z176">
        <f t="shared" si="43"/>
        <v>1900.6320149999999</v>
      </c>
      <c r="AA176">
        <f t="shared" si="43"/>
        <v>1267.0880099999999</v>
      </c>
      <c r="AB176">
        <f t="shared" si="43"/>
        <v>633.54400499999997</v>
      </c>
      <c r="AC176">
        <f t="shared" si="43"/>
        <v>316.77200249999999</v>
      </c>
      <c r="AD176">
        <f t="shared" si="40"/>
        <v>211.18133499999999</v>
      </c>
      <c r="AE176">
        <f t="shared" si="44"/>
        <v>158.38600124999999</v>
      </c>
      <c r="AH176" s="1"/>
      <c r="AK176" s="1"/>
      <c r="AN176"/>
    </row>
    <row r="177" spans="14:40" ht="15" x14ac:dyDescent="0.25">
      <c r="N177" s="93"/>
      <c r="O177">
        <v>70</v>
      </c>
      <c r="P177">
        <f t="shared" si="37"/>
        <v>444.57</v>
      </c>
      <c r="R177">
        <f t="shared" si="41"/>
        <v>444.57</v>
      </c>
      <c r="S177" s="10">
        <f t="shared" si="38"/>
        <v>952</v>
      </c>
      <c r="T177">
        <f t="shared" si="39"/>
        <v>739.13467249999997</v>
      </c>
      <c r="V177" s="1">
        <v>70</v>
      </c>
      <c r="W177">
        <f t="shared" si="42"/>
        <v>4434.808035</v>
      </c>
      <c r="X177">
        <f t="shared" si="43"/>
        <v>3695.6733624999997</v>
      </c>
      <c r="Y177" s="1">
        <f t="shared" si="43"/>
        <v>2956.5386899999999</v>
      </c>
      <c r="Z177">
        <f t="shared" si="43"/>
        <v>2217.4040175</v>
      </c>
      <c r="AA177">
        <f t="shared" si="43"/>
        <v>1478.2693449999999</v>
      </c>
      <c r="AB177">
        <f t="shared" si="43"/>
        <v>739.13467249999997</v>
      </c>
      <c r="AC177">
        <f t="shared" si="43"/>
        <v>369.56733624999998</v>
      </c>
      <c r="AD177">
        <f t="shared" si="40"/>
        <v>246.37822416666666</v>
      </c>
      <c r="AE177">
        <f t="shared" si="44"/>
        <v>184.78366812499999</v>
      </c>
      <c r="AH177" s="1"/>
      <c r="AK177" s="1"/>
      <c r="AN177"/>
    </row>
    <row r="178" spans="14:40" ht="15" x14ac:dyDescent="0.25">
      <c r="N178" s="93"/>
      <c r="O178">
        <v>80</v>
      </c>
      <c r="P178">
        <f t="shared" si="37"/>
        <v>508.08</v>
      </c>
      <c r="R178">
        <f t="shared" si="41"/>
        <v>508.08</v>
      </c>
      <c r="S178" s="10">
        <f t="shared" si="38"/>
        <v>1088</v>
      </c>
      <c r="T178">
        <f t="shared" si="39"/>
        <v>844.72533999999996</v>
      </c>
      <c r="V178" s="1">
        <v>80</v>
      </c>
      <c r="W178">
        <f t="shared" si="42"/>
        <v>5068.3520399999998</v>
      </c>
      <c r="X178">
        <f t="shared" si="43"/>
        <v>4223.6266999999998</v>
      </c>
      <c r="Y178" s="1">
        <f t="shared" si="43"/>
        <v>3378.9013599999998</v>
      </c>
      <c r="Z178">
        <f t="shared" si="43"/>
        <v>2534.1760199999999</v>
      </c>
      <c r="AA178">
        <f t="shared" si="43"/>
        <v>1689.4506799999999</v>
      </c>
      <c r="AB178">
        <f t="shared" si="43"/>
        <v>844.72533999999996</v>
      </c>
      <c r="AC178">
        <f t="shared" si="43"/>
        <v>422.36266999999998</v>
      </c>
      <c r="AD178">
        <f t="shared" si="40"/>
        <v>281.57511333333332</v>
      </c>
      <c r="AE178">
        <f t="shared" si="44"/>
        <v>211.18133499999999</v>
      </c>
      <c r="AH178" s="1"/>
      <c r="AK178" s="1"/>
      <c r="AN178"/>
    </row>
    <row r="179" spans="14:40" ht="15" x14ac:dyDescent="0.25">
      <c r="N179" s="93">
        <v>200</v>
      </c>
      <c r="O179">
        <v>5</v>
      </c>
      <c r="P179">
        <f t="shared" ref="P179:P187" si="45">AB87</f>
        <v>31.754999999999999</v>
      </c>
      <c r="R179">
        <f t="shared" si="41"/>
        <v>31.754999999999999</v>
      </c>
      <c r="S179" s="10">
        <f>O179*1.6*($P$94+$U$85)</f>
        <v>70.400000000000006</v>
      </c>
      <c r="T179">
        <f>(R179+S179)*$W$101</f>
        <v>54.06553375</v>
      </c>
      <c r="V179" s="1">
        <v>5</v>
      </c>
      <c r="W179">
        <f t="shared" si="42"/>
        <v>324.39320250000003</v>
      </c>
      <c r="X179">
        <f t="shared" si="43"/>
        <v>270.32766874999999</v>
      </c>
      <c r="Y179" s="1">
        <f t="shared" si="43"/>
        <v>216.262135</v>
      </c>
      <c r="Z179">
        <f t="shared" si="43"/>
        <v>162.19660125000001</v>
      </c>
      <c r="AA179">
        <f t="shared" si="43"/>
        <v>108.1310675</v>
      </c>
      <c r="AB179">
        <f t="shared" si="43"/>
        <v>54.06553375</v>
      </c>
      <c r="AC179">
        <f t="shared" si="43"/>
        <v>27.032766875</v>
      </c>
      <c r="AD179">
        <f t="shared" si="40"/>
        <v>18.021844583333333</v>
      </c>
      <c r="AE179">
        <f t="shared" si="44"/>
        <v>13.5163834375</v>
      </c>
      <c r="AH179" s="1"/>
      <c r="AK179" s="1"/>
      <c r="AN179"/>
    </row>
    <row r="180" spans="14:40" ht="15" x14ac:dyDescent="0.25">
      <c r="N180" s="93"/>
      <c r="O180">
        <v>10</v>
      </c>
      <c r="P180">
        <f t="shared" si="45"/>
        <v>63.51</v>
      </c>
      <c r="R180">
        <f t="shared" si="41"/>
        <v>63.51</v>
      </c>
      <c r="S180" s="10">
        <f t="shared" ref="S180:S187" si="46">O180*1.6*($P$94+$U$85)</f>
        <v>140.80000000000001</v>
      </c>
      <c r="T180">
        <f t="shared" si="39"/>
        <v>108.1310675</v>
      </c>
      <c r="V180" s="1">
        <v>10</v>
      </c>
      <c r="W180">
        <f t="shared" si="42"/>
        <v>648.78640500000006</v>
      </c>
      <c r="X180">
        <f t="shared" si="43"/>
        <v>540.65533749999997</v>
      </c>
      <c r="Y180" s="1">
        <f t="shared" si="43"/>
        <v>432.52427</v>
      </c>
      <c r="Z180">
        <f t="shared" si="43"/>
        <v>324.39320250000003</v>
      </c>
      <c r="AA180">
        <f t="shared" si="43"/>
        <v>216.262135</v>
      </c>
      <c r="AB180">
        <f t="shared" si="43"/>
        <v>108.1310675</v>
      </c>
      <c r="AC180">
        <f t="shared" si="43"/>
        <v>54.06553375</v>
      </c>
      <c r="AD180">
        <f t="shared" si="40"/>
        <v>36.043689166666667</v>
      </c>
      <c r="AE180">
        <f t="shared" si="44"/>
        <v>27.032766875</v>
      </c>
      <c r="AH180" s="1"/>
      <c r="AK180" s="1"/>
      <c r="AN180"/>
    </row>
    <row r="181" spans="14:40" ht="15" x14ac:dyDescent="0.25">
      <c r="N181" s="93"/>
      <c r="O181">
        <v>20</v>
      </c>
      <c r="P181">
        <f t="shared" si="45"/>
        <v>127.02</v>
      </c>
      <c r="R181">
        <f t="shared" si="41"/>
        <v>127.02</v>
      </c>
      <c r="S181" s="10">
        <f t="shared" si="46"/>
        <v>281.60000000000002</v>
      </c>
      <c r="T181">
        <f t="shared" si="39"/>
        <v>216.262135</v>
      </c>
      <c r="V181" s="1">
        <v>20</v>
      </c>
      <c r="W181">
        <f t="shared" si="42"/>
        <v>1297.5728100000001</v>
      </c>
      <c r="X181">
        <f t="shared" si="43"/>
        <v>1081.3106749999999</v>
      </c>
      <c r="Y181" s="1">
        <f t="shared" si="43"/>
        <v>865.04854</v>
      </c>
      <c r="Z181">
        <f t="shared" si="43"/>
        <v>648.78640500000006</v>
      </c>
      <c r="AA181">
        <f t="shared" si="43"/>
        <v>432.52427</v>
      </c>
      <c r="AB181">
        <f t="shared" si="43"/>
        <v>216.262135</v>
      </c>
      <c r="AC181">
        <f t="shared" si="43"/>
        <v>108.1310675</v>
      </c>
      <c r="AD181">
        <f t="shared" si="40"/>
        <v>72.087378333333334</v>
      </c>
      <c r="AE181">
        <f t="shared" si="44"/>
        <v>54.06553375</v>
      </c>
      <c r="AH181" s="1">
        <v>20</v>
      </c>
      <c r="AK181" s="1">
        <v>865.04854</v>
      </c>
      <c r="AN181"/>
    </row>
    <row r="182" spans="14:40" ht="15" x14ac:dyDescent="0.25">
      <c r="N182" s="93"/>
      <c r="O182">
        <v>30</v>
      </c>
      <c r="P182">
        <f t="shared" si="45"/>
        <v>190.53</v>
      </c>
      <c r="R182">
        <f t="shared" si="41"/>
        <v>190.53</v>
      </c>
      <c r="S182" s="10">
        <f t="shared" si="46"/>
        <v>422.40000000000003</v>
      </c>
      <c r="T182">
        <f t="shared" si="39"/>
        <v>324.39320250000003</v>
      </c>
      <c r="V182" s="1">
        <v>30</v>
      </c>
      <c r="W182">
        <f t="shared" si="42"/>
        <v>1946.3592150000002</v>
      </c>
      <c r="X182">
        <f t="shared" si="43"/>
        <v>1621.9660125</v>
      </c>
      <c r="Y182" s="1">
        <f t="shared" si="43"/>
        <v>1297.5728100000001</v>
      </c>
      <c r="Z182">
        <f t="shared" si="43"/>
        <v>973.17960750000009</v>
      </c>
      <c r="AA182">
        <f t="shared" si="43"/>
        <v>648.78640500000006</v>
      </c>
      <c r="AB182">
        <f t="shared" si="43"/>
        <v>324.39320250000003</v>
      </c>
      <c r="AC182">
        <f t="shared" si="43"/>
        <v>162.19660125000001</v>
      </c>
      <c r="AD182">
        <f t="shared" si="40"/>
        <v>108.1310675</v>
      </c>
      <c r="AE182">
        <f t="shared" si="44"/>
        <v>81.098300625000007</v>
      </c>
      <c r="AH182" s="1"/>
      <c r="AK182" s="1"/>
      <c r="AN182"/>
    </row>
    <row r="183" spans="14:40" ht="15" x14ac:dyDescent="0.25">
      <c r="N183" s="93"/>
      <c r="O183">
        <v>40</v>
      </c>
      <c r="P183">
        <f t="shared" si="45"/>
        <v>254.04</v>
      </c>
      <c r="R183">
        <f t="shared" si="41"/>
        <v>254.04</v>
      </c>
      <c r="S183" s="10">
        <f t="shared" si="46"/>
        <v>563.20000000000005</v>
      </c>
      <c r="T183">
        <f t="shared" si="39"/>
        <v>432.52427</v>
      </c>
      <c r="V183" s="1">
        <v>40</v>
      </c>
      <c r="W183">
        <f t="shared" si="42"/>
        <v>2595.1456200000002</v>
      </c>
      <c r="X183">
        <f t="shared" si="43"/>
        <v>2162.6213499999999</v>
      </c>
      <c r="Y183" s="1">
        <f t="shared" si="43"/>
        <v>1730.09708</v>
      </c>
      <c r="Z183">
        <f t="shared" si="43"/>
        <v>1297.5728100000001</v>
      </c>
      <c r="AA183">
        <f t="shared" si="43"/>
        <v>865.04854</v>
      </c>
      <c r="AB183">
        <f t="shared" si="43"/>
        <v>432.52427</v>
      </c>
      <c r="AC183">
        <f t="shared" si="43"/>
        <v>216.262135</v>
      </c>
      <c r="AD183">
        <f t="shared" si="40"/>
        <v>144.17475666666667</v>
      </c>
      <c r="AE183">
        <f t="shared" si="44"/>
        <v>108.1310675</v>
      </c>
      <c r="AH183" s="1"/>
      <c r="AK183" s="1"/>
      <c r="AN183"/>
    </row>
    <row r="184" spans="14:40" ht="15" x14ac:dyDescent="0.25">
      <c r="N184" s="93"/>
      <c r="O184">
        <v>50</v>
      </c>
      <c r="P184">
        <f t="shared" si="45"/>
        <v>317.55</v>
      </c>
      <c r="R184">
        <f t="shared" si="41"/>
        <v>317.55</v>
      </c>
      <c r="S184" s="10">
        <f t="shared" si="46"/>
        <v>704</v>
      </c>
      <c r="T184">
        <f t="shared" si="39"/>
        <v>540.65533749999997</v>
      </c>
      <c r="V184" s="1">
        <v>50</v>
      </c>
      <c r="W184">
        <f t="shared" si="42"/>
        <v>3243.9320250000001</v>
      </c>
      <c r="X184">
        <f t="shared" si="43"/>
        <v>2703.2766874999998</v>
      </c>
      <c r="Y184" s="1">
        <f t="shared" si="43"/>
        <v>2162.6213499999999</v>
      </c>
      <c r="Z184">
        <f t="shared" si="43"/>
        <v>1621.9660125</v>
      </c>
      <c r="AA184">
        <f t="shared" si="43"/>
        <v>1081.3106749999999</v>
      </c>
      <c r="AB184">
        <f t="shared" si="43"/>
        <v>540.65533749999997</v>
      </c>
      <c r="AC184">
        <f t="shared" si="43"/>
        <v>270.32766874999999</v>
      </c>
      <c r="AD184">
        <f t="shared" si="40"/>
        <v>180.21844583333331</v>
      </c>
      <c r="AE184">
        <f t="shared" si="44"/>
        <v>135.16383437499999</v>
      </c>
      <c r="AH184" s="1"/>
      <c r="AK184" s="1"/>
      <c r="AN184"/>
    </row>
    <row r="185" spans="14:40" ht="15" x14ac:dyDescent="0.25">
      <c r="N185" s="93"/>
      <c r="O185">
        <v>60</v>
      </c>
      <c r="P185">
        <f t="shared" si="45"/>
        <v>381.06</v>
      </c>
      <c r="R185">
        <f t="shared" si="41"/>
        <v>381.06</v>
      </c>
      <c r="S185" s="10">
        <f t="shared" si="46"/>
        <v>844.80000000000007</v>
      </c>
      <c r="T185">
        <f t="shared" si="39"/>
        <v>648.78640500000006</v>
      </c>
      <c r="V185" s="1">
        <v>60</v>
      </c>
      <c r="W185">
        <f t="shared" si="42"/>
        <v>3892.7184300000004</v>
      </c>
      <c r="X185">
        <f t="shared" si="43"/>
        <v>3243.9320250000001</v>
      </c>
      <c r="Y185" s="1">
        <f t="shared" si="43"/>
        <v>2595.1456200000002</v>
      </c>
      <c r="Z185">
        <f t="shared" si="43"/>
        <v>1946.3592150000002</v>
      </c>
      <c r="AA185">
        <f t="shared" si="43"/>
        <v>1297.5728100000001</v>
      </c>
      <c r="AB185">
        <f t="shared" si="43"/>
        <v>648.78640500000006</v>
      </c>
      <c r="AC185">
        <f t="shared" si="43"/>
        <v>324.39320250000003</v>
      </c>
      <c r="AD185">
        <f t="shared" si="40"/>
        <v>216.262135</v>
      </c>
      <c r="AE185">
        <f t="shared" si="44"/>
        <v>162.19660125000001</v>
      </c>
      <c r="AH185" s="1"/>
      <c r="AK185" s="1"/>
      <c r="AN185"/>
    </row>
    <row r="186" spans="14:40" ht="15" x14ac:dyDescent="0.25">
      <c r="N186" s="93"/>
      <c r="O186">
        <v>70</v>
      </c>
      <c r="P186">
        <f t="shared" si="45"/>
        <v>444.57</v>
      </c>
      <c r="R186">
        <f t="shared" si="41"/>
        <v>444.57</v>
      </c>
      <c r="S186" s="10">
        <f t="shared" si="46"/>
        <v>985.60000000000014</v>
      </c>
      <c r="T186">
        <f t="shared" si="39"/>
        <v>756.91747250000003</v>
      </c>
      <c r="V186" s="1">
        <v>70</v>
      </c>
      <c r="W186">
        <f t="shared" si="42"/>
        <v>4541.5048349999997</v>
      </c>
      <c r="X186">
        <f t="shared" si="43"/>
        <v>3784.5873625000004</v>
      </c>
      <c r="Y186" s="1">
        <f t="shared" si="43"/>
        <v>3027.6698900000001</v>
      </c>
      <c r="Z186">
        <f t="shared" si="43"/>
        <v>2270.7524174999999</v>
      </c>
      <c r="AA186">
        <f t="shared" si="43"/>
        <v>1513.8349450000001</v>
      </c>
      <c r="AB186">
        <f t="shared" si="43"/>
        <v>756.91747250000003</v>
      </c>
      <c r="AC186">
        <f t="shared" si="43"/>
        <v>378.45873625000002</v>
      </c>
      <c r="AD186">
        <f t="shared" si="40"/>
        <v>252.30582416666667</v>
      </c>
      <c r="AE186">
        <f t="shared" si="44"/>
        <v>189.22936812500001</v>
      </c>
      <c r="AH186" s="1"/>
      <c r="AK186" s="1"/>
      <c r="AN186"/>
    </row>
    <row r="187" spans="14:40" ht="15" x14ac:dyDescent="0.25">
      <c r="N187" s="93"/>
      <c r="O187">
        <v>80</v>
      </c>
      <c r="P187">
        <f t="shared" si="45"/>
        <v>508.08</v>
      </c>
      <c r="R187">
        <f t="shared" si="41"/>
        <v>508.08</v>
      </c>
      <c r="S187" s="10">
        <f t="shared" si="46"/>
        <v>1126.4000000000001</v>
      </c>
      <c r="T187">
        <f t="shared" si="39"/>
        <v>865.04854</v>
      </c>
      <c r="V187" s="1">
        <v>80</v>
      </c>
      <c r="W187">
        <f t="shared" si="42"/>
        <v>5190.2912400000005</v>
      </c>
      <c r="X187">
        <f t="shared" si="43"/>
        <v>4325.2426999999998</v>
      </c>
      <c r="Y187" s="1">
        <f t="shared" si="43"/>
        <v>3460.19416</v>
      </c>
      <c r="Z187">
        <f t="shared" si="43"/>
        <v>2595.1456200000002</v>
      </c>
      <c r="AA187">
        <f t="shared" si="43"/>
        <v>1730.09708</v>
      </c>
      <c r="AB187">
        <f t="shared" si="43"/>
        <v>865.04854</v>
      </c>
      <c r="AC187">
        <f t="shared" si="43"/>
        <v>432.52427</v>
      </c>
      <c r="AD187">
        <f t="shared" si="40"/>
        <v>288.34951333333333</v>
      </c>
      <c r="AE187">
        <f t="shared" si="44"/>
        <v>216.262135</v>
      </c>
      <c r="AH187" s="1"/>
      <c r="AK187" s="1"/>
      <c r="AN187"/>
    </row>
    <row r="188" spans="14:40" ht="15" x14ac:dyDescent="0.25">
      <c r="N188" s="93">
        <v>300</v>
      </c>
      <c r="O188">
        <v>5</v>
      </c>
      <c r="P188">
        <f t="shared" ref="P188:P196" si="47">AB87</f>
        <v>31.754999999999999</v>
      </c>
      <c r="R188">
        <f t="shared" si="41"/>
        <v>31.754999999999999</v>
      </c>
      <c r="S188" s="10">
        <f>O188*1.6*($P$95+$U$85)</f>
        <v>75.2</v>
      </c>
      <c r="T188">
        <f t="shared" si="39"/>
        <v>56.605933749999998</v>
      </c>
      <c r="V188" s="1">
        <v>5</v>
      </c>
      <c r="W188">
        <f t="shared" si="42"/>
        <v>339.6356025</v>
      </c>
      <c r="X188">
        <f t="shared" si="43"/>
        <v>283.02966874999998</v>
      </c>
      <c r="Y188" s="1">
        <f t="shared" si="43"/>
        <v>226.42373499999999</v>
      </c>
      <c r="Z188">
        <f t="shared" si="43"/>
        <v>169.81780125</v>
      </c>
      <c r="AA188">
        <f t="shared" si="43"/>
        <v>113.2118675</v>
      </c>
      <c r="AB188">
        <f t="shared" si="43"/>
        <v>56.605933749999998</v>
      </c>
      <c r="AC188">
        <f t="shared" si="43"/>
        <v>28.302966874999999</v>
      </c>
      <c r="AD188">
        <f t="shared" si="40"/>
        <v>18.868644583333332</v>
      </c>
      <c r="AE188">
        <f t="shared" si="44"/>
        <v>14.1514834375</v>
      </c>
      <c r="AH188" s="1"/>
      <c r="AK188" s="1"/>
      <c r="AN188"/>
    </row>
    <row r="189" spans="14:40" ht="15" x14ac:dyDescent="0.25">
      <c r="N189" s="93"/>
      <c r="O189">
        <v>10</v>
      </c>
      <c r="P189">
        <f t="shared" si="47"/>
        <v>63.51</v>
      </c>
      <c r="R189">
        <f t="shared" si="41"/>
        <v>63.51</v>
      </c>
      <c r="S189" s="10">
        <f t="shared" ref="S189:S196" si="48">O189*1.6*($P$95+$U$85)</f>
        <v>150.4</v>
      </c>
      <c r="T189">
        <f t="shared" si="39"/>
        <v>113.2118675</v>
      </c>
      <c r="V189" s="1">
        <v>10</v>
      </c>
      <c r="W189">
        <f t="shared" si="42"/>
        <v>679.27120500000001</v>
      </c>
      <c r="X189">
        <f t="shared" si="43"/>
        <v>566.05933749999997</v>
      </c>
      <c r="Y189" s="1">
        <f t="shared" si="43"/>
        <v>452.84746999999999</v>
      </c>
      <c r="Z189">
        <f t="shared" si="43"/>
        <v>339.6356025</v>
      </c>
      <c r="AA189">
        <f t="shared" si="43"/>
        <v>226.42373499999999</v>
      </c>
      <c r="AB189">
        <f t="shared" si="43"/>
        <v>113.2118675</v>
      </c>
      <c r="AC189">
        <f t="shared" si="43"/>
        <v>56.605933749999998</v>
      </c>
      <c r="AD189">
        <f t="shared" si="40"/>
        <v>37.737289166666663</v>
      </c>
      <c r="AE189">
        <f t="shared" si="44"/>
        <v>28.302966874999999</v>
      </c>
      <c r="AH189" s="1"/>
      <c r="AK189" s="1"/>
      <c r="AN189"/>
    </row>
    <row r="190" spans="14:40" ht="15" x14ac:dyDescent="0.25">
      <c r="N190" s="93"/>
      <c r="O190">
        <v>20</v>
      </c>
      <c r="P190">
        <f t="shared" si="47"/>
        <v>127.02</v>
      </c>
      <c r="R190">
        <f t="shared" si="41"/>
        <v>127.02</v>
      </c>
      <c r="S190" s="10">
        <f t="shared" si="48"/>
        <v>300.8</v>
      </c>
      <c r="T190">
        <f t="shared" si="39"/>
        <v>226.42373499999999</v>
      </c>
      <c r="V190" s="1">
        <v>20</v>
      </c>
      <c r="W190">
        <f t="shared" si="42"/>
        <v>1358.54241</v>
      </c>
      <c r="X190">
        <f t="shared" si="43"/>
        <v>1132.1186749999999</v>
      </c>
      <c r="Y190" s="1">
        <f t="shared" si="43"/>
        <v>905.69493999999997</v>
      </c>
      <c r="Z190">
        <f t="shared" si="43"/>
        <v>679.27120500000001</v>
      </c>
      <c r="AA190">
        <f t="shared" si="43"/>
        <v>452.84746999999999</v>
      </c>
      <c r="AB190">
        <f t="shared" si="43"/>
        <v>226.42373499999999</v>
      </c>
      <c r="AC190">
        <f t="shared" si="43"/>
        <v>113.2118675</v>
      </c>
      <c r="AD190">
        <f t="shared" si="40"/>
        <v>75.474578333333326</v>
      </c>
      <c r="AE190">
        <f t="shared" si="44"/>
        <v>56.605933749999998</v>
      </c>
      <c r="AH190" s="1">
        <v>20</v>
      </c>
      <c r="AK190" s="1">
        <v>905.69493999999997</v>
      </c>
      <c r="AN190"/>
    </row>
    <row r="191" spans="14:40" ht="15" x14ac:dyDescent="0.25">
      <c r="N191" s="93"/>
      <c r="O191">
        <v>30</v>
      </c>
      <c r="P191">
        <f t="shared" si="47"/>
        <v>190.53</v>
      </c>
      <c r="R191">
        <f t="shared" si="41"/>
        <v>190.53</v>
      </c>
      <c r="S191" s="10">
        <f t="shared" si="48"/>
        <v>451.20000000000005</v>
      </c>
      <c r="T191">
        <f t="shared" si="39"/>
        <v>339.6356025</v>
      </c>
      <c r="V191" s="1">
        <v>30</v>
      </c>
      <c r="W191">
        <f t="shared" si="42"/>
        <v>2037.813615</v>
      </c>
      <c r="X191">
        <f t="shared" si="43"/>
        <v>1698.1780125</v>
      </c>
      <c r="Y191" s="1">
        <f t="shared" si="43"/>
        <v>1358.54241</v>
      </c>
      <c r="Z191">
        <f t="shared" si="43"/>
        <v>1018.9068075</v>
      </c>
      <c r="AA191">
        <f t="shared" si="43"/>
        <v>679.27120500000001</v>
      </c>
      <c r="AB191">
        <f t="shared" si="43"/>
        <v>339.6356025</v>
      </c>
      <c r="AC191">
        <f t="shared" si="43"/>
        <v>169.81780125</v>
      </c>
      <c r="AD191">
        <f t="shared" si="40"/>
        <v>113.2118675</v>
      </c>
      <c r="AE191">
        <f t="shared" si="44"/>
        <v>84.908900625000001</v>
      </c>
      <c r="AH191" s="1"/>
      <c r="AK191" s="1"/>
      <c r="AN191"/>
    </row>
    <row r="192" spans="14:40" ht="15" x14ac:dyDescent="0.25">
      <c r="N192" s="93"/>
      <c r="O192">
        <v>40</v>
      </c>
      <c r="P192">
        <f t="shared" si="47"/>
        <v>254.04</v>
      </c>
      <c r="R192">
        <f t="shared" si="41"/>
        <v>254.04</v>
      </c>
      <c r="S192" s="10">
        <f t="shared" si="48"/>
        <v>601.6</v>
      </c>
      <c r="T192">
        <f t="shared" si="39"/>
        <v>452.84746999999999</v>
      </c>
      <c r="V192" s="1">
        <v>40</v>
      </c>
      <c r="W192">
        <f t="shared" si="42"/>
        <v>2717.08482</v>
      </c>
      <c r="X192">
        <f t="shared" si="43"/>
        <v>2264.2373499999999</v>
      </c>
      <c r="Y192" s="1">
        <f t="shared" si="43"/>
        <v>1811.3898799999999</v>
      </c>
      <c r="Z192">
        <f t="shared" si="43"/>
        <v>1358.54241</v>
      </c>
      <c r="AA192">
        <f t="shared" si="43"/>
        <v>905.69493999999997</v>
      </c>
      <c r="AB192">
        <f t="shared" si="43"/>
        <v>452.84746999999999</v>
      </c>
      <c r="AC192">
        <f t="shared" si="43"/>
        <v>226.42373499999999</v>
      </c>
      <c r="AD192">
        <f t="shared" si="40"/>
        <v>150.94915666666665</v>
      </c>
      <c r="AE192">
        <f t="shared" si="44"/>
        <v>113.2118675</v>
      </c>
      <c r="AH192" s="1"/>
      <c r="AK192" s="1"/>
      <c r="AN192"/>
    </row>
    <row r="193" spans="14:40" ht="15" x14ac:dyDescent="0.25">
      <c r="N193" s="93"/>
      <c r="O193">
        <v>50</v>
      </c>
      <c r="P193">
        <f t="shared" si="47"/>
        <v>317.55</v>
      </c>
      <c r="R193">
        <f t="shared" si="41"/>
        <v>317.55</v>
      </c>
      <c r="S193" s="10">
        <f t="shared" si="48"/>
        <v>752</v>
      </c>
      <c r="T193">
        <f t="shared" si="39"/>
        <v>566.05933749999997</v>
      </c>
      <c r="V193" s="1">
        <v>50</v>
      </c>
      <c r="W193">
        <f t="shared" si="42"/>
        <v>3396.356025</v>
      </c>
      <c r="X193">
        <f t="shared" si="43"/>
        <v>2830.2966874999997</v>
      </c>
      <c r="Y193" s="1">
        <f t="shared" si="43"/>
        <v>2264.2373499999999</v>
      </c>
      <c r="Z193">
        <f t="shared" si="43"/>
        <v>1698.1780125</v>
      </c>
      <c r="AA193">
        <f t="shared" si="43"/>
        <v>1132.1186749999999</v>
      </c>
      <c r="AB193">
        <f t="shared" si="43"/>
        <v>566.05933749999997</v>
      </c>
      <c r="AC193">
        <f t="shared" si="43"/>
        <v>283.02966874999998</v>
      </c>
      <c r="AD193">
        <f t="shared" si="40"/>
        <v>188.68644583333332</v>
      </c>
      <c r="AE193">
        <f t="shared" si="44"/>
        <v>141.51483437499999</v>
      </c>
      <c r="AH193" s="1"/>
      <c r="AK193" s="1"/>
      <c r="AN193"/>
    </row>
    <row r="194" spans="14:40" ht="15" x14ac:dyDescent="0.25">
      <c r="N194" s="93"/>
      <c r="O194">
        <v>60</v>
      </c>
      <c r="P194">
        <f t="shared" si="47"/>
        <v>381.06</v>
      </c>
      <c r="R194">
        <f t="shared" si="41"/>
        <v>381.06</v>
      </c>
      <c r="S194" s="10">
        <f t="shared" si="48"/>
        <v>902.40000000000009</v>
      </c>
      <c r="T194">
        <f t="shared" si="39"/>
        <v>679.27120500000001</v>
      </c>
      <c r="V194" s="1">
        <v>60</v>
      </c>
      <c r="W194">
        <f t="shared" si="42"/>
        <v>4075.6272300000001</v>
      </c>
      <c r="X194">
        <f t="shared" si="43"/>
        <v>3396.356025</v>
      </c>
      <c r="Y194" s="1">
        <f t="shared" si="43"/>
        <v>2717.08482</v>
      </c>
      <c r="Z194">
        <f t="shared" si="43"/>
        <v>2037.813615</v>
      </c>
      <c r="AA194">
        <f t="shared" si="43"/>
        <v>1358.54241</v>
      </c>
      <c r="AB194">
        <f t="shared" si="43"/>
        <v>679.27120500000001</v>
      </c>
      <c r="AC194">
        <f t="shared" si="43"/>
        <v>339.6356025</v>
      </c>
      <c r="AD194">
        <f t="shared" si="40"/>
        <v>226.42373499999999</v>
      </c>
      <c r="AE194">
        <f t="shared" si="44"/>
        <v>169.81780125</v>
      </c>
      <c r="AH194" s="1"/>
      <c r="AK194" s="1"/>
      <c r="AN194"/>
    </row>
    <row r="195" spans="14:40" ht="15" x14ac:dyDescent="0.25">
      <c r="N195" s="93"/>
      <c r="O195">
        <v>70</v>
      </c>
      <c r="P195">
        <f t="shared" si="47"/>
        <v>444.57</v>
      </c>
      <c r="R195">
        <f t="shared" si="41"/>
        <v>444.57</v>
      </c>
      <c r="S195" s="10">
        <f t="shared" si="48"/>
        <v>1052.8</v>
      </c>
      <c r="T195">
        <f t="shared" si="39"/>
        <v>792.48307249999993</v>
      </c>
      <c r="V195" s="1">
        <v>70</v>
      </c>
      <c r="W195">
        <f t="shared" si="42"/>
        <v>4754.8984349999992</v>
      </c>
      <c r="X195">
        <f t="shared" si="43"/>
        <v>3962.4153624999999</v>
      </c>
      <c r="Y195" s="1">
        <f t="shared" si="43"/>
        <v>3169.9322899999997</v>
      </c>
      <c r="Z195">
        <f t="shared" si="43"/>
        <v>2377.4492174999996</v>
      </c>
      <c r="AA195">
        <f t="shared" si="43"/>
        <v>1584.9661449999999</v>
      </c>
      <c r="AB195">
        <f t="shared" si="43"/>
        <v>792.48307249999993</v>
      </c>
      <c r="AC195">
        <f t="shared" si="43"/>
        <v>396.24153624999997</v>
      </c>
      <c r="AD195">
        <f t="shared" si="40"/>
        <v>264.16102416666661</v>
      </c>
      <c r="AE195">
        <f t="shared" si="44"/>
        <v>198.12076812499998</v>
      </c>
      <c r="AH195" s="1"/>
      <c r="AK195" s="1"/>
      <c r="AN195"/>
    </row>
    <row r="196" spans="14:40" ht="15" x14ac:dyDescent="0.25">
      <c r="N196" s="93"/>
      <c r="O196">
        <v>80</v>
      </c>
      <c r="P196">
        <f t="shared" si="47"/>
        <v>508.08</v>
      </c>
      <c r="R196">
        <f t="shared" si="41"/>
        <v>508.08</v>
      </c>
      <c r="S196" s="10">
        <f t="shared" si="48"/>
        <v>1203.2</v>
      </c>
      <c r="T196">
        <f t="shared" si="39"/>
        <v>905.69493999999997</v>
      </c>
      <c r="V196" s="1">
        <v>80</v>
      </c>
      <c r="W196">
        <f t="shared" si="42"/>
        <v>5434.1696400000001</v>
      </c>
      <c r="X196">
        <f t="shared" si="43"/>
        <v>4528.4746999999998</v>
      </c>
      <c r="Y196" s="1">
        <f t="shared" si="43"/>
        <v>3622.7797599999999</v>
      </c>
      <c r="Z196">
        <f t="shared" si="43"/>
        <v>2717.08482</v>
      </c>
      <c r="AA196">
        <f t="shared" si="43"/>
        <v>1811.3898799999999</v>
      </c>
      <c r="AB196">
        <f t="shared" si="43"/>
        <v>905.69493999999997</v>
      </c>
      <c r="AC196">
        <f t="shared" si="43"/>
        <v>452.84746999999999</v>
      </c>
      <c r="AD196">
        <f t="shared" si="40"/>
        <v>301.89831333333331</v>
      </c>
      <c r="AE196">
        <f t="shared" si="44"/>
        <v>226.42373499999999</v>
      </c>
      <c r="AH196" s="1"/>
      <c r="AK196" s="1"/>
      <c r="AN196"/>
    </row>
    <row r="197" spans="14:40" ht="15" x14ac:dyDescent="0.25">
      <c r="N197" s="93">
        <v>400</v>
      </c>
      <c r="O197">
        <v>5</v>
      </c>
      <c r="P197">
        <f t="shared" ref="P197:P205" si="49">AC87</f>
        <v>26.37</v>
      </c>
      <c r="R197">
        <f t="shared" si="41"/>
        <v>26.37</v>
      </c>
      <c r="S197" s="10">
        <f>O197*1.6*($P$96+$U$86)</f>
        <v>140.80000000000001</v>
      </c>
      <c r="T197">
        <f>(R197+S197)*$X$101</f>
        <v>36.7356075</v>
      </c>
      <c r="V197" s="1">
        <v>5</v>
      </c>
      <c r="W197">
        <f t="shared" si="42"/>
        <v>220.413645</v>
      </c>
      <c r="X197">
        <f t="shared" si="43"/>
        <v>183.67803750000002</v>
      </c>
      <c r="Y197" s="1">
        <f t="shared" si="43"/>
        <v>146.94243</v>
      </c>
      <c r="Z197">
        <f t="shared" si="43"/>
        <v>110.2068225</v>
      </c>
      <c r="AA197">
        <f t="shared" si="43"/>
        <v>73.471215000000001</v>
      </c>
      <c r="AB197">
        <f t="shared" si="43"/>
        <v>36.7356075</v>
      </c>
      <c r="AC197">
        <f t="shared" si="43"/>
        <v>18.36780375</v>
      </c>
      <c r="AD197">
        <f t="shared" si="40"/>
        <v>12.2452025</v>
      </c>
      <c r="AE197">
        <f t="shared" si="44"/>
        <v>9.1839018750000001</v>
      </c>
      <c r="AH197" s="1"/>
      <c r="AK197" s="1"/>
      <c r="AN197"/>
    </row>
    <row r="198" spans="14:40" ht="15" x14ac:dyDescent="0.25">
      <c r="N198" s="93"/>
      <c r="O198">
        <v>10</v>
      </c>
      <c r="P198">
        <f t="shared" si="49"/>
        <v>52.74</v>
      </c>
      <c r="R198">
        <f t="shared" si="41"/>
        <v>52.74</v>
      </c>
      <c r="S198" s="10">
        <f t="shared" ref="S198:S205" si="50">O198*1.6*($P$96+$U$86)</f>
        <v>281.60000000000002</v>
      </c>
      <c r="T198">
        <f t="shared" ref="T198:T241" si="51">(R198+S198)*$X$101</f>
        <v>73.471215000000001</v>
      </c>
      <c r="V198" s="1">
        <v>10</v>
      </c>
      <c r="W198">
        <f t="shared" si="42"/>
        <v>440.82729</v>
      </c>
      <c r="X198">
        <f t="shared" si="43"/>
        <v>367.35607500000003</v>
      </c>
      <c r="Y198" s="1">
        <f t="shared" si="43"/>
        <v>293.88486</v>
      </c>
      <c r="Z198">
        <f t="shared" si="43"/>
        <v>220.413645</v>
      </c>
      <c r="AA198">
        <f t="shared" si="43"/>
        <v>146.94243</v>
      </c>
      <c r="AB198">
        <f t="shared" si="43"/>
        <v>73.471215000000001</v>
      </c>
      <c r="AC198">
        <f t="shared" si="43"/>
        <v>36.7356075</v>
      </c>
      <c r="AD198">
        <f t="shared" si="40"/>
        <v>24.490404999999999</v>
      </c>
      <c r="AE198">
        <f t="shared" si="44"/>
        <v>18.36780375</v>
      </c>
      <c r="AH198" s="1"/>
      <c r="AK198" s="1"/>
      <c r="AN198"/>
    </row>
    <row r="199" spans="14:40" ht="15" x14ac:dyDescent="0.25">
      <c r="N199" s="93"/>
      <c r="O199">
        <v>20</v>
      </c>
      <c r="P199">
        <f t="shared" si="49"/>
        <v>105.48</v>
      </c>
      <c r="R199">
        <f t="shared" si="41"/>
        <v>105.48</v>
      </c>
      <c r="S199" s="10">
        <f t="shared" si="50"/>
        <v>563.20000000000005</v>
      </c>
      <c r="T199">
        <f t="shared" si="51"/>
        <v>146.94243</v>
      </c>
      <c r="V199" s="1">
        <v>20</v>
      </c>
      <c r="W199">
        <f t="shared" si="42"/>
        <v>881.65458000000001</v>
      </c>
      <c r="X199">
        <f t="shared" si="43"/>
        <v>734.71215000000007</v>
      </c>
      <c r="Y199" s="1">
        <f t="shared" si="43"/>
        <v>587.76972000000001</v>
      </c>
      <c r="Z199">
        <f t="shared" si="43"/>
        <v>440.82729</v>
      </c>
      <c r="AA199">
        <f t="shared" si="43"/>
        <v>293.88486</v>
      </c>
      <c r="AB199">
        <f t="shared" si="43"/>
        <v>146.94243</v>
      </c>
      <c r="AC199">
        <f t="shared" si="43"/>
        <v>73.471215000000001</v>
      </c>
      <c r="AD199">
        <f t="shared" si="40"/>
        <v>48.980809999999998</v>
      </c>
      <c r="AE199">
        <f t="shared" si="44"/>
        <v>36.7356075</v>
      </c>
      <c r="AH199" s="1">
        <v>20</v>
      </c>
      <c r="AK199" s="1">
        <v>587.76972000000001</v>
      </c>
      <c r="AN199"/>
    </row>
    <row r="200" spans="14:40" ht="15" x14ac:dyDescent="0.25">
      <c r="N200" s="93"/>
      <c r="O200">
        <v>30</v>
      </c>
      <c r="P200">
        <f t="shared" si="49"/>
        <v>158.22</v>
      </c>
      <c r="R200">
        <f t="shared" si="41"/>
        <v>158.22</v>
      </c>
      <c r="S200" s="10">
        <f t="shared" si="50"/>
        <v>844.80000000000007</v>
      </c>
      <c r="T200">
        <f t="shared" si="51"/>
        <v>220.41364500000003</v>
      </c>
      <c r="V200" s="1">
        <v>30</v>
      </c>
      <c r="W200">
        <f t="shared" si="42"/>
        <v>1322.4818700000001</v>
      </c>
      <c r="X200">
        <f t="shared" si="43"/>
        <v>1102.0682250000002</v>
      </c>
      <c r="Y200" s="1">
        <f t="shared" si="43"/>
        <v>881.65458000000012</v>
      </c>
      <c r="Z200">
        <f t="shared" si="43"/>
        <v>661.24093500000004</v>
      </c>
      <c r="AA200">
        <f t="shared" si="43"/>
        <v>440.82729000000006</v>
      </c>
      <c r="AB200">
        <f t="shared" si="43"/>
        <v>220.41364500000003</v>
      </c>
      <c r="AC200">
        <f t="shared" si="43"/>
        <v>110.20682250000002</v>
      </c>
      <c r="AD200">
        <f t="shared" si="40"/>
        <v>73.471215000000001</v>
      </c>
      <c r="AE200">
        <f t="shared" si="44"/>
        <v>55.103411250000008</v>
      </c>
      <c r="AH200" s="1"/>
      <c r="AK200" s="1"/>
      <c r="AN200"/>
    </row>
    <row r="201" spans="14:40" ht="15" x14ac:dyDescent="0.25">
      <c r="N201" s="93"/>
      <c r="O201">
        <v>40</v>
      </c>
      <c r="P201">
        <f t="shared" si="49"/>
        <v>210.96</v>
      </c>
      <c r="R201">
        <f t="shared" si="41"/>
        <v>210.96</v>
      </c>
      <c r="S201" s="10">
        <f t="shared" si="50"/>
        <v>1126.4000000000001</v>
      </c>
      <c r="T201">
        <f t="shared" si="51"/>
        <v>293.88486</v>
      </c>
      <c r="V201" s="1">
        <v>40</v>
      </c>
      <c r="W201">
        <f t="shared" si="42"/>
        <v>1763.30916</v>
      </c>
      <c r="X201">
        <f t="shared" si="43"/>
        <v>1469.4243000000001</v>
      </c>
      <c r="Y201" s="1">
        <f t="shared" si="43"/>
        <v>1175.53944</v>
      </c>
      <c r="Z201">
        <f t="shared" si="43"/>
        <v>881.65458000000001</v>
      </c>
      <c r="AA201">
        <f t="shared" si="43"/>
        <v>587.76972000000001</v>
      </c>
      <c r="AB201">
        <f t="shared" si="43"/>
        <v>293.88486</v>
      </c>
      <c r="AC201">
        <f t="shared" si="43"/>
        <v>146.94243</v>
      </c>
      <c r="AD201">
        <f t="shared" si="40"/>
        <v>97.961619999999996</v>
      </c>
      <c r="AE201">
        <f t="shared" si="44"/>
        <v>73.471215000000001</v>
      </c>
      <c r="AH201" s="1"/>
      <c r="AK201" s="1"/>
      <c r="AN201"/>
    </row>
    <row r="202" spans="14:40" ht="15" x14ac:dyDescent="0.25">
      <c r="N202" s="93"/>
      <c r="O202">
        <v>50</v>
      </c>
      <c r="P202">
        <f t="shared" si="49"/>
        <v>263.7</v>
      </c>
      <c r="R202">
        <f t="shared" si="41"/>
        <v>263.7</v>
      </c>
      <c r="S202" s="10">
        <f t="shared" si="50"/>
        <v>1408</v>
      </c>
      <c r="T202">
        <f t="shared" si="51"/>
        <v>367.35607500000003</v>
      </c>
      <c r="V202" s="1">
        <v>50</v>
      </c>
      <c r="W202">
        <f t="shared" si="42"/>
        <v>2204.13645</v>
      </c>
      <c r="X202">
        <f t="shared" si="43"/>
        <v>1836.7803750000003</v>
      </c>
      <c r="Y202" s="1">
        <f t="shared" si="43"/>
        <v>1469.4243000000001</v>
      </c>
      <c r="Z202">
        <f t="shared" si="43"/>
        <v>1102.068225</v>
      </c>
      <c r="AA202">
        <f t="shared" si="43"/>
        <v>734.71215000000007</v>
      </c>
      <c r="AB202">
        <f t="shared" si="43"/>
        <v>367.35607500000003</v>
      </c>
      <c r="AC202">
        <f t="shared" si="43"/>
        <v>183.67803750000002</v>
      </c>
      <c r="AD202">
        <f t="shared" si="40"/>
        <v>122.45202500000001</v>
      </c>
      <c r="AE202">
        <f t="shared" si="44"/>
        <v>91.839018750000008</v>
      </c>
      <c r="AH202" s="1"/>
      <c r="AK202" s="1"/>
      <c r="AN202"/>
    </row>
    <row r="203" spans="14:40" ht="15" x14ac:dyDescent="0.25">
      <c r="N203" s="93"/>
      <c r="O203">
        <v>60</v>
      </c>
      <c r="P203">
        <f t="shared" si="49"/>
        <v>316.44</v>
      </c>
      <c r="R203">
        <f t="shared" si="41"/>
        <v>316.44</v>
      </c>
      <c r="S203" s="10">
        <f t="shared" si="50"/>
        <v>1689.6000000000001</v>
      </c>
      <c r="T203">
        <f t="shared" si="51"/>
        <v>440.82729000000006</v>
      </c>
      <c r="V203" s="1">
        <v>60</v>
      </c>
      <c r="W203">
        <f t="shared" si="42"/>
        <v>2644.9637400000001</v>
      </c>
      <c r="X203">
        <f t="shared" si="43"/>
        <v>2204.1364500000004</v>
      </c>
      <c r="Y203" s="1">
        <f t="shared" si="43"/>
        <v>1763.3091600000002</v>
      </c>
      <c r="Z203">
        <f t="shared" si="43"/>
        <v>1322.4818700000001</v>
      </c>
      <c r="AA203">
        <f t="shared" si="43"/>
        <v>881.65458000000012</v>
      </c>
      <c r="AB203">
        <f t="shared" si="43"/>
        <v>440.82729000000006</v>
      </c>
      <c r="AC203">
        <f t="shared" si="43"/>
        <v>220.41364500000003</v>
      </c>
      <c r="AD203">
        <f t="shared" si="40"/>
        <v>146.94243</v>
      </c>
      <c r="AE203">
        <f t="shared" si="44"/>
        <v>110.20682250000002</v>
      </c>
      <c r="AH203" s="1"/>
      <c r="AK203" s="1"/>
      <c r="AN203"/>
    </row>
    <row r="204" spans="14:40" ht="15" x14ac:dyDescent="0.25">
      <c r="N204" s="93"/>
      <c r="O204">
        <v>70</v>
      </c>
      <c r="P204">
        <f t="shared" si="49"/>
        <v>369.18</v>
      </c>
      <c r="R204">
        <f t="shared" si="41"/>
        <v>369.18</v>
      </c>
      <c r="S204" s="10">
        <f t="shared" si="50"/>
        <v>1971.2000000000003</v>
      </c>
      <c r="T204">
        <f t="shared" si="51"/>
        <v>514.29850499999998</v>
      </c>
      <c r="V204" s="1">
        <v>70</v>
      </c>
      <c r="W204">
        <f t="shared" si="42"/>
        <v>3085.7910299999999</v>
      </c>
      <c r="X204">
        <f t="shared" si="43"/>
        <v>2571.4925249999997</v>
      </c>
      <c r="Y204" s="1">
        <f t="shared" si="43"/>
        <v>2057.1940199999999</v>
      </c>
      <c r="Z204">
        <f t="shared" si="43"/>
        <v>1542.8955149999999</v>
      </c>
      <c r="AA204">
        <f t="shared" si="43"/>
        <v>1028.59701</v>
      </c>
      <c r="AB204">
        <f t="shared" si="43"/>
        <v>514.29850499999998</v>
      </c>
      <c r="AC204">
        <f t="shared" si="43"/>
        <v>257.14925249999999</v>
      </c>
      <c r="AD204">
        <f t="shared" si="40"/>
        <v>171.43283499999998</v>
      </c>
      <c r="AE204">
        <f t="shared" ref="AE204:AE235" si="52">$T204*AE$106</f>
        <v>128.57462624999999</v>
      </c>
      <c r="AH204" s="1"/>
      <c r="AK204" s="1"/>
      <c r="AN204"/>
    </row>
    <row r="205" spans="14:40" ht="15" x14ac:dyDescent="0.25">
      <c r="N205" s="93"/>
      <c r="O205">
        <v>80</v>
      </c>
      <c r="P205">
        <f t="shared" si="49"/>
        <v>421.92</v>
      </c>
      <c r="R205">
        <f t="shared" si="41"/>
        <v>421.92</v>
      </c>
      <c r="S205" s="10">
        <f t="shared" si="50"/>
        <v>2252.8000000000002</v>
      </c>
      <c r="T205">
        <f t="shared" si="51"/>
        <v>587.76972000000001</v>
      </c>
      <c r="V205" s="1">
        <v>80</v>
      </c>
      <c r="W205">
        <f t="shared" si="42"/>
        <v>3526.61832</v>
      </c>
      <c r="X205">
        <f t="shared" si="43"/>
        <v>2938.8486000000003</v>
      </c>
      <c r="Y205" s="1">
        <f t="shared" si="43"/>
        <v>2351.07888</v>
      </c>
      <c r="Z205">
        <f t="shared" si="43"/>
        <v>1763.30916</v>
      </c>
      <c r="AA205">
        <f t="shared" si="43"/>
        <v>1175.53944</v>
      </c>
      <c r="AB205">
        <f t="shared" si="43"/>
        <v>587.76972000000001</v>
      </c>
      <c r="AC205">
        <f t="shared" si="43"/>
        <v>293.88486</v>
      </c>
      <c r="AD205">
        <f t="shared" si="40"/>
        <v>195.92323999999999</v>
      </c>
      <c r="AE205">
        <f t="shared" si="52"/>
        <v>146.94243</v>
      </c>
      <c r="AH205" s="1"/>
      <c r="AK205" s="1"/>
      <c r="AN205"/>
    </row>
    <row r="206" spans="14:40" ht="15" x14ac:dyDescent="0.25">
      <c r="N206" s="93">
        <v>500</v>
      </c>
      <c r="O206">
        <v>5</v>
      </c>
      <c r="P206">
        <f t="shared" ref="P206:P214" si="53">AC87</f>
        <v>26.37</v>
      </c>
      <c r="R206">
        <f t="shared" si="41"/>
        <v>26.37</v>
      </c>
      <c r="S206" s="10">
        <f>O206*1.6*($P$97+$U$86)</f>
        <v>145.6</v>
      </c>
      <c r="T206">
        <f t="shared" si="51"/>
        <v>37.790407500000001</v>
      </c>
      <c r="V206" s="1">
        <v>5</v>
      </c>
      <c r="W206">
        <f t="shared" si="42"/>
        <v>226.742445</v>
      </c>
      <c r="X206">
        <f t="shared" si="43"/>
        <v>188.95203750000002</v>
      </c>
      <c r="Y206" s="1">
        <f t="shared" si="43"/>
        <v>151.16163</v>
      </c>
      <c r="Z206">
        <f t="shared" si="43"/>
        <v>113.3712225</v>
      </c>
      <c r="AA206">
        <f t="shared" si="43"/>
        <v>75.580815000000001</v>
      </c>
      <c r="AB206">
        <f t="shared" si="43"/>
        <v>37.790407500000001</v>
      </c>
      <c r="AC206">
        <f t="shared" si="43"/>
        <v>18.89520375</v>
      </c>
      <c r="AD206">
        <f t="shared" si="40"/>
        <v>12.596802499999999</v>
      </c>
      <c r="AE206">
        <f t="shared" si="52"/>
        <v>9.4476018750000001</v>
      </c>
      <c r="AH206" s="1"/>
      <c r="AK206" s="1"/>
      <c r="AN206"/>
    </row>
    <row r="207" spans="14:40" ht="15" x14ac:dyDescent="0.25">
      <c r="N207" s="93"/>
      <c r="O207">
        <v>10</v>
      </c>
      <c r="P207">
        <f t="shared" si="53"/>
        <v>52.74</v>
      </c>
      <c r="R207">
        <f t="shared" si="41"/>
        <v>52.74</v>
      </c>
      <c r="S207" s="10">
        <f t="shared" ref="S207:S214" si="54">O207*1.6*($P$97+$U$86)</f>
        <v>291.2</v>
      </c>
      <c r="T207">
        <f t="shared" si="51"/>
        <v>75.580815000000001</v>
      </c>
      <c r="V207" s="1">
        <v>10</v>
      </c>
      <c r="W207">
        <f t="shared" si="42"/>
        <v>453.48489000000001</v>
      </c>
      <c r="X207">
        <f t="shared" si="43"/>
        <v>377.90407500000003</v>
      </c>
      <c r="Y207" s="1">
        <f t="shared" si="43"/>
        <v>302.32326</v>
      </c>
      <c r="Z207">
        <f t="shared" si="43"/>
        <v>226.742445</v>
      </c>
      <c r="AA207">
        <f t="shared" si="43"/>
        <v>151.16163</v>
      </c>
      <c r="AB207">
        <f t="shared" si="43"/>
        <v>75.580815000000001</v>
      </c>
      <c r="AC207">
        <f t="shared" si="43"/>
        <v>37.790407500000001</v>
      </c>
      <c r="AD207">
        <f t="shared" si="40"/>
        <v>25.193604999999998</v>
      </c>
      <c r="AE207">
        <f t="shared" si="52"/>
        <v>18.89520375</v>
      </c>
      <c r="AH207" s="1"/>
      <c r="AK207" s="1"/>
      <c r="AN207"/>
    </row>
    <row r="208" spans="14:40" ht="15" x14ac:dyDescent="0.25">
      <c r="N208" s="93"/>
      <c r="O208">
        <v>20</v>
      </c>
      <c r="P208">
        <f t="shared" si="53"/>
        <v>105.48</v>
      </c>
      <c r="R208">
        <f t="shared" si="41"/>
        <v>105.48</v>
      </c>
      <c r="S208" s="10">
        <f t="shared" si="54"/>
        <v>582.4</v>
      </c>
      <c r="T208">
        <f t="shared" si="51"/>
        <v>151.16163</v>
      </c>
      <c r="V208" s="1">
        <v>20</v>
      </c>
      <c r="W208">
        <f t="shared" si="42"/>
        <v>906.96978000000001</v>
      </c>
      <c r="X208">
        <f t="shared" si="43"/>
        <v>755.80815000000007</v>
      </c>
      <c r="Y208" s="1">
        <f t="shared" si="43"/>
        <v>604.64652000000001</v>
      </c>
      <c r="Z208">
        <f t="shared" ref="X208:AD241" si="55">$T208*Z$106</f>
        <v>453.48489000000001</v>
      </c>
      <c r="AA208">
        <f t="shared" si="55"/>
        <v>302.32326</v>
      </c>
      <c r="AB208">
        <f t="shared" si="55"/>
        <v>151.16163</v>
      </c>
      <c r="AC208">
        <f t="shared" si="55"/>
        <v>75.580815000000001</v>
      </c>
      <c r="AD208">
        <f t="shared" si="40"/>
        <v>50.387209999999996</v>
      </c>
      <c r="AE208">
        <f t="shared" si="52"/>
        <v>37.790407500000001</v>
      </c>
      <c r="AH208" s="1">
        <v>20</v>
      </c>
      <c r="AK208" s="1">
        <v>604.64652000000001</v>
      </c>
      <c r="AN208"/>
    </row>
    <row r="209" spans="14:40" ht="15" x14ac:dyDescent="0.25">
      <c r="N209" s="93"/>
      <c r="O209">
        <v>30</v>
      </c>
      <c r="P209">
        <f t="shared" si="53"/>
        <v>158.22</v>
      </c>
      <c r="R209">
        <f t="shared" si="41"/>
        <v>158.22</v>
      </c>
      <c r="S209" s="10">
        <f t="shared" si="54"/>
        <v>873.59999999999991</v>
      </c>
      <c r="T209">
        <f t="shared" si="51"/>
        <v>226.74244499999998</v>
      </c>
      <c r="V209" s="1">
        <v>30</v>
      </c>
      <c r="W209">
        <f t="shared" si="42"/>
        <v>1360.4546699999999</v>
      </c>
      <c r="X209">
        <f t="shared" si="55"/>
        <v>1133.7122249999998</v>
      </c>
      <c r="Y209" s="1">
        <f t="shared" si="55"/>
        <v>906.9697799999999</v>
      </c>
      <c r="Z209">
        <f t="shared" si="55"/>
        <v>680.22733499999993</v>
      </c>
      <c r="AA209">
        <f t="shared" si="55"/>
        <v>453.48488999999995</v>
      </c>
      <c r="AB209">
        <f t="shared" si="55"/>
        <v>226.74244499999998</v>
      </c>
      <c r="AC209">
        <f t="shared" si="55"/>
        <v>113.37122249999999</v>
      </c>
      <c r="AD209">
        <f t="shared" si="40"/>
        <v>75.580814999999987</v>
      </c>
      <c r="AE209">
        <f t="shared" si="52"/>
        <v>56.685611249999994</v>
      </c>
      <c r="AH209" s="1"/>
      <c r="AK209" s="1"/>
      <c r="AN209"/>
    </row>
    <row r="210" spans="14:40" ht="15" x14ac:dyDescent="0.25">
      <c r="N210" s="93"/>
      <c r="O210">
        <v>40</v>
      </c>
      <c r="P210">
        <f t="shared" si="53"/>
        <v>210.96</v>
      </c>
      <c r="R210">
        <f t="shared" si="41"/>
        <v>210.96</v>
      </c>
      <c r="S210" s="10">
        <f t="shared" si="54"/>
        <v>1164.8</v>
      </c>
      <c r="T210">
        <f t="shared" si="51"/>
        <v>302.32326</v>
      </c>
      <c r="V210" s="1">
        <v>40</v>
      </c>
      <c r="W210">
        <f t="shared" si="42"/>
        <v>1813.93956</v>
      </c>
      <c r="X210">
        <f t="shared" si="55"/>
        <v>1511.6163000000001</v>
      </c>
      <c r="Y210" s="1">
        <f t="shared" si="55"/>
        <v>1209.29304</v>
      </c>
      <c r="Z210">
        <f t="shared" si="55"/>
        <v>906.96978000000001</v>
      </c>
      <c r="AA210">
        <f t="shared" si="55"/>
        <v>604.64652000000001</v>
      </c>
      <c r="AB210">
        <f t="shared" si="55"/>
        <v>302.32326</v>
      </c>
      <c r="AC210">
        <f t="shared" si="55"/>
        <v>151.16163</v>
      </c>
      <c r="AD210">
        <f t="shared" si="40"/>
        <v>100.77441999999999</v>
      </c>
      <c r="AE210">
        <f t="shared" si="52"/>
        <v>75.580815000000001</v>
      </c>
      <c r="AH210" s="1"/>
      <c r="AK210" s="1"/>
      <c r="AN210"/>
    </row>
    <row r="211" spans="14:40" ht="15" x14ac:dyDescent="0.25">
      <c r="N211" s="93"/>
      <c r="O211">
        <v>50</v>
      </c>
      <c r="P211">
        <f t="shared" si="53"/>
        <v>263.7</v>
      </c>
      <c r="R211">
        <f t="shared" si="41"/>
        <v>263.7</v>
      </c>
      <c r="S211" s="10">
        <f t="shared" si="54"/>
        <v>1456</v>
      </c>
      <c r="T211">
        <f t="shared" si="51"/>
        <v>377.90407500000003</v>
      </c>
      <c r="V211" s="1">
        <v>50</v>
      </c>
      <c r="W211">
        <f t="shared" si="42"/>
        <v>2267.4244500000004</v>
      </c>
      <c r="X211">
        <f t="shared" si="55"/>
        <v>1889.5203750000001</v>
      </c>
      <c r="Y211" s="1">
        <f t="shared" si="55"/>
        <v>1511.6163000000001</v>
      </c>
      <c r="Z211">
        <f t="shared" si="55"/>
        <v>1133.7122250000002</v>
      </c>
      <c r="AA211">
        <f t="shared" si="55"/>
        <v>755.80815000000007</v>
      </c>
      <c r="AB211">
        <f t="shared" si="55"/>
        <v>377.90407500000003</v>
      </c>
      <c r="AC211">
        <f t="shared" si="55"/>
        <v>188.95203750000002</v>
      </c>
      <c r="AD211">
        <f t="shared" si="40"/>
        <v>125.96802500000001</v>
      </c>
      <c r="AE211">
        <f t="shared" si="52"/>
        <v>94.476018750000009</v>
      </c>
      <c r="AH211" s="1"/>
      <c r="AK211" s="1"/>
      <c r="AN211"/>
    </row>
    <row r="212" spans="14:40" ht="15" x14ac:dyDescent="0.25">
      <c r="N212" s="93"/>
      <c r="O212">
        <v>60</v>
      </c>
      <c r="P212">
        <f t="shared" si="53"/>
        <v>316.44</v>
      </c>
      <c r="R212">
        <f t="shared" si="41"/>
        <v>316.44</v>
      </c>
      <c r="S212" s="10">
        <f t="shared" si="54"/>
        <v>1747.1999999999998</v>
      </c>
      <c r="T212">
        <f t="shared" si="51"/>
        <v>453.48488999999995</v>
      </c>
      <c r="V212" s="1">
        <v>60</v>
      </c>
      <c r="W212">
        <f t="shared" si="42"/>
        <v>2720.9093399999997</v>
      </c>
      <c r="X212">
        <f t="shared" si="55"/>
        <v>2267.4244499999995</v>
      </c>
      <c r="Y212" s="1">
        <f t="shared" si="55"/>
        <v>1813.9395599999998</v>
      </c>
      <c r="Z212">
        <f t="shared" si="55"/>
        <v>1360.4546699999999</v>
      </c>
      <c r="AA212">
        <f t="shared" si="55"/>
        <v>906.9697799999999</v>
      </c>
      <c r="AB212">
        <f t="shared" si="55"/>
        <v>453.48488999999995</v>
      </c>
      <c r="AC212">
        <f t="shared" si="55"/>
        <v>226.74244499999998</v>
      </c>
      <c r="AD212">
        <f t="shared" si="40"/>
        <v>151.16162999999997</v>
      </c>
      <c r="AE212">
        <f t="shared" si="52"/>
        <v>113.37122249999999</v>
      </c>
      <c r="AH212" s="1"/>
      <c r="AK212" s="1"/>
      <c r="AN212"/>
    </row>
    <row r="213" spans="14:40" ht="15" x14ac:dyDescent="0.25">
      <c r="N213" s="93"/>
      <c r="O213">
        <v>70</v>
      </c>
      <c r="P213">
        <f t="shared" si="53"/>
        <v>369.18</v>
      </c>
      <c r="R213">
        <f t="shared" si="41"/>
        <v>369.18</v>
      </c>
      <c r="S213" s="10">
        <f t="shared" si="54"/>
        <v>2038.3999999999999</v>
      </c>
      <c r="T213">
        <f t="shared" si="51"/>
        <v>529.06570499999998</v>
      </c>
      <c r="V213" s="1">
        <v>70</v>
      </c>
      <c r="W213">
        <f t="shared" si="42"/>
        <v>3174.3942299999999</v>
      </c>
      <c r="X213">
        <f t="shared" si="55"/>
        <v>2645.3285249999999</v>
      </c>
      <c r="Y213" s="1">
        <f t="shared" si="55"/>
        <v>2116.2628199999999</v>
      </c>
      <c r="Z213">
        <f t="shared" si="55"/>
        <v>1587.1971149999999</v>
      </c>
      <c r="AA213">
        <f t="shared" si="55"/>
        <v>1058.13141</v>
      </c>
      <c r="AB213">
        <f t="shared" si="55"/>
        <v>529.06570499999998</v>
      </c>
      <c r="AC213">
        <f t="shared" si="55"/>
        <v>264.53285249999999</v>
      </c>
      <c r="AD213">
        <f t="shared" si="40"/>
        <v>176.35523499999999</v>
      </c>
      <c r="AE213">
        <f t="shared" si="52"/>
        <v>132.26642624999999</v>
      </c>
      <c r="AH213" s="1"/>
      <c r="AK213" s="1"/>
      <c r="AN213"/>
    </row>
    <row r="214" spans="14:40" ht="15" x14ac:dyDescent="0.25">
      <c r="N214" s="93"/>
      <c r="O214">
        <v>80</v>
      </c>
      <c r="P214">
        <f t="shared" si="53"/>
        <v>421.92</v>
      </c>
      <c r="R214">
        <f t="shared" si="41"/>
        <v>421.92</v>
      </c>
      <c r="S214" s="10">
        <f t="shared" si="54"/>
        <v>2329.6</v>
      </c>
      <c r="T214">
        <f t="shared" si="51"/>
        <v>604.64652000000001</v>
      </c>
      <c r="V214" s="1">
        <v>80</v>
      </c>
      <c r="W214">
        <f t="shared" si="42"/>
        <v>3627.8791200000001</v>
      </c>
      <c r="X214">
        <f t="shared" si="55"/>
        <v>3023.2326000000003</v>
      </c>
      <c r="Y214" s="1">
        <f t="shared" si="55"/>
        <v>2418.58608</v>
      </c>
      <c r="Z214">
        <f t="shared" si="55"/>
        <v>1813.93956</v>
      </c>
      <c r="AA214">
        <f t="shared" si="55"/>
        <v>1209.29304</v>
      </c>
      <c r="AB214">
        <f t="shared" si="55"/>
        <v>604.64652000000001</v>
      </c>
      <c r="AC214">
        <f t="shared" si="55"/>
        <v>302.32326</v>
      </c>
      <c r="AD214">
        <f t="shared" si="40"/>
        <v>201.54883999999998</v>
      </c>
      <c r="AE214">
        <f t="shared" si="52"/>
        <v>151.16163</v>
      </c>
      <c r="AH214" s="1"/>
      <c r="AK214" s="1"/>
      <c r="AN214"/>
    </row>
    <row r="215" spans="14:40" ht="15" x14ac:dyDescent="0.25">
      <c r="N215" s="93">
        <v>600</v>
      </c>
      <c r="O215">
        <v>5</v>
      </c>
      <c r="P215">
        <f t="shared" ref="P215:P223" si="56">AC87</f>
        <v>26.37</v>
      </c>
      <c r="R215">
        <f t="shared" si="41"/>
        <v>26.37</v>
      </c>
      <c r="S215" s="10">
        <f>O215*1.6*($P$98+$U$86)</f>
        <v>151.19999999999999</v>
      </c>
      <c r="T215">
        <f t="shared" si="51"/>
        <v>39.021007499999996</v>
      </c>
      <c r="V215" s="1">
        <v>5</v>
      </c>
      <c r="W215">
        <f t="shared" si="42"/>
        <v>234.12604499999998</v>
      </c>
      <c r="X215">
        <f t="shared" si="55"/>
        <v>195.10503749999998</v>
      </c>
      <c r="Y215" s="1">
        <f t="shared" si="55"/>
        <v>156.08402999999998</v>
      </c>
      <c r="Z215">
        <f t="shared" si="55"/>
        <v>117.06302249999999</v>
      </c>
      <c r="AA215">
        <f t="shared" si="55"/>
        <v>78.042014999999992</v>
      </c>
      <c r="AB215">
        <f t="shared" si="55"/>
        <v>39.021007499999996</v>
      </c>
      <c r="AC215">
        <f t="shared" si="55"/>
        <v>19.510503749999998</v>
      </c>
      <c r="AD215">
        <f t="shared" si="40"/>
        <v>13.007002499999999</v>
      </c>
      <c r="AE215">
        <f t="shared" si="52"/>
        <v>9.755251874999999</v>
      </c>
      <c r="AH215" s="1"/>
      <c r="AK215" s="1"/>
      <c r="AN215"/>
    </row>
    <row r="216" spans="14:40" ht="15" x14ac:dyDescent="0.25">
      <c r="N216" s="93"/>
      <c r="O216">
        <v>10</v>
      </c>
      <c r="P216">
        <f t="shared" si="56"/>
        <v>52.74</v>
      </c>
      <c r="R216">
        <f t="shared" si="41"/>
        <v>52.74</v>
      </c>
      <c r="S216" s="10">
        <f t="shared" ref="S216:S223" si="57">O216*1.6*($P$98+$U$86)</f>
        <v>302.39999999999998</v>
      </c>
      <c r="T216">
        <f t="shared" si="51"/>
        <v>78.042014999999992</v>
      </c>
      <c r="V216" s="1">
        <v>10</v>
      </c>
      <c r="W216">
        <f t="shared" si="42"/>
        <v>468.25208999999995</v>
      </c>
      <c r="X216">
        <f t="shared" si="55"/>
        <v>390.21007499999996</v>
      </c>
      <c r="Y216" s="1">
        <f t="shared" si="55"/>
        <v>312.16805999999997</v>
      </c>
      <c r="Z216">
        <f t="shared" si="55"/>
        <v>234.12604499999998</v>
      </c>
      <c r="AA216">
        <f t="shared" si="55"/>
        <v>156.08402999999998</v>
      </c>
      <c r="AB216">
        <f t="shared" si="55"/>
        <v>78.042014999999992</v>
      </c>
      <c r="AC216">
        <f t="shared" si="55"/>
        <v>39.021007499999996</v>
      </c>
      <c r="AD216">
        <f t="shared" si="40"/>
        <v>26.014004999999997</v>
      </c>
      <c r="AE216">
        <f t="shared" si="52"/>
        <v>19.510503749999998</v>
      </c>
      <c r="AH216" s="1"/>
      <c r="AK216" s="1"/>
      <c r="AN216"/>
    </row>
    <row r="217" spans="14:40" ht="15" x14ac:dyDescent="0.25">
      <c r="N217" s="93"/>
      <c r="O217">
        <v>20</v>
      </c>
      <c r="P217">
        <f t="shared" si="56"/>
        <v>105.48</v>
      </c>
      <c r="R217">
        <f t="shared" si="41"/>
        <v>105.48</v>
      </c>
      <c r="S217" s="10">
        <f t="shared" si="57"/>
        <v>604.79999999999995</v>
      </c>
      <c r="T217">
        <f t="shared" si="51"/>
        <v>156.08402999999998</v>
      </c>
      <c r="V217" s="1">
        <v>20</v>
      </c>
      <c r="W217">
        <f t="shared" si="42"/>
        <v>936.50417999999991</v>
      </c>
      <c r="X217">
        <f t="shared" si="55"/>
        <v>780.42014999999992</v>
      </c>
      <c r="Y217" s="1">
        <f t="shared" si="55"/>
        <v>624.33611999999994</v>
      </c>
      <c r="Z217">
        <f t="shared" si="55"/>
        <v>468.25208999999995</v>
      </c>
      <c r="AA217">
        <f t="shared" si="55"/>
        <v>312.16805999999997</v>
      </c>
      <c r="AB217">
        <f t="shared" si="55"/>
        <v>156.08402999999998</v>
      </c>
      <c r="AC217">
        <f t="shared" si="55"/>
        <v>78.042014999999992</v>
      </c>
      <c r="AD217">
        <f t="shared" si="40"/>
        <v>52.028009999999995</v>
      </c>
      <c r="AE217">
        <f t="shared" si="52"/>
        <v>39.021007499999996</v>
      </c>
      <c r="AH217" s="1">
        <v>20</v>
      </c>
      <c r="AK217" s="1">
        <v>624.33611999999994</v>
      </c>
      <c r="AN217"/>
    </row>
    <row r="218" spans="14:40" ht="15" x14ac:dyDescent="0.25">
      <c r="N218" s="93"/>
      <c r="O218">
        <v>30</v>
      </c>
      <c r="P218">
        <f t="shared" si="56"/>
        <v>158.22</v>
      </c>
      <c r="R218">
        <f t="shared" si="41"/>
        <v>158.22</v>
      </c>
      <c r="S218" s="10">
        <f t="shared" si="57"/>
        <v>907.19999999999993</v>
      </c>
      <c r="T218">
        <f t="shared" si="51"/>
        <v>234.12604499999998</v>
      </c>
      <c r="V218" s="1">
        <v>30</v>
      </c>
      <c r="W218">
        <f t="shared" si="42"/>
        <v>1404.7562699999999</v>
      </c>
      <c r="X218">
        <f t="shared" si="55"/>
        <v>1170.6302249999999</v>
      </c>
      <c r="Y218" s="1">
        <f t="shared" si="55"/>
        <v>936.50417999999991</v>
      </c>
      <c r="Z218">
        <f t="shared" si="55"/>
        <v>702.37813499999993</v>
      </c>
      <c r="AA218">
        <f t="shared" si="55"/>
        <v>468.25208999999995</v>
      </c>
      <c r="AB218">
        <f t="shared" si="55"/>
        <v>234.12604499999998</v>
      </c>
      <c r="AC218">
        <f t="shared" si="55"/>
        <v>117.06302249999999</v>
      </c>
      <c r="AD218">
        <f t="shared" si="40"/>
        <v>78.042014999999992</v>
      </c>
      <c r="AE218">
        <f t="shared" si="52"/>
        <v>58.531511249999994</v>
      </c>
      <c r="AH218" s="1"/>
      <c r="AK218" s="1"/>
      <c r="AN218"/>
    </row>
    <row r="219" spans="14:40" ht="15" x14ac:dyDescent="0.25">
      <c r="N219" s="93"/>
      <c r="O219">
        <v>40</v>
      </c>
      <c r="P219">
        <f t="shared" si="56"/>
        <v>210.96</v>
      </c>
      <c r="R219">
        <f t="shared" si="41"/>
        <v>210.96</v>
      </c>
      <c r="S219" s="10">
        <f t="shared" si="57"/>
        <v>1209.5999999999999</v>
      </c>
      <c r="T219">
        <f t="shared" si="51"/>
        <v>312.16805999999997</v>
      </c>
      <c r="V219" s="1">
        <v>40</v>
      </c>
      <c r="W219">
        <f t="shared" si="42"/>
        <v>1873.0083599999998</v>
      </c>
      <c r="X219">
        <f t="shared" si="55"/>
        <v>1560.8402999999998</v>
      </c>
      <c r="Y219" s="1">
        <f t="shared" si="55"/>
        <v>1248.6722399999999</v>
      </c>
      <c r="Z219">
        <f t="shared" si="55"/>
        <v>936.50417999999991</v>
      </c>
      <c r="AA219">
        <f t="shared" si="55"/>
        <v>624.33611999999994</v>
      </c>
      <c r="AB219">
        <f t="shared" si="55"/>
        <v>312.16805999999997</v>
      </c>
      <c r="AC219">
        <f t="shared" si="55"/>
        <v>156.08402999999998</v>
      </c>
      <c r="AD219">
        <f t="shared" si="40"/>
        <v>104.05601999999999</v>
      </c>
      <c r="AE219">
        <f t="shared" si="52"/>
        <v>78.042014999999992</v>
      </c>
      <c r="AH219" s="1"/>
      <c r="AK219" s="1"/>
      <c r="AN219"/>
    </row>
    <row r="220" spans="14:40" ht="15" x14ac:dyDescent="0.25">
      <c r="N220" s="93"/>
      <c r="O220">
        <v>50</v>
      </c>
      <c r="P220">
        <f t="shared" si="56"/>
        <v>263.7</v>
      </c>
      <c r="R220">
        <f t="shared" si="41"/>
        <v>263.7</v>
      </c>
      <c r="S220" s="10">
        <f t="shared" si="57"/>
        <v>1512</v>
      </c>
      <c r="T220">
        <f t="shared" si="51"/>
        <v>390.21007500000002</v>
      </c>
      <c r="V220" s="1">
        <v>50</v>
      </c>
      <c r="W220">
        <f t="shared" si="42"/>
        <v>2341.2604500000002</v>
      </c>
      <c r="X220">
        <f t="shared" si="55"/>
        <v>1951.050375</v>
      </c>
      <c r="Y220" s="1">
        <f t="shared" si="55"/>
        <v>1560.8403000000001</v>
      </c>
      <c r="Z220">
        <f t="shared" si="55"/>
        <v>1170.6302250000001</v>
      </c>
      <c r="AA220">
        <f t="shared" si="55"/>
        <v>780.42015000000004</v>
      </c>
      <c r="AB220">
        <f t="shared" si="55"/>
        <v>390.21007500000002</v>
      </c>
      <c r="AC220">
        <f t="shared" si="55"/>
        <v>195.10503750000001</v>
      </c>
      <c r="AD220">
        <f t="shared" si="40"/>
        <v>130.07002499999999</v>
      </c>
      <c r="AE220">
        <f t="shared" si="52"/>
        <v>97.552518750000004</v>
      </c>
      <c r="AH220" s="1"/>
      <c r="AK220" s="1"/>
      <c r="AN220"/>
    </row>
    <row r="221" spans="14:40" ht="15" x14ac:dyDescent="0.25">
      <c r="N221" s="93"/>
      <c r="O221">
        <v>60</v>
      </c>
      <c r="P221">
        <f t="shared" si="56"/>
        <v>316.44</v>
      </c>
      <c r="R221">
        <f t="shared" si="41"/>
        <v>316.44</v>
      </c>
      <c r="S221" s="10">
        <f t="shared" si="57"/>
        <v>1814.3999999999999</v>
      </c>
      <c r="T221">
        <f t="shared" si="51"/>
        <v>468.25208999999995</v>
      </c>
      <c r="V221" s="1">
        <v>60</v>
      </c>
      <c r="W221">
        <f t="shared" si="42"/>
        <v>2809.5125399999997</v>
      </c>
      <c r="X221">
        <f t="shared" si="55"/>
        <v>2341.2604499999998</v>
      </c>
      <c r="Y221" s="1">
        <f t="shared" si="55"/>
        <v>1873.0083599999998</v>
      </c>
      <c r="Z221">
        <f t="shared" si="55"/>
        <v>1404.7562699999999</v>
      </c>
      <c r="AA221">
        <f t="shared" si="55"/>
        <v>936.50417999999991</v>
      </c>
      <c r="AB221">
        <f t="shared" si="55"/>
        <v>468.25208999999995</v>
      </c>
      <c r="AC221">
        <f t="shared" si="55"/>
        <v>234.12604499999998</v>
      </c>
      <c r="AD221">
        <f t="shared" si="40"/>
        <v>156.08402999999998</v>
      </c>
      <c r="AE221">
        <f t="shared" si="52"/>
        <v>117.06302249999999</v>
      </c>
      <c r="AH221" s="1"/>
      <c r="AK221" s="1"/>
      <c r="AN221"/>
    </row>
    <row r="222" spans="14:40" ht="15" x14ac:dyDescent="0.25">
      <c r="N222" s="93"/>
      <c r="O222">
        <v>70</v>
      </c>
      <c r="P222">
        <f t="shared" si="56"/>
        <v>369.18</v>
      </c>
      <c r="R222">
        <f t="shared" si="41"/>
        <v>369.18</v>
      </c>
      <c r="S222" s="10">
        <f t="shared" si="57"/>
        <v>2116.7999999999997</v>
      </c>
      <c r="T222">
        <f t="shared" si="51"/>
        <v>546.29410499999994</v>
      </c>
      <c r="V222" s="1">
        <v>70</v>
      </c>
      <c r="W222">
        <f t="shared" si="42"/>
        <v>3277.7646299999997</v>
      </c>
      <c r="X222">
        <f t="shared" si="55"/>
        <v>2731.4705249999997</v>
      </c>
      <c r="Y222" s="1">
        <f t="shared" si="55"/>
        <v>2185.1764199999998</v>
      </c>
      <c r="Z222">
        <f t="shared" si="55"/>
        <v>1638.8823149999998</v>
      </c>
      <c r="AA222">
        <f t="shared" si="55"/>
        <v>1092.5882099999999</v>
      </c>
      <c r="AB222">
        <f t="shared" si="55"/>
        <v>546.29410499999994</v>
      </c>
      <c r="AC222">
        <f t="shared" si="55"/>
        <v>273.14705249999997</v>
      </c>
      <c r="AD222">
        <f t="shared" si="40"/>
        <v>182.09803499999998</v>
      </c>
      <c r="AE222">
        <f t="shared" si="52"/>
        <v>136.57352624999999</v>
      </c>
      <c r="AH222" s="1"/>
      <c r="AK222" s="1"/>
      <c r="AN222"/>
    </row>
    <row r="223" spans="14:40" ht="15" x14ac:dyDescent="0.25">
      <c r="N223" s="93"/>
      <c r="O223">
        <v>80</v>
      </c>
      <c r="P223">
        <f t="shared" si="56"/>
        <v>421.92</v>
      </c>
      <c r="R223">
        <f t="shared" si="41"/>
        <v>421.92</v>
      </c>
      <c r="S223" s="10">
        <f t="shared" si="57"/>
        <v>2419.1999999999998</v>
      </c>
      <c r="T223">
        <f t="shared" si="51"/>
        <v>624.33611999999994</v>
      </c>
      <c r="V223" s="1">
        <v>80</v>
      </c>
      <c r="W223">
        <f t="shared" si="42"/>
        <v>3746.0167199999996</v>
      </c>
      <c r="X223">
        <f t="shared" si="55"/>
        <v>3121.6805999999997</v>
      </c>
      <c r="Y223" s="1">
        <f t="shared" si="55"/>
        <v>2497.3444799999997</v>
      </c>
      <c r="Z223">
        <f t="shared" si="55"/>
        <v>1873.0083599999998</v>
      </c>
      <c r="AA223">
        <f t="shared" si="55"/>
        <v>1248.6722399999999</v>
      </c>
      <c r="AB223">
        <f t="shared" si="55"/>
        <v>624.33611999999994</v>
      </c>
      <c r="AC223">
        <f t="shared" si="55"/>
        <v>312.16805999999997</v>
      </c>
      <c r="AD223">
        <f t="shared" si="40"/>
        <v>208.11203999999998</v>
      </c>
      <c r="AE223">
        <f t="shared" si="52"/>
        <v>156.08402999999998</v>
      </c>
      <c r="AH223" s="1"/>
      <c r="AK223" s="1"/>
      <c r="AN223"/>
    </row>
    <row r="224" spans="14:40" ht="15" x14ac:dyDescent="0.25">
      <c r="N224" s="93">
        <v>800</v>
      </c>
      <c r="O224">
        <v>5</v>
      </c>
      <c r="P224">
        <f t="shared" ref="P224:P232" si="58">AC87</f>
        <v>26.37</v>
      </c>
      <c r="R224">
        <f t="shared" si="41"/>
        <v>26.37</v>
      </c>
      <c r="S224" s="10">
        <f>O224*1.6*($P$99+$U$86)</f>
        <v>160.80000000000001</v>
      </c>
      <c r="T224">
        <f t="shared" si="51"/>
        <v>41.130607500000004</v>
      </c>
      <c r="V224" s="1">
        <v>5</v>
      </c>
      <c r="W224">
        <f t="shared" si="42"/>
        <v>246.78364500000004</v>
      </c>
      <c r="X224">
        <f t="shared" si="55"/>
        <v>205.65303750000001</v>
      </c>
      <c r="Y224" s="1">
        <f t="shared" si="55"/>
        <v>164.52243000000001</v>
      </c>
      <c r="Z224">
        <f t="shared" si="55"/>
        <v>123.39182250000002</v>
      </c>
      <c r="AA224">
        <f t="shared" si="55"/>
        <v>82.261215000000007</v>
      </c>
      <c r="AB224">
        <f t="shared" si="55"/>
        <v>41.130607500000004</v>
      </c>
      <c r="AC224">
        <f t="shared" si="55"/>
        <v>20.565303750000002</v>
      </c>
      <c r="AD224">
        <f t="shared" si="40"/>
        <v>13.710202500000001</v>
      </c>
      <c r="AE224">
        <f t="shared" si="52"/>
        <v>10.282651875000001</v>
      </c>
      <c r="AH224" s="1"/>
      <c r="AK224" s="1"/>
      <c r="AN224"/>
    </row>
    <row r="225" spans="14:40" ht="15" x14ac:dyDescent="0.25">
      <c r="N225" s="93"/>
      <c r="O225">
        <v>10</v>
      </c>
      <c r="P225">
        <f t="shared" si="58"/>
        <v>52.74</v>
      </c>
      <c r="R225">
        <f t="shared" si="41"/>
        <v>52.74</v>
      </c>
      <c r="S225" s="10">
        <f t="shared" ref="S225:S232" si="59">O225*1.6*($P$99+$U$86)</f>
        <v>321.60000000000002</v>
      </c>
      <c r="T225">
        <f t="shared" si="51"/>
        <v>82.261215000000007</v>
      </c>
      <c r="V225" s="1">
        <v>10</v>
      </c>
      <c r="W225">
        <f t="shared" si="42"/>
        <v>493.56729000000007</v>
      </c>
      <c r="X225">
        <f t="shared" si="55"/>
        <v>411.30607500000002</v>
      </c>
      <c r="Y225" s="1">
        <f t="shared" si="55"/>
        <v>329.04486000000003</v>
      </c>
      <c r="Z225">
        <f t="shared" si="55"/>
        <v>246.78364500000004</v>
      </c>
      <c r="AA225">
        <f t="shared" si="55"/>
        <v>164.52243000000001</v>
      </c>
      <c r="AB225">
        <f t="shared" si="55"/>
        <v>82.261215000000007</v>
      </c>
      <c r="AC225">
        <f t="shared" si="55"/>
        <v>41.130607500000004</v>
      </c>
      <c r="AD225">
        <f t="shared" si="40"/>
        <v>27.420405000000002</v>
      </c>
      <c r="AE225">
        <f t="shared" si="52"/>
        <v>20.565303750000002</v>
      </c>
      <c r="AH225" s="1"/>
      <c r="AK225" s="1"/>
      <c r="AN225"/>
    </row>
    <row r="226" spans="14:40" ht="15" x14ac:dyDescent="0.25">
      <c r="N226" s="93"/>
      <c r="O226">
        <v>20</v>
      </c>
      <c r="P226">
        <f t="shared" si="58"/>
        <v>105.48</v>
      </c>
      <c r="R226">
        <f t="shared" si="41"/>
        <v>105.48</v>
      </c>
      <c r="S226" s="10">
        <f t="shared" si="59"/>
        <v>643.20000000000005</v>
      </c>
      <c r="T226">
        <f t="shared" si="51"/>
        <v>164.52243000000001</v>
      </c>
      <c r="V226" s="1">
        <v>20</v>
      </c>
      <c r="W226">
        <f t="shared" si="42"/>
        <v>987.13458000000014</v>
      </c>
      <c r="X226">
        <f t="shared" si="55"/>
        <v>822.61215000000004</v>
      </c>
      <c r="Y226" s="1">
        <f t="shared" si="55"/>
        <v>658.08972000000006</v>
      </c>
      <c r="Z226">
        <f t="shared" si="55"/>
        <v>493.56729000000007</v>
      </c>
      <c r="AA226">
        <f t="shared" si="55"/>
        <v>329.04486000000003</v>
      </c>
      <c r="AB226">
        <f t="shared" si="55"/>
        <v>164.52243000000001</v>
      </c>
      <c r="AC226">
        <f t="shared" si="55"/>
        <v>82.261215000000007</v>
      </c>
      <c r="AD226">
        <f t="shared" si="40"/>
        <v>54.840810000000005</v>
      </c>
      <c r="AE226">
        <f t="shared" si="52"/>
        <v>41.130607500000004</v>
      </c>
      <c r="AH226" s="1">
        <v>20</v>
      </c>
      <c r="AK226" s="1">
        <v>658.08972000000006</v>
      </c>
      <c r="AN226"/>
    </row>
    <row r="227" spans="14:40" ht="15" x14ac:dyDescent="0.25">
      <c r="N227" s="93"/>
      <c r="O227">
        <v>30</v>
      </c>
      <c r="P227">
        <f t="shared" si="58"/>
        <v>158.22</v>
      </c>
      <c r="R227">
        <f t="shared" si="41"/>
        <v>158.22</v>
      </c>
      <c r="S227" s="10">
        <f t="shared" si="59"/>
        <v>964.80000000000007</v>
      </c>
      <c r="T227">
        <f t="shared" si="51"/>
        <v>246.78364500000001</v>
      </c>
      <c r="V227" s="1">
        <v>30</v>
      </c>
      <c r="W227">
        <f t="shared" si="42"/>
        <v>1480.7018700000001</v>
      </c>
      <c r="X227">
        <f t="shared" si="55"/>
        <v>1233.9182250000001</v>
      </c>
      <c r="Y227" s="1">
        <f t="shared" si="55"/>
        <v>987.13458000000003</v>
      </c>
      <c r="Z227">
        <f t="shared" si="55"/>
        <v>740.35093500000005</v>
      </c>
      <c r="AA227">
        <f t="shared" si="55"/>
        <v>493.56729000000001</v>
      </c>
      <c r="AB227">
        <f t="shared" si="55"/>
        <v>246.78364500000001</v>
      </c>
      <c r="AC227">
        <f t="shared" si="55"/>
        <v>123.3918225</v>
      </c>
      <c r="AD227">
        <f t="shared" si="40"/>
        <v>82.261214999999993</v>
      </c>
      <c r="AE227">
        <f t="shared" si="52"/>
        <v>61.695911250000002</v>
      </c>
      <c r="AH227" s="1"/>
      <c r="AK227" s="1"/>
      <c r="AN227"/>
    </row>
    <row r="228" spans="14:40" ht="15" x14ac:dyDescent="0.25">
      <c r="N228" s="93"/>
      <c r="O228">
        <v>40</v>
      </c>
      <c r="P228">
        <f t="shared" si="58"/>
        <v>210.96</v>
      </c>
      <c r="R228">
        <f t="shared" si="41"/>
        <v>210.96</v>
      </c>
      <c r="S228" s="10">
        <f t="shared" si="59"/>
        <v>1286.4000000000001</v>
      </c>
      <c r="T228">
        <f t="shared" si="51"/>
        <v>329.04486000000003</v>
      </c>
      <c r="V228" s="1">
        <v>40</v>
      </c>
      <c r="W228">
        <f t="shared" si="42"/>
        <v>1974.2691600000003</v>
      </c>
      <c r="X228">
        <f t="shared" si="55"/>
        <v>1645.2243000000001</v>
      </c>
      <c r="Y228" s="1">
        <f t="shared" si="55"/>
        <v>1316.1794400000001</v>
      </c>
      <c r="Z228">
        <f t="shared" si="55"/>
        <v>987.13458000000014</v>
      </c>
      <c r="AA228">
        <f t="shared" si="55"/>
        <v>658.08972000000006</v>
      </c>
      <c r="AB228">
        <f t="shared" si="55"/>
        <v>329.04486000000003</v>
      </c>
      <c r="AC228">
        <f t="shared" si="55"/>
        <v>164.52243000000001</v>
      </c>
      <c r="AD228">
        <f t="shared" si="40"/>
        <v>109.68162000000001</v>
      </c>
      <c r="AE228">
        <f t="shared" si="52"/>
        <v>82.261215000000007</v>
      </c>
      <c r="AH228" s="1"/>
      <c r="AK228" s="1"/>
      <c r="AN228"/>
    </row>
    <row r="229" spans="14:40" ht="15" x14ac:dyDescent="0.25">
      <c r="N229" s="93"/>
      <c r="O229">
        <v>50</v>
      </c>
      <c r="P229">
        <f t="shared" si="58"/>
        <v>263.7</v>
      </c>
      <c r="R229">
        <f t="shared" si="41"/>
        <v>263.7</v>
      </c>
      <c r="S229" s="10">
        <f t="shared" si="59"/>
        <v>1608</v>
      </c>
      <c r="T229">
        <f t="shared" si="51"/>
        <v>411.30607500000002</v>
      </c>
      <c r="V229" s="1">
        <v>50</v>
      </c>
      <c r="W229">
        <f t="shared" si="42"/>
        <v>2467.8364500000002</v>
      </c>
      <c r="X229">
        <f t="shared" si="55"/>
        <v>2056.5303750000003</v>
      </c>
      <c r="Y229" s="1">
        <f t="shared" si="55"/>
        <v>1645.2243000000001</v>
      </c>
      <c r="Z229">
        <f t="shared" si="55"/>
        <v>1233.9182250000001</v>
      </c>
      <c r="AA229">
        <f t="shared" si="55"/>
        <v>822.61215000000004</v>
      </c>
      <c r="AB229">
        <f t="shared" si="55"/>
        <v>411.30607500000002</v>
      </c>
      <c r="AC229">
        <f t="shared" si="55"/>
        <v>205.65303750000001</v>
      </c>
      <c r="AD229">
        <f t="shared" si="40"/>
        <v>137.102025</v>
      </c>
      <c r="AE229">
        <f t="shared" si="52"/>
        <v>102.82651875000001</v>
      </c>
      <c r="AH229" s="1"/>
      <c r="AK229" s="1"/>
      <c r="AN229"/>
    </row>
    <row r="230" spans="14:40" ht="15" x14ac:dyDescent="0.25">
      <c r="N230" s="93"/>
      <c r="O230">
        <v>60</v>
      </c>
      <c r="P230">
        <f t="shared" si="58"/>
        <v>316.44</v>
      </c>
      <c r="R230">
        <f t="shared" si="41"/>
        <v>316.44</v>
      </c>
      <c r="S230" s="10">
        <f t="shared" si="59"/>
        <v>1929.6000000000001</v>
      </c>
      <c r="T230">
        <f t="shared" si="51"/>
        <v>493.56729000000001</v>
      </c>
      <c r="V230" s="1">
        <v>60</v>
      </c>
      <c r="W230">
        <f t="shared" si="42"/>
        <v>2961.4037400000002</v>
      </c>
      <c r="X230">
        <f t="shared" si="55"/>
        <v>2467.8364500000002</v>
      </c>
      <c r="Y230" s="1">
        <f t="shared" si="55"/>
        <v>1974.2691600000001</v>
      </c>
      <c r="Z230">
        <f t="shared" si="55"/>
        <v>1480.7018700000001</v>
      </c>
      <c r="AA230">
        <f t="shared" si="55"/>
        <v>987.13458000000003</v>
      </c>
      <c r="AB230">
        <f t="shared" si="55"/>
        <v>493.56729000000001</v>
      </c>
      <c r="AC230">
        <f t="shared" si="55"/>
        <v>246.78364500000001</v>
      </c>
      <c r="AD230">
        <f t="shared" si="40"/>
        <v>164.52242999999999</v>
      </c>
      <c r="AE230">
        <f t="shared" si="52"/>
        <v>123.3918225</v>
      </c>
      <c r="AH230" s="1"/>
      <c r="AK230" s="1"/>
      <c r="AN230"/>
    </row>
    <row r="231" spans="14:40" ht="15" x14ac:dyDescent="0.25">
      <c r="N231" s="93"/>
      <c r="O231">
        <v>70</v>
      </c>
      <c r="P231">
        <f t="shared" si="58"/>
        <v>369.18</v>
      </c>
      <c r="R231">
        <f t="shared" si="41"/>
        <v>369.18</v>
      </c>
      <c r="S231" s="10">
        <f t="shared" si="59"/>
        <v>2251.2000000000003</v>
      </c>
      <c r="T231">
        <f t="shared" si="51"/>
        <v>575.82850500000006</v>
      </c>
      <c r="V231" s="1">
        <v>70</v>
      </c>
      <c r="W231">
        <f t="shared" si="42"/>
        <v>3454.9710300000006</v>
      </c>
      <c r="X231">
        <f t="shared" si="55"/>
        <v>2879.1425250000002</v>
      </c>
      <c r="Y231" s="1">
        <f t="shared" si="55"/>
        <v>2303.3140200000003</v>
      </c>
      <c r="Z231">
        <f t="shared" si="55"/>
        <v>1727.4855150000003</v>
      </c>
      <c r="AA231">
        <f t="shared" si="55"/>
        <v>1151.6570100000001</v>
      </c>
      <c r="AB231">
        <f t="shared" si="55"/>
        <v>575.82850500000006</v>
      </c>
      <c r="AC231">
        <f t="shared" si="55"/>
        <v>287.91425250000003</v>
      </c>
      <c r="AD231">
        <f t="shared" si="40"/>
        <v>191.942835</v>
      </c>
      <c r="AE231">
        <f t="shared" si="52"/>
        <v>143.95712625000002</v>
      </c>
      <c r="AH231" s="1"/>
      <c r="AK231" s="1"/>
      <c r="AN231"/>
    </row>
    <row r="232" spans="14:40" ht="15" x14ac:dyDescent="0.25">
      <c r="N232" s="93"/>
      <c r="O232">
        <v>80</v>
      </c>
      <c r="P232">
        <f t="shared" si="58"/>
        <v>421.92</v>
      </c>
      <c r="R232">
        <f t="shared" si="41"/>
        <v>421.92</v>
      </c>
      <c r="S232" s="10">
        <f t="shared" si="59"/>
        <v>2572.8000000000002</v>
      </c>
      <c r="T232">
        <f t="shared" si="51"/>
        <v>658.08972000000006</v>
      </c>
      <c r="V232" s="1">
        <v>80</v>
      </c>
      <c r="W232">
        <f t="shared" si="42"/>
        <v>3948.5383200000006</v>
      </c>
      <c r="X232">
        <f t="shared" si="55"/>
        <v>3290.4486000000002</v>
      </c>
      <c r="Y232" s="1">
        <f t="shared" si="55"/>
        <v>2632.3588800000002</v>
      </c>
      <c r="Z232">
        <f t="shared" si="55"/>
        <v>1974.2691600000003</v>
      </c>
      <c r="AA232">
        <f t="shared" si="55"/>
        <v>1316.1794400000001</v>
      </c>
      <c r="AB232">
        <f t="shared" si="55"/>
        <v>658.08972000000006</v>
      </c>
      <c r="AC232">
        <f t="shared" si="55"/>
        <v>329.04486000000003</v>
      </c>
      <c r="AD232">
        <f t="shared" si="40"/>
        <v>219.36324000000002</v>
      </c>
      <c r="AE232">
        <f t="shared" si="52"/>
        <v>164.52243000000001</v>
      </c>
      <c r="AH232" s="1"/>
      <c r="AK232" s="1"/>
      <c r="AN232"/>
    </row>
    <row r="233" spans="14:40" ht="15" x14ac:dyDescent="0.25">
      <c r="N233" s="93">
        <v>1000</v>
      </c>
      <c r="O233">
        <v>5</v>
      </c>
      <c r="P233">
        <f t="shared" ref="P233:P241" si="60">AC87</f>
        <v>26.37</v>
      </c>
      <c r="R233">
        <f t="shared" si="41"/>
        <v>26.37</v>
      </c>
      <c r="S233" s="10">
        <f>O233*1.6*($P$100+$U$86)</f>
        <v>172</v>
      </c>
      <c r="T233">
        <f t="shared" si="51"/>
        <v>43.591807500000002</v>
      </c>
      <c r="V233" s="1">
        <v>5</v>
      </c>
      <c r="W233">
        <f t="shared" si="42"/>
        <v>261.55084499999998</v>
      </c>
      <c r="X233">
        <f t="shared" si="55"/>
        <v>217.95903750000002</v>
      </c>
      <c r="Y233" s="1">
        <f t="shared" si="55"/>
        <v>174.36723000000001</v>
      </c>
      <c r="Z233">
        <f t="shared" si="55"/>
        <v>130.77542249999999</v>
      </c>
      <c r="AA233">
        <f t="shared" si="55"/>
        <v>87.183615000000003</v>
      </c>
      <c r="AB233">
        <f t="shared" si="55"/>
        <v>43.591807500000002</v>
      </c>
      <c r="AC233">
        <f t="shared" si="55"/>
        <v>21.795903750000001</v>
      </c>
      <c r="AD233">
        <f t="shared" si="40"/>
        <v>14.530602500000001</v>
      </c>
      <c r="AE233">
        <f t="shared" si="52"/>
        <v>10.897951875</v>
      </c>
      <c r="AH233" s="1"/>
      <c r="AK233" s="1"/>
      <c r="AN233"/>
    </row>
    <row r="234" spans="14:40" ht="15" x14ac:dyDescent="0.25">
      <c r="N234" s="93"/>
      <c r="O234">
        <v>10</v>
      </c>
      <c r="P234">
        <f t="shared" si="60"/>
        <v>52.74</v>
      </c>
      <c r="R234">
        <f t="shared" si="41"/>
        <v>52.74</v>
      </c>
      <c r="S234" s="10">
        <f t="shared" ref="S234:S241" si="61">O234*1.6*($P$100+$U$86)</f>
        <v>344</v>
      </c>
      <c r="T234">
        <f t="shared" si="51"/>
        <v>87.183615000000003</v>
      </c>
      <c r="V234" s="1">
        <v>10</v>
      </c>
      <c r="W234">
        <f t="shared" si="42"/>
        <v>523.10168999999996</v>
      </c>
      <c r="X234">
        <f t="shared" si="55"/>
        <v>435.91807500000004</v>
      </c>
      <c r="Y234" s="1">
        <f t="shared" si="55"/>
        <v>348.73446000000001</v>
      </c>
      <c r="Z234">
        <f t="shared" si="55"/>
        <v>261.55084499999998</v>
      </c>
      <c r="AA234">
        <f t="shared" si="55"/>
        <v>174.36723000000001</v>
      </c>
      <c r="AB234">
        <f t="shared" si="55"/>
        <v>87.183615000000003</v>
      </c>
      <c r="AC234">
        <f t="shared" si="55"/>
        <v>43.591807500000002</v>
      </c>
      <c r="AD234">
        <f t="shared" si="40"/>
        <v>29.061205000000001</v>
      </c>
      <c r="AE234">
        <f t="shared" si="52"/>
        <v>21.795903750000001</v>
      </c>
      <c r="AH234" s="1"/>
      <c r="AK234" s="1"/>
      <c r="AN234"/>
    </row>
    <row r="235" spans="14:40" ht="15" x14ac:dyDescent="0.25">
      <c r="N235" s="93"/>
      <c r="O235">
        <v>20</v>
      </c>
      <c r="P235">
        <f t="shared" si="60"/>
        <v>105.48</v>
      </c>
      <c r="R235">
        <f t="shared" si="41"/>
        <v>105.48</v>
      </c>
      <c r="S235" s="10">
        <f t="shared" si="61"/>
        <v>688</v>
      </c>
      <c r="T235">
        <f t="shared" si="51"/>
        <v>174.36723000000001</v>
      </c>
      <c r="V235" s="1">
        <v>20</v>
      </c>
      <c r="W235">
        <f t="shared" si="42"/>
        <v>1046.2033799999999</v>
      </c>
      <c r="X235">
        <f t="shared" si="55"/>
        <v>871.83615000000009</v>
      </c>
      <c r="Y235" s="1">
        <f t="shared" si="55"/>
        <v>697.46892000000003</v>
      </c>
      <c r="Z235">
        <f t="shared" si="55"/>
        <v>523.10168999999996</v>
      </c>
      <c r="AA235">
        <f t="shared" si="55"/>
        <v>348.73446000000001</v>
      </c>
      <c r="AB235">
        <f t="shared" si="55"/>
        <v>174.36723000000001</v>
      </c>
      <c r="AC235">
        <f t="shared" si="55"/>
        <v>87.183615000000003</v>
      </c>
      <c r="AD235">
        <f t="shared" si="55"/>
        <v>58.122410000000002</v>
      </c>
      <c r="AE235">
        <f t="shared" si="52"/>
        <v>43.591807500000002</v>
      </c>
      <c r="AH235" s="1">
        <v>20</v>
      </c>
      <c r="AK235" s="1">
        <v>697.46892000000003</v>
      </c>
      <c r="AN235"/>
    </row>
    <row r="236" spans="14:40" ht="15" x14ac:dyDescent="0.25">
      <c r="N236" s="93"/>
      <c r="O236">
        <v>30</v>
      </c>
      <c r="P236">
        <f t="shared" si="60"/>
        <v>158.22</v>
      </c>
      <c r="R236">
        <f t="shared" ref="R236:R241" si="62">P236</f>
        <v>158.22</v>
      </c>
      <c r="S236" s="10">
        <f t="shared" si="61"/>
        <v>1032</v>
      </c>
      <c r="T236">
        <f t="shared" si="51"/>
        <v>261.55084499999998</v>
      </c>
      <c r="V236" s="1">
        <v>30</v>
      </c>
      <c r="W236">
        <f t="shared" ref="W236:W241" si="63">$T236*W$106</f>
        <v>1569.3050699999999</v>
      </c>
      <c r="X236">
        <f t="shared" si="55"/>
        <v>1307.7542249999999</v>
      </c>
      <c r="Y236" s="1">
        <f t="shared" si="55"/>
        <v>1046.2033799999999</v>
      </c>
      <c r="Z236">
        <f t="shared" si="55"/>
        <v>784.65253499999994</v>
      </c>
      <c r="AA236">
        <f t="shared" si="55"/>
        <v>523.10168999999996</v>
      </c>
      <c r="AB236">
        <f t="shared" si="55"/>
        <v>261.55084499999998</v>
      </c>
      <c r="AC236">
        <f t="shared" si="55"/>
        <v>130.77542249999999</v>
      </c>
      <c r="AD236">
        <f t="shared" si="55"/>
        <v>87.183614999999989</v>
      </c>
      <c r="AE236">
        <f t="shared" ref="AE236:AE241" si="64">$T236*AE$106</f>
        <v>65.387711249999995</v>
      </c>
      <c r="AH236" s="1"/>
      <c r="AK236" s="1"/>
      <c r="AN236"/>
    </row>
    <row r="237" spans="14:40" ht="15" x14ac:dyDescent="0.25">
      <c r="N237" s="93"/>
      <c r="O237">
        <v>40</v>
      </c>
      <c r="P237">
        <f t="shared" si="60"/>
        <v>210.96</v>
      </c>
      <c r="R237">
        <f t="shared" si="62"/>
        <v>210.96</v>
      </c>
      <c r="S237" s="10">
        <f t="shared" si="61"/>
        <v>1376</v>
      </c>
      <c r="T237">
        <f t="shared" si="51"/>
        <v>348.73446000000001</v>
      </c>
      <c r="V237" s="1">
        <v>40</v>
      </c>
      <c r="W237">
        <f t="shared" si="63"/>
        <v>2092.4067599999998</v>
      </c>
      <c r="X237">
        <f t="shared" si="55"/>
        <v>1743.6723000000002</v>
      </c>
      <c r="Y237" s="1">
        <f t="shared" si="55"/>
        <v>1394.9378400000001</v>
      </c>
      <c r="Z237">
        <f t="shared" si="55"/>
        <v>1046.2033799999999</v>
      </c>
      <c r="AA237">
        <f t="shared" si="55"/>
        <v>697.46892000000003</v>
      </c>
      <c r="AB237">
        <f t="shared" si="55"/>
        <v>348.73446000000001</v>
      </c>
      <c r="AC237">
        <f t="shared" si="55"/>
        <v>174.36723000000001</v>
      </c>
      <c r="AD237">
        <f t="shared" si="55"/>
        <v>116.24482</v>
      </c>
      <c r="AE237">
        <f t="shared" si="64"/>
        <v>87.183615000000003</v>
      </c>
      <c r="AH237" s="1"/>
      <c r="AK237" s="1"/>
      <c r="AN237"/>
    </row>
    <row r="238" spans="14:40" ht="15" x14ac:dyDescent="0.25">
      <c r="N238" s="93"/>
      <c r="O238">
        <v>50</v>
      </c>
      <c r="P238">
        <f t="shared" si="60"/>
        <v>263.7</v>
      </c>
      <c r="R238">
        <f t="shared" si="62"/>
        <v>263.7</v>
      </c>
      <c r="S238" s="10">
        <f t="shared" si="61"/>
        <v>1720</v>
      </c>
      <c r="T238">
        <f t="shared" si="51"/>
        <v>435.91807499999999</v>
      </c>
      <c r="V238" s="1">
        <v>50</v>
      </c>
      <c r="W238">
        <f t="shared" si="63"/>
        <v>2615.5084499999998</v>
      </c>
      <c r="X238">
        <f t="shared" si="55"/>
        <v>2179.5903749999998</v>
      </c>
      <c r="Y238" s="1">
        <f t="shared" si="55"/>
        <v>1743.6723</v>
      </c>
      <c r="Z238">
        <f t="shared" si="55"/>
        <v>1307.7542249999999</v>
      </c>
      <c r="AA238">
        <f t="shared" si="55"/>
        <v>871.83614999999998</v>
      </c>
      <c r="AB238">
        <f t="shared" si="55"/>
        <v>435.91807499999999</v>
      </c>
      <c r="AC238">
        <f t="shared" si="55"/>
        <v>217.95903749999999</v>
      </c>
      <c r="AD238">
        <f t="shared" si="55"/>
        <v>145.30602499999998</v>
      </c>
      <c r="AE238">
        <f t="shared" si="64"/>
        <v>108.97951875</v>
      </c>
      <c r="AH238" s="1"/>
      <c r="AK238" s="1"/>
      <c r="AN238"/>
    </row>
    <row r="239" spans="14:40" ht="15" x14ac:dyDescent="0.25">
      <c r="N239" s="93"/>
      <c r="O239">
        <v>60</v>
      </c>
      <c r="P239">
        <f t="shared" si="60"/>
        <v>316.44</v>
      </c>
      <c r="R239">
        <f t="shared" si="62"/>
        <v>316.44</v>
      </c>
      <c r="S239" s="10">
        <f t="shared" si="61"/>
        <v>2064</v>
      </c>
      <c r="T239">
        <f t="shared" si="51"/>
        <v>523.10168999999996</v>
      </c>
      <c r="V239" s="1">
        <v>60</v>
      </c>
      <c r="W239">
        <f t="shared" si="63"/>
        <v>3138.6101399999998</v>
      </c>
      <c r="X239">
        <f t="shared" si="55"/>
        <v>2615.5084499999998</v>
      </c>
      <c r="Y239" s="1">
        <f t="shared" si="55"/>
        <v>2092.4067599999998</v>
      </c>
      <c r="Z239">
        <f t="shared" si="55"/>
        <v>1569.3050699999999</v>
      </c>
      <c r="AA239">
        <f t="shared" si="55"/>
        <v>1046.2033799999999</v>
      </c>
      <c r="AB239">
        <f t="shared" si="55"/>
        <v>523.10168999999996</v>
      </c>
      <c r="AC239">
        <f t="shared" si="55"/>
        <v>261.55084499999998</v>
      </c>
      <c r="AD239">
        <f t="shared" si="55"/>
        <v>174.36722999999998</v>
      </c>
      <c r="AE239">
        <f t="shared" si="64"/>
        <v>130.77542249999999</v>
      </c>
      <c r="AH239" s="1"/>
      <c r="AK239" s="1"/>
      <c r="AN239"/>
    </row>
    <row r="240" spans="14:40" ht="15" x14ac:dyDescent="0.25">
      <c r="N240" s="93"/>
      <c r="O240">
        <v>70</v>
      </c>
      <c r="P240">
        <f t="shared" si="60"/>
        <v>369.18</v>
      </c>
      <c r="R240">
        <f t="shared" si="62"/>
        <v>369.18</v>
      </c>
      <c r="S240" s="10">
        <f t="shared" si="61"/>
        <v>2408</v>
      </c>
      <c r="T240">
        <f t="shared" si="51"/>
        <v>610.28530499999999</v>
      </c>
      <c r="V240" s="1">
        <v>70</v>
      </c>
      <c r="W240">
        <f t="shared" si="63"/>
        <v>3661.7118300000002</v>
      </c>
      <c r="X240">
        <f t="shared" si="55"/>
        <v>3051.4265249999999</v>
      </c>
      <c r="Y240" s="1">
        <f t="shared" si="55"/>
        <v>2441.14122</v>
      </c>
      <c r="Z240">
        <f t="shared" si="55"/>
        <v>1830.8559150000001</v>
      </c>
      <c r="AA240">
        <f t="shared" si="55"/>
        <v>1220.57061</v>
      </c>
      <c r="AB240">
        <f t="shared" si="55"/>
        <v>610.28530499999999</v>
      </c>
      <c r="AC240">
        <f t="shared" si="55"/>
        <v>305.1426525</v>
      </c>
      <c r="AD240">
        <f t="shared" si="55"/>
        <v>203.42843499999998</v>
      </c>
      <c r="AE240">
        <f t="shared" si="64"/>
        <v>152.57132625</v>
      </c>
      <c r="AH240" s="1"/>
      <c r="AK240" s="1"/>
      <c r="AN240"/>
    </row>
    <row r="241" spans="1:40" ht="15" x14ac:dyDescent="0.25">
      <c r="N241" s="93"/>
      <c r="O241">
        <v>80</v>
      </c>
      <c r="P241">
        <f t="shared" si="60"/>
        <v>421.92</v>
      </c>
      <c r="R241">
        <f t="shared" si="62"/>
        <v>421.92</v>
      </c>
      <c r="S241" s="10">
        <f t="shared" si="61"/>
        <v>2752</v>
      </c>
      <c r="T241">
        <f t="shared" si="51"/>
        <v>697.46892000000003</v>
      </c>
      <c r="V241" s="1">
        <v>80</v>
      </c>
      <c r="W241">
        <f t="shared" si="63"/>
        <v>4184.8135199999997</v>
      </c>
      <c r="X241">
        <f t="shared" si="55"/>
        <v>3487.3446000000004</v>
      </c>
      <c r="Y241" s="1">
        <f t="shared" si="55"/>
        <v>2789.8756800000001</v>
      </c>
      <c r="Z241">
        <f t="shared" si="55"/>
        <v>2092.4067599999998</v>
      </c>
      <c r="AA241">
        <f t="shared" si="55"/>
        <v>1394.9378400000001</v>
      </c>
      <c r="AB241">
        <f t="shared" si="55"/>
        <v>697.46892000000003</v>
      </c>
      <c r="AC241">
        <f t="shared" si="55"/>
        <v>348.73446000000001</v>
      </c>
      <c r="AD241">
        <f t="shared" si="55"/>
        <v>232.48964000000001</v>
      </c>
      <c r="AE241">
        <f t="shared" si="64"/>
        <v>174.36723000000001</v>
      </c>
      <c r="AH241" s="1"/>
      <c r="AK241" s="1"/>
      <c r="AN241"/>
    </row>
    <row r="246" spans="1:40" x14ac:dyDescent="0.2">
      <c r="B246" t="s">
        <v>317</v>
      </c>
    </row>
    <row r="247" spans="1:40" x14ac:dyDescent="0.2">
      <c r="K247">
        <v>753.87599999999998</v>
      </c>
      <c r="L247">
        <v>1884.69</v>
      </c>
      <c r="M247">
        <v>3944.7000000000003</v>
      </c>
      <c r="N247">
        <v>6136.2</v>
      </c>
      <c r="O247">
        <v>9642.6</v>
      </c>
      <c r="P247">
        <v>14902.199999999999</v>
      </c>
      <c r="Q247">
        <v>31469.94</v>
      </c>
      <c r="R247">
        <f>$H$258</f>
        <v>28314.179999999997</v>
      </c>
      <c r="S247">
        <f>$H$259</f>
        <v>37752.239999999991</v>
      </c>
      <c r="T247">
        <f>H260</f>
        <v>56628.359999999993</v>
      </c>
      <c r="U247">
        <f>H261</f>
        <v>75504.479999999981</v>
      </c>
      <c r="V247">
        <f>H262</f>
        <v>94380.599999999991</v>
      </c>
      <c r="W247">
        <f>H263</f>
        <v>113256.71999999999</v>
      </c>
      <c r="X247">
        <f>H264</f>
        <v>151008.95999999996</v>
      </c>
      <c r="Y247">
        <f>H265</f>
        <v>314699.39999999997</v>
      </c>
    </row>
    <row r="248" spans="1:40" x14ac:dyDescent="0.2">
      <c r="G248">
        <f>365.25*24</f>
        <v>8766</v>
      </c>
    </row>
    <row r="250" spans="1:40" ht="15" thickBot="1" x14ac:dyDescent="0.25">
      <c r="C250" t="s">
        <v>633</v>
      </c>
      <c r="F250" t="s">
        <v>89</v>
      </c>
      <c r="G250" t="s">
        <v>634</v>
      </c>
      <c r="H250" t="s">
        <v>635</v>
      </c>
      <c r="K250">
        <v>5</v>
      </c>
      <c r="L250">
        <v>10</v>
      </c>
      <c r="M250">
        <v>20</v>
      </c>
      <c r="N250">
        <v>30</v>
      </c>
      <c r="O250">
        <v>50</v>
      </c>
      <c r="P250">
        <v>75</v>
      </c>
      <c r="Q250">
        <v>100</v>
      </c>
      <c r="R250">
        <v>150</v>
      </c>
      <c r="S250">
        <v>200</v>
      </c>
      <c r="T250">
        <v>300</v>
      </c>
      <c r="U250">
        <v>400</v>
      </c>
      <c r="V250">
        <v>500</v>
      </c>
      <c r="W250">
        <v>600</v>
      </c>
      <c r="X250">
        <v>800</v>
      </c>
      <c r="Y250">
        <v>1000</v>
      </c>
    </row>
    <row r="251" spans="1:40" ht="15.75" thickBot="1" x14ac:dyDescent="0.25">
      <c r="A251">
        <v>1</v>
      </c>
      <c r="B251">
        <v>2021</v>
      </c>
      <c r="C251">
        <v>137.19807069999999</v>
      </c>
      <c r="F251">
        <v>5</v>
      </c>
      <c r="G251" s="73">
        <v>8.5999999999999993E-2</v>
      </c>
      <c r="H251">
        <f>G251*$G$248</f>
        <v>753.87599999999998</v>
      </c>
      <c r="K251">
        <f>(K$247*$C251)/1000</f>
        <v>103.43033274703319</v>
      </c>
      <c r="L251">
        <f t="shared" ref="L251:Y266" si="65">(L$247*$C251)/1000</f>
        <v>258.57583186758296</v>
      </c>
      <c r="M251">
        <f t="shared" si="65"/>
        <v>541.20522949029009</v>
      </c>
      <c r="N251">
        <f t="shared" si="65"/>
        <v>841.87480142933987</v>
      </c>
      <c r="O251">
        <f t="shared" si="65"/>
        <v>1322.9461165318201</v>
      </c>
      <c r="P251">
        <f t="shared" si="65"/>
        <v>2044.5530891855396</v>
      </c>
      <c r="Q251">
        <f t="shared" si="65"/>
        <v>4317.6150530447576</v>
      </c>
      <c r="R251">
        <f t="shared" si="65"/>
        <v>3884.6508694525255</v>
      </c>
      <c r="S251">
        <f t="shared" si="65"/>
        <v>5179.5344926033658</v>
      </c>
      <c r="T251">
        <f t="shared" si="65"/>
        <v>7769.301738905051</v>
      </c>
      <c r="U251">
        <f t="shared" si="65"/>
        <v>10359.068985206732</v>
      </c>
      <c r="V251">
        <f t="shared" si="65"/>
        <v>12948.836231508418</v>
      </c>
      <c r="W251">
        <f t="shared" si="65"/>
        <v>15538.603477810102</v>
      </c>
      <c r="X251">
        <f t="shared" si="65"/>
        <v>20718.137970413463</v>
      </c>
      <c r="Y251">
        <f t="shared" si="65"/>
        <v>43176.150530447572</v>
      </c>
    </row>
    <row r="252" spans="1:40" ht="15.75" thickBot="1" x14ac:dyDescent="0.25">
      <c r="A252">
        <v>2</v>
      </c>
      <c r="B252">
        <v>2022</v>
      </c>
      <c r="C252">
        <v>127.27722199999999</v>
      </c>
      <c r="F252">
        <v>10</v>
      </c>
      <c r="G252" s="74">
        <v>0.215</v>
      </c>
      <c r="H252">
        <f t="shared" ref="H252:H264" si="66">G252*$G$248</f>
        <v>1884.69</v>
      </c>
      <c r="K252">
        <f>(K$247*$C252)/1000</f>
        <v>95.951243012471991</v>
      </c>
      <c r="L252">
        <f t="shared" si="65"/>
        <v>239.87810753118001</v>
      </c>
      <c r="M252">
        <f t="shared" si="65"/>
        <v>502.07045762340005</v>
      </c>
      <c r="N252">
        <f t="shared" si="65"/>
        <v>780.99848963639988</v>
      </c>
      <c r="O252">
        <f t="shared" si="65"/>
        <v>1227.2833408572001</v>
      </c>
      <c r="P252">
        <f t="shared" si="65"/>
        <v>1896.7106176883997</v>
      </c>
      <c r="Q252">
        <f t="shared" si="65"/>
        <v>4005.4065397066797</v>
      </c>
      <c r="R252">
        <f t="shared" si="65"/>
        <v>3603.7501736079594</v>
      </c>
      <c r="S252">
        <f t="shared" si="65"/>
        <v>4805.0002314772782</v>
      </c>
      <c r="T252">
        <f t="shared" si="65"/>
        <v>7207.5003472159187</v>
      </c>
      <c r="U252">
        <f t="shared" si="65"/>
        <v>9610.0004629545565</v>
      </c>
      <c r="V252">
        <f t="shared" si="65"/>
        <v>12012.500578693198</v>
      </c>
      <c r="W252">
        <f t="shared" si="65"/>
        <v>14415.000694431837</v>
      </c>
      <c r="X252">
        <f t="shared" si="65"/>
        <v>19220.000925909113</v>
      </c>
      <c r="Y252">
        <f t="shared" si="65"/>
        <v>40054.065397066792</v>
      </c>
    </row>
    <row r="253" spans="1:40" ht="15.75" thickBot="1" x14ac:dyDescent="0.25">
      <c r="A253">
        <v>3</v>
      </c>
      <c r="B253">
        <v>2023</v>
      </c>
      <c r="C253">
        <v>119.1275091</v>
      </c>
      <c r="F253">
        <v>20</v>
      </c>
      <c r="G253" s="75">
        <v>0.45</v>
      </c>
      <c r="H253">
        <f t="shared" si="66"/>
        <v>3944.7000000000003</v>
      </c>
      <c r="K253">
        <f t="shared" ref="K253:Y275" si="67">(K$247*$C253)/1000</f>
        <v>89.807370050271601</v>
      </c>
      <c r="L253">
        <f t="shared" si="65"/>
        <v>224.51842512567899</v>
      </c>
      <c r="M253">
        <f t="shared" si="65"/>
        <v>469.92228514677004</v>
      </c>
      <c r="N253">
        <f t="shared" si="65"/>
        <v>730.99022133941992</v>
      </c>
      <c r="O253">
        <f t="shared" si="65"/>
        <v>1148.6989192476601</v>
      </c>
      <c r="P253">
        <f t="shared" si="65"/>
        <v>1775.26196611002</v>
      </c>
      <c r="Q253">
        <f t="shared" si="65"/>
        <v>3748.9355637264534</v>
      </c>
      <c r="R253">
        <f t="shared" si="65"/>
        <v>3372.9977356090371</v>
      </c>
      <c r="S253">
        <f t="shared" si="65"/>
        <v>4497.3303141453825</v>
      </c>
      <c r="T253">
        <f t="shared" si="65"/>
        <v>6745.9954712180743</v>
      </c>
      <c r="U253">
        <f t="shared" si="65"/>
        <v>8994.6606282907651</v>
      </c>
      <c r="V253">
        <f t="shared" si="65"/>
        <v>11243.325785363459</v>
      </c>
      <c r="W253">
        <f t="shared" si="65"/>
        <v>13491.990942436149</v>
      </c>
      <c r="X253">
        <f t="shared" si="65"/>
        <v>17989.32125658153</v>
      </c>
      <c r="Y253">
        <f t="shared" si="65"/>
        <v>37489.355637264533</v>
      </c>
    </row>
    <row r="254" spans="1:40" ht="15.75" thickBot="1" x14ac:dyDescent="0.25">
      <c r="A254">
        <v>4</v>
      </c>
      <c r="B254">
        <v>2024</v>
      </c>
      <c r="C254">
        <v>128.4439879</v>
      </c>
      <c r="F254">
        <v>30</v>
      </c>
      <c r="G254" s="74">
        <v>0.7</v>
      </c>
      <c r="H254">
        <f t="shared" si="66"/>
        <v>6136.2</v>
      </c>
      <c r="K254">
        <f t="shared" si="67"/>
        <v>96.830839822100387</v>
      </c>
      <c r="L254">
        <f t="shared" si="65"/>
        <v>242.07709955525101</v>
      </c>
      <c r="M254">
        <f t="shared" si="65"/>
        <v>506.67299906913007</v>
      </c>
      <c r="N254">
        <f t="shared" si="65"/>
        <v>788.15799855197997</v>
      </c>
      <c r="O254">
        <f t="shared" si="65"/>
        <v>1238.5339977245401</v>
      </c>
      <c r="P254">
        <f t="shared" si="65"/>
        <v>1914.0979964833798</v>
      </c>
      <c r="Q254">
        <f t="shared" si="65"/>
        <v>4042.1245925737257</v>
      </c>
      <c r="R254">
        <f t="shared" si="65"/>
        <v>3636.7861933184213</v>
      </c>
      <c r="S254">
        <f t="shared" si="65"/>
        <v>4849.048257757895</v>
      </c>
      <c r="T254">
        <f t="shared" si="65"/>
        <v>7273.5723866368426</v>
      </c>
      <c r="U254">
        <f t="shared" si="65"/>
        <v>9698.0965155157901</v>
      </c>
      <c r="V254">
        <f t="shared" si="65"/>
        <v>12122.620644394739</v>
      </c>
      <c r="W254">
        <f t="shared" si="65"/>
        <v>14547.144773273685</v>
      </c>
      <c r="X254">
        <f t="shared" si="65"/>
        <v>19396.19303103158</v>
      </c>
      <c r="Y254">
        <f t="shared" si="65"/>
        <v>40421.245925737254</v>
      </c>
    </row>
    <row r="255" spans="1:40" ht="15.75" thickBot="1" x14ac:dyDescent="0.25">
      <c r="A255">
        <v>5</v>
      </c>
      <c r="B255">
        <v>2025</v>
      </c>
      <c r="C255">
        <v>108.2024037</v>
      </c>
      <c r="F255">
        <v>50</v>
      </c>
      <c r="G255" s="75">
        <v>1.1000000000000001</v>
      </c>
      <c r="H255">
        <f t="shared" si="66"/>
        <v>9642.6</v>
      </c>
      <c r="K255">
        <f t="shared" si="67"/>
        <v>81.571195291741205</v>
      </c>
      <c r="L255">
        <f t="shared" si="65"/>
        <v>203.92798822935302</v>
      </c>
      <c r="M255">
        <f t="shared" si="65"/>
        <v>426.82602187539004</v>
      </c>
      <c r="N255">
        <f t="shared" si="65"/>
        <v>663.95158958393995</v>
      </c>
      <c r="O255">
        <f t="shared" si="65"/>
        <v>1043.3524979176202</v>
      </c>
      <c r="P255">
        <f t="shared" si="65"/>
        <v>1612.45386041814</v>
      </c>
      <c r="Q255">
        <f t="shared" si="65"/>
        <v>3405.1231522947778</v>
      </c>
      <c r="R255">
        <f t="shared" si="65"/>
        <v>3063.662334794466</v>
      </c>
      <c r="S255">
        <f t="shared" si="65"/>
        <v>4084.8831130592871</v>
      </c>
      <c r="T255">
        <f t="shared" si="65"/>
        <v>6127.324669588932</v>
      </c>
      <c r="U255">
        <f t="shared" si="65"/>
        <v>8169.7662261185742</v>
      </c>
      <c r="V255">
        <f t="shared" si="65"/>
        <v>10212.207782648218</v>
      </c>
      <c r="W255">
        <f t="shared" si="65"/>
        <v>12254.649339177864</v>
      </c>
      <c r="X255">
        <f t="shared" si="65"/>
        <v>16339.532452237148</v>
      </c>
      <c r="Y255">
        <f t="shared" si="65"/>
        <v>34051.231522947783</v>
      </c>
    </row>
    <row r="256" spans="1:40" ht="15.75" thickBot="1" x14ac:dyDescent="0.25">
      <c r="A256">
        <v>6</v>
      </c>
      <c r="B256">
        <v>2026</v>
      </c>
      <c r="C256">
        <v>90.164698819999998</v>
      </c>
      <c r="F256">
        <v>75</v>
      </c>
      <c r="G256" s="74">
        <v>1.7</v>
      </c>
      <c r="H256">
        <f t="shared" si="66"/>
        <v>14902.199999999999</v>
      </c>
      <c r="K256">
        <f t="shared" si="67"/>
        <v>67.973002487626317</v>
      </c>
      <c r="L256">
        <f t="shared" si="65"/>
        <v>169.9325062190658</v>
      </c>
      <c r="M256">
        <f t="shared" si="65"/>
        <v>355.67268743525398</v>
      </c>
      <c r="N256">
        <f t="shared" si="65"/>
        <v>553.26862489928396</v>
      </c>
      <c r="O256">
        <f t="shared" si="65"/>
        <v>869.42212484173194</v>
      </c>
      <c r="P256">
        <f t="shared" si="65"/>
        <v>1343.652374755404</v>
      </c>
      <c r="Q256">
        <f t="shared" si="65"/>
        <v>2837.4776619834706</v>
      </c>
      <c r="R256">
        <f t="shared" si="65"/>
        <v>2552.9395120352674</v>
      </c>
      <c r="S256">
        <f t="shared" si="65"/>
        <v>3403.9193493803559</v>
      </c>
      <c r="T256">
        <f t="shared" si="65"/>
        <v>5105.8790240705348</v>
      </c>
      <c r="U256">
        <f t="shared" si="65"/>
        <v>6807.8386987607118</v>
      </c>
      <c r="V256">
        <f t="shared" si="65"/>
        <v>8509.7983734508907</v>
      </c>
      <c r="W256">
        <f t="shared" si="65"/>
        <v>10211.75804814107</v>
      </c>
      <c r="X256">
        <f t="shared" si="65"/>
        <v>13615.677397521424</v>
      </c>
      <c r="Y256">
        <f t="shared" si="65"/>
        <v>28374.776619834702</v>
      </c>
    </row>
    <row r="257" spans="1:25" ht="15.75" thickBot="1" x14ac:dyDescent="0.25">
      <c r="A257">
        <v>7</v>
      </c>
      <c r="B257">
        <v>2027</v>
      </c>
      <c r="C257">
        <v>85.440193519999994</v>
      </c>
      <c r="F257">
        <v>100</v>
      </c>
      <c r="G257" s="75">
        <v>3.59</v>
      </c>
      <c r="H257">
        <f t="shared" si="66"/>
        <v>31469.94</v>
      </c>
      <c r="K257">
        <f t="shared" si="67"/>
        <v>64.411311330083507</v>
      </c>
      <c r="L257">
        <f t="shared" si="65"/>
        <v>161.02827832520879</v>
      </c>
      <c r="M257">
        <f t="shared" si="65"/>
        <v>337.035931378344</v>
      </c>
      <c r="N257">
        <f t="shared" si="65"/>
        <v>524.27811547742397</v>
      </c>
      <c r="O257">
        <f t="shared" si="65"/>
        <v>823.86561003595193</v>
      </c>
      <c r="P257">
        <f t="shared" si="65"/>
        <v>1273.2468518737437</v>
      </c>
      <c r="Q257">
        <f t="shared" si="65"/>
        <v>2688.7977636627884</v>
      </c>
      <c r="R257">
        <f t="shared" si="65"/>
        <v>2419.1690185601128</v>
      </c>
      <c r="S257">
        <f t="shared" si="65"/>
        <v>3225.5586914134838</v>
      </c>
      <c r="T257">
        <f t="shared" si="65"/>
        <v>4838.3380371202256</v>
      </c>
      <c r="U257">
        <f t="shared" si="65"/>
        <v>6451.1173828269675</v>
      </c>
      <c r="V257">
        <f t="shared" si="65"/>
        <v>8063.8967285337103</v>
      </c>
      <c r="W257">
        <f t="shared" si="65"/>
        <v>9676.6760742404513</v>
      </c>
      <c r="X257">
        <f t="shared" si="65"/>
        <v>12902.234765653935</v>
      </c>
      <c r="Y257">
        <f t="shared" si="65"/>
        <v>26887.977636627882</v>
      </c>
    </row>
    <row r="258" spans="1:25" ht="15.75" thickBot="1" x14ac:dyDescent="0.25">
      <c r="A258">
        <v>8</v>
      </c>
      <c r="B258">
        <v>2028</v>
      </c>
      <c r="C258">
        <v>91.252890870000002</v>
      </c>
      <c r="F258">
        <v>150</v>
      </c>
      <c r="G258" s="74">
        <f>'[2]SAF - Design'!H328</f>
        <v>3.2299999999999995</v>
      </c>
      <c r="H258">
        <f t="shared" si="66"/>
        <v>28314.179999999997</v>
      </c>
      <c r="K258">
        <f t="shared" si="67"/>
        <v>68.793364357512118</v>
      </c>
      <c r="L258">
        <f t="shared" si="65"/>
        <v>171.9834108937803</v>
      </c>
      <c r="M258">
        <f t="shared" si="65"/>
        <v>359.96527861488903</v>
      </c>
      <c r="N258">
        <f t="shared" si="65"/>
        <v>559.94598895649403</v>
      </c>
      <c r="O258">
        <f t="shared" si="65"/>
        <v>879.91512550306209</v>
      </c>
      <c r="P258">
        <f t="shared" si="65"/>
        <v>1359.8688303229139</v>
      </c>
      <c r="Q258">
        <f t="shared" si="65"/>
        <v>2871.723000505448</v>
      </c>
      <c r="R258">
        <f t="shared" si="65"/>
        <v>2583.7507776135362</v>
      </c>
      <c r="S258">
        <f t="shared" si="65"/>
        <v>3445.0010368180479</v>
      </c>
      <c r="T258">
        <f t="shared" si="65"/>
        <v>5167.5015552270725</v>
      </c>
      <c r="U258">
        <f t="shared" si="65"/>
        <v>6890.0020736360957</v>
      </c>
      <c r="V258">
        <f t="shared" si="65"/>
        <v>8612.5025920451208</v>
      </c>
      <c r="W258">
        <f t="shared" si="65"/>
        <v>10335.003110454145</v>
      </c>
      <c r="X258">
        <f t="shared" si="65"/>
        <v>13780.004147272191</v>
      </c>
      <c r="Y258">
        <f t="shared" si="65"/>
        <v>28717.230005054473</v>
      </c>
    </row>
    <row r="259" spans="1:25" ht="15.75" thickBot="1" x14ac:dyDescent="0.25">
      <c r="A259">
        <v>9</v>
      </c>
      <c r="B259">
        <v>2029</v>
      </c>
      <c r="C259">
        <v>98.374024410000004</v>
      </c>
      <c r="F259">
        <v>200</v>
      </c>
      <c r="G259" s="75">
        <f>'[2]SAF - Design'!H329</f>
        <v>4.3066666666666658</v>
      </c>
      <c r="H259">
        <f t="shared" si="66"/>
        <v>37752.239999999991</v>
      </c>
      <c r="K259">
        <f t="shared" si="67"/>
        <v>74.161816026113158</v>
      </c>
      <c r="L259">
        <f t="shared" si="65"/>
        <v>185.40454006528293</v>
      </c>
      <c r="M259">
        <f t="shared" si="65"/>
        <v>388.05601409012701</v>
      </c>
      <c r="N259">
        <f t="shared" si="65"/>
        <v>603.64268858464197</v>
      </c>
      <c r="O259">
        <f t="shared" si="65"/>
        <v>948.58136777586606</v>
      </c>
      <c r="P259">
        <f t="shared" si="65"/>
        <v>1465.9893865627021</v>
      </c>
      <c r="Q259">
        <f t="shared" si="65"/>
        <v>3095.8246457412356</v>
      </c>
      <c r="R259">
        <f t="shared" si="65"/>
        <v>2785.3798344691336</v>
      </c>
      <c r="S259">
        <f t="shared" si="65"/>
        <v>3713.8397792921774</v>
      </c>
      <c r="T259">
        <f t="shared" si="65"/>
        <v>5570.7596689382672</v>
      </c>
      <c r="U259">
        <f t="shared" si="65"/>
        <v>7427.6795585843547</v>
      </c>
      <c r="V259">
        <f t="shared" si="65"/>
        <v>9284.599448230445</v>
      </c>
      <c r="W259">
        <f t="shared" si="65"/>
        <v>11141.519337876534</v>
      </c>
      <c r="X259">
        <f t="shared" si="65"/>
        <v>14855.359117168709</v>
      </c>
      <c r="Y259">
        <f t="shared" si="65"/>
        <v>30958.246457412351</v>
      </c>
    </row>
    <row r="260" spans="1:25" ht="15.75" thickBot="1" x14ac:dyDescent="0.25">
      <c r="A260">
        <v>10</v>
      </c>
      <c r="B260">
        <v>2030</v>
      </c>
      <c r="C260">
        <v>89.430933350000004</v>
      </c>
      <c r="F260">
        <v>300</v>
      </c>
      <c r="G260" s="74">
        <f>'[2]SAF - Design'!H330</f>
        <v>6.4599999999999991</v>
      </c>
      <c r="H260">
        <f t="shared" si="66"/>
        <v>56628.359999999993</v>
      </c>
      <c r="K260">
        <f t="shared" si="67"/>
        <v>67.419834310164603</v>
      </c>
      <c r="L260">
        <f t="shared" si="65"/>
        <v>168.54958577541151</v>
      </c>
      <c r="M260">
        <f t="shared" si="65"/>
        <v>352.77820278574501</v>
      </c>
      <c r="N260">
        <f t="shared" si="65"/>
        <v>548.76609322227</v>
      </c>
      <c r="O260">
        <f t="shared" si="65"/>
        <v>862.34671792071015</v>
      </c>
      <c r="P260">
        <f t="shared" si="65"/>
        <v>1332.71765496837</v>
      </c>
      <c r="Q260">
        <f t="shared" si="65"/>
        <v>2814.386106668499</v>
      </c>
      <c r="R260">
        <f t="shared" si="65"/>
        <v>2532.163544439903</v>
      </c>
      <c r="S260">
        <f t="shared" si="65"/>
        <v>3376.2180592532031</v>
      </c>
      <c r="T260">
        <f t="shared" si="65"/>
        <v>5064.3270888798061</v>
      </c>
      <c r="U260">
        <f t="shared" si="65"/>
        <v>6752.4361185064063</v>
      </c>
      <c r="V260">
        <f t="shared" si="65"/>
        <v>8440.5451481330092</v>
      </c>
      <c r="W260">
        <f t="shared" si="65"/>
        <v>10128.654177759612</v>
      </c>
      <c r="X260">
        <f t="shared" si="65"/>
        <v>13504.872237012813</v>
      </c>
      <c r="Y260">
        <f t="shared" si="65"/>
        <v>28143.861066684989</v>
      </c>
    </row>
    <row r="261" spans="1:25" ht="15.75" thickBot="1" x14ac:dyDescent="0.25">
      <c r="A261">
        <v>11</v>
      </c>
      <c r="B261">
        <v>2031</v>
      </c>
      <c r="C261">
        <v>82.671395329999996</v>
      </c>
      <c r="F261">
        <v>400</v>
      </c>
      <c r="G261" s="75">
        <f>'[2]SAF - Design'!H331</f>
        <v>8.6133333333333315</v>
      </c>
      <c r="H261">
        <f t="shared" si="66"/>
        <v>75504.479999999981</v>
      </c>
      <c r="K261">
        <f t="shared" si="67"/>
        <v>62.323980825799076</v>
      </c>
      <c r="L261">
        <f t="shared" si="65"/>
        <v>155.80995206449768</v>
      </c>
      <c r="M261">
        <f t="shared" si="65"/>
        <v>326.11385315825106</v>
      </c>
      <c r="N261">
        <f t="shared" si="65"/>
        <v>507.28821602394595</v>
      </c>
      <c r="O261">
        <f t="shared" si="65"/>
        <v>797.1671966090579</v>
      </c>
      <c r="P261">
        <f t="shared" si="65"/>
        <v>1231.9856674867258</v>
      </c>
      <c r="Q261">
        <f t="shared" si="65"/>
        <v>2601.6638507513799</v>
      </c>
      <c r="R261">
        <f t="shared" si="65"/>
        <v>2340.7727682247792</v>
      </c>
      <c r="S261">
        <f t="shared" si="65"/>
        <v>3121.0303576330384</v>
      </c>
      <c r="T261">
        <f t="shared" si="65"/>
        <v>4681.5455364495583</v>
      </c>
      <c r="U261">
        <f t="shared" si="65"/>
        <v>6242.0607152660768</v>
      </c>
      <c r="V261">
        <f t="shared" si="65"/>
        <v>7802.5758940825963</v>
      </c>
      <c r="W261">
        <f t="shared" si="65"/>
        <v>9363.0910728991166</v>
      </c>
      <c r="X261">
        <f t="shared" si="65"/>
        <v>12484.121430532154</v>
      </c>
      <c r="Y261">
        <f t="shared" si="65"/>
        <v>26016.638507513799</v>
      </c>
    </row>
    <row r="262" spans="1:25" ht="15.75" thickBot="1" x14ac:dyDescent="0.25">
      <c r="A262">
        <v>12</v>
      </c>
      <c r="B262">
        <v>2032</v>
      </c>
      <c r="C262">
        <v>83.624771969999998</v>
      </c>
      <c r="F262">
        <v>500</v>
      </c>
      <c r="G262" s="74">
        <f>'[2]SAF - Design'!H332</f>
        <v>10.766666666666666</v>
      </c>
      <c r="H262">
        <f t="shared" si="66"/>
        <v>94380.599999999991</v>
      </c>
      <c r="K262">
        <f t="shared" si="67"/>
        <v>63.042708593655718</v>
      </c>
      <c r="L262">
        <f t="shared" si="65"/>
        <v>157.6067714841393</v>
      </c>
      <c r="M262">
        <f t="shared" si="65"/>
        <v>329.87463799005906</v>
      </c>
      <c r="N262">
        <f t="shared" si="65"/>
        <v>513.13832576231391</v>
      </c>
      <c r="O262">
        <f t="shared" si="65"/>
        <v>806.36022619792197</v>
      </c>
      <c r="P262">
        <f t="shared" si="65"/>
        <v>1246.1930768513339</v>
      </c>
      <c r="Q262">
        <f t="shared" si="65"/>
        <v>2631.6665564095815</v>
      </c>
      <c r="R262">
        <f t="shared" si="65"/>
        <v>2367.7668460175346</v>
      </c>
      <c r="S262">
        <f t="shared" si="65"/>
        <v>3157.022461356712</v>
      </c>
      <c r="T262">
        <f t="shared" si="65"/>
        <v>4735.5336920350692</v>
      </c>
      <c r="U262">
        <f t="shared" si="65"/>
        <v>6314.0449227134241</v>
      </c>
      <c r="V262">
        <f t="shared" si="65"/>
        <v>7892.5561533917817</v>
      </c>
      <c r="W262">
        <f t="shared" si="65"/>
        <v>9471.0673840701384</v>
      </c>
      <c r="X262">
        <f t="shared" si="65"/>
        <v>12628.089845426848</v>
      </c>
      <c r="Y262">
        <f t="shared" si="65"/>
        <v>26316.665564095812</v>
      </c>
    </row>
    <row r="263" spans="1:25" ht="15.75" thickBot="1" x14ac:dyDescent="0.25">
      <c r="A263">
        <v>13</v>
      </c>
      <c r="B263">
        <v>2033</v>
      </c>
      <c r="C263">
        <v>84.756043939999998</v>
      </c>
      <c r="F263">
        <v>600</v>
      </c>
      <c r="G263" s="75">
        <f>'[2]SAF - Design'!H333</f>
        <v>12.919999999999998</v>
      </c>
      <c r="H263">
        <f t="shared" si="66"/>
        <v>113256.71999999999</v>
      </c>
      <c r="K263">
        <f t="shared" si="67"/>
        <v>63.895547381311438</v>
      </c>
      <c r="L263">
        <f t="shared" si="65"/>
        <v>159.73886845327863</v>
      </c>
      <c r="M263">
        <f t="shared" si="65"/>
        <v>334.33716653011805</v>
      </c>
      <c r="N263">
        <f t="shared" si="65"/>
        <v>520.080036824628</v>
      </c>
      <c r="O263">
        <f t="shared" si="65"/>
        <v>817.26862929584399</v>
      </c>
      <c r="P263">
        <f t="shared" si="65"/>
        <v>1263.051518002668</v>
      </c>
      <c r="Q263">
        <f t="shared" si="65"/>
        <v>2667.2676174291632</v>
      </c>
      <c r="R263">
        <f t="shared" si="65"/>
        <v>2399.7978842050688</v>
      </c>
      <c r="S263">
        <f t="shared" si="65"/>
        <v>3199.7305122734247</v>
      </c>
      <c r="T263">
        <f t="shared" si="65"/>
        <v>4799.5957684101377</v>
      </c>
      <c r="U263">
        <f t="shared" si="65"/>
        <v>6399.4610245468493</v>
      </c>
      <c r="V263">
        <f t="shared" si="65"/>
        <v>7999.3262806835628</v>
      </c>
      <c r="W263">
        <f t="shared" si="65"/>
        <v>9599.1915368202754</v>
      </c>
      <c r="X263">
        <f t="shared" si="65"/>
        <v>12798.922049093699</v>
      </c>
      <c r="Y263">
        <f t="shared" si="65"/>
        <v>26672.676174291631</v>
      </c>
    </row>
    <row r="264" spans="1:25" ht="15.75" thickBot="1" x14ac:dyDescent="0.25">
      <c r="A264">
        <v>14</v>
      </c>
      <c r="B264">
        <v>2034</v>
      </c>
      <c r="C264">
        <v>86.765956680000002</v>
      </c>
      <c r="F264">
        <v>800</v>
      </c>
      <c r="G264" s="74">
        <f>'[2]SAF - Design'!H334</f>
        <v>17.226666666666663</v>
      </c>
      <c r="H264">
        <f t="shared" si="66"/>
        <v>151008.95999999996</v>
      </c>
      <c r="K264">
        <f t="shared" si="67"/>
        <v>65.410772358091677</v>
      </c>
      <c r="L264">
        <f t="shared" si="65"/>
        <v>163.52693089522921</v>
      </c>
      <c r="M264">
        <f t="shared" si="65"/>
        <v>342.26566931559603</v>
      </c>
      <c r="N264">
        <f t="shared" si="65"/>
        <v>532.41326337981593</v>
      </c>
      <c r="O264">
        <f t="shared" si="65"/>
        <v>836.64941388256807</v>
      </c>
      <c r="P264">
        <f t="shared" si="65"/>
        <v>1293.0036396366959</v>
      </c>
      <c r="Q264">
        <f t="shared" si="65"/>
        <v>2730.5194507621991</v>
      </c>
      <c r="R264">
        <f t="shared" si="65"/>
        <v>2456.7069153097223</v>
      </c>
      <c r="S264">
        <f t="shared" si="65"/>
        <v>3275.6092204129627</v>
      </c>
      <c r="T264">
        <f t="shared" si="65"/>
        <v>4913.4138306194445</v>
      </c>
      <c r="U264">
        <f t="shared" si="65"/>
        <v>6551.2184408259254</v>
      </c>
      <c r="V264">
        <f t="shared" si="65"/>
        <v>8189.0230510324072</v>
      </c>
      <c r="W264">
        <f t="shared" si="65"/>
        <v>9826.827661238889</v>
      </c>
      <c r="X264">
        <f t="shared" si="65"/>
        <v>13102.436881651851</v>
      </c>
      <c r="Y264">
        <f t="shared" si="65"/>
        <v>27305.194507621989</v>
      </c>
    </row>
    <row r="265" spans="1:25" ht="15.75" thickBot="1" x14ac:dyDescent="0.25">
      <c r="A265">
        <v>15</v>
      </c>
      <c r="B265">
        <v>2035</v>
      </c>
      <c r="C265">
        <v>78.285649039999996</v>
      </c>
      <c r="F265">
        <v>1000</v>
      </c>
      <c r="G265" s="75">
        <f>G257*10</f>
        <v>35.9</v>
      </c>
      <c r="H265">
        <f>G265*$G$248</f>
        <v>314699.39999999997</v>
      </c>
      <c r="K265">
        <f t="shared" si="67"/>
        <v>59.017671955679035</v>
      </c>
      <c r="L265">
        <f t="shared" si="65"/>
        <v>147.54417988919761</v>
      </c>
      <c r="M265">
        <f t="shared" si="65"/>
        <v>308.813399768088</v>
      </c>
      <c r="N265">
        <f t="shared" si="65"/>
        <v>480.37639963924795</v>
      </c>
      <c r="O265">
        <f t="shared" si="65"/>
        <v>754.87719943310401</v>
      </c>
      <c r="P265">
        <f t="shared" si="65"/>
        <v>1166.6283991238877</v>
      </c>
      <c r="Q265">
        <f t="shared" si="65"/>
        <v>2463.6446781498576</v>
      </c>
      <c r="R265">
        <f t="shared" si="65"/>
        <v>2216.5939583353866</v>
      </c>
      <c r="S265">
        <f t="shared" si="65"/>
        <v>2955.4586111138487</v>
      </c>
      <c r="T265">
        <f t="shared" si="65"/>
        <v>4433.1879166707731</v>
      </c>
      <c r="U265">
        <f t="shared" si="65"/>
        <v>5910.9172222276975</v>
      </c>
      <c r="V265">
        <f t="shared" si="65"/>
        <v>7388.6465277846228</v>
      </c>
      <c r="W265">
        <f t="shared" si="65"/>
        <v>8866.3758333415462</v>
      </c>
      <c r="X265">
        <f t="shared" si="65"/>
        <v>11821.834444455395</v>
      </c>
      <c r="Y265">
        <f t="shared" si="65"/>
        <v>24636.446781498573</v>
      </c>
    </row>
    <row r="266" spans="1:25" x14ac:dyDescent="0.2">
      <c r="A266">
        <v>16</v>
      </c>
      <c r="B266">
        <v>2036</v>
      </c>
      <c r="C266">
        <v>71.208615530000003</v>
      </c>
      <c r="K266">
        <f t="shared" si="67"/>
        <v>53.682466241294279</v>
      </c>
      <c r="L266">
        <f t="shared" si="65"/>
        <v>134.20616560323572</v>
      </c>
      <c r="M266">
        <f t="shared" si="65"/>
        <v>280.89662568119104</v>
      </c>
      <c r="N266">
        <f t="shared" si="65"/>
        <v>436.95030661518598</v>
      </c>
      <c r="O266">
        <f t="shared" si="65"/>
        <v>686.63619610957801</v>
      </c>
      <c r="P266">
        <f t="shared" si="65"/>
        <v>1061.165030351166</v>
      </c>
      <c r="Q266">
        <f t="shared" si="65"/>
        <v>2240.9308582121685</v>
      </c>
      <c r="R266">
        <f t="shared" si="65"/>
        <v>2016.2135576672154</v>
      </c>
      <c r="S266">
        <f t="shared" si="65"/>
        <v>2688.2847435562867</v>
      </c>
      <c r="T266">
        <f t="shared" si="65"/>
        <v>4032.4271153344307</v>
      </c>
      <c r="U266">
        <f t="shared" si="65"/>
        <v>5376.5694871125734</v>
      </c>
      <c r="V266">
        <f t="shared" si="65"/>
        <v>6720.7118588907178</v>
      </c>
      <c r="W266">
        <f t="shared" si="65"/>
        <v>8064.8542306688614</v>
      </c>
      <c r="X266">
        <f t="shared" si="65"/>
        <v>10753.138974225147</v>
      </c>
      <c r="Y266">
        <f t="shared" si="65"/>
        <v>22409.308582121681</v>
      </c>
    </row>
    <row r="267" spans="1:25" x14ac:dyDescent="0.2">
      <c r="A267">
        <v>17</v>
      </c>
      <c r="B267">
        <v>2037</v>
      </c>
      <c r="C267">
        <v>67.352100280000002</v>
      </c>
      <c r="K267">
        <f t="shared" si="67"/>
        <v>50.775131950685278</v>
      </c>
      <c r="L267">
        <f t="shared" si="67"/>
        <v>126.93782987671321</v>
      </c>
      <c r="M267">
        <f t="shared" si="67"/>
        <v>265.68382997451602</v>
      </c>
      <c r="N267">
        <f t="shared" si="67"/>
        <v>413.28595773813601</v>
      </c>
      <c r="O267">
        <f t="shared" si="67"/>
        <v>649.44936215992811</v>
      </c>
      <c r="P267">
        <f t="shared" si="67"/>
        <v>1003.6944687926159</v>
      </c>
      <c r="Q267">
        <f t="shared" si="67"/>
        <v>2119.5665546855835</v>
      </c>
      <c r="R267">
        <f t="shared" si="67"/>
        <v>1907.0194907059702</v>
      </c>
      <c r="S267">
        <f t="shared" si="67"/>
        <v>2542.6926542746264</v>
      </c>
      <c r="T267">
        <f t="shared" si="67"/>
        <v>3814.0389814119403</v>
      </c>
      <c r="U267">
        <f t="shared" si="67"/>
        <v>5085.3853085492528</v>
      </c>
      <c r="V267">
        <f t="shared" si="67"/>
        <v>6356.7316356865676</v>
      </c>
      <c r="W267">
        <f t="shared" si="67"/>
        <v>7628.0779628238806</v>
      </c>
      <c r="X267">
        <f t="shared" si="67"/>
        <v>10170.770617098506</v>
      </c>
      <c r="Y267">
        <f t="shared" si="67"/>
        <v>21195.665546855831</v>
      </c>
    </row>
    <row r="268" spans="1:25" x14ac:dyDescent="0.2">
      <c r="A268">
        <v>18</v>
      </c>
      <c r="B268">
        <v>2038</v>
      </c>
      <c r="C268">
        <v>69.828067779999998</v>
      </c>
      <c r="K268">
        <f t="shared" si="67"/>
        <v>52.641704425715275</v>
      </c>
      <c r="L268">
        <f t="shared" si="67"/>
        <v>131.60426106428821</v>
      </c>
      <c r="M268">
        <f t="shared" si="67"/>
        <v>275.450778971766</v>
      </c>
      <c r="N268">
        <f t="shared" si="67"/>
        <v>428.47898951163597</v>
      </c>
      <c r="O268">
        <f t="shared" si="67"/>
        <v>673.32412637542802</v>
      </c>
      <c r="P268">
        <f t="shared" si="67"/>
        <v>1040.5918316711159</v>
      </c>
      <c r="Q268">
        <f t="shared" si="67"/>
        <v>2197.4851033525333</v>
      </c>
      <c r="R268">
        <f t="shared" si="67"/>
        <v>1977.12448017512</v>
      </c>
      <c r="S268">
        <f t="shared" si="67"/>
        <v>2636.1659735668263</v>
      </c>
      <c r="T268">
        <f t="shared" si="67"/>
        <v>3954.2489603502399</v>
      </c>
      <c r="U268">
        <f t="shared" si="67"/>
        <v>5272.3319471336526</v>
      </c>
      <c r="V268">
        <f t="shared" si="67"/>
        <v>6590.4149339170672</v>
      </c>
      <c r="W268">
        <f t="shared" si="67"/>
        <v>7908.4979207004799</v>
      </c>
      <c r="X268">
        <f t="shared" si="67"/>
        <v>10544.663894267305</v>
      </c>
      <c r="Y268">
        <f t="shared" si="67"/>
        <v>21974.85103352533</v>
      </c>
    </row>
    <row r="269" spans="1:25" x14ac:dyDescent="0.2">
      <c r="A269">
        <v>19</v>
      </c>
      <c r="B269">
        <v>2039</v>
      </c>
      <c r="C269">
        <v>68.82799593</v>
      </c>
      <c r="K269">
        <f t="shared" si="67"/>
        <v>51.887774259724679</v>
      </c>
      <c r="L269">
        <f t="shared" si="67"/>
        <v>129.71943564931172</v>
      </c>
      <c r="M269">
        <f t="shared" si="67"/>
        <v>271.50579554507101</v>
      </c>
      <c r="N269">
        <f t="shared" si="67"/>
        <v>422.34234862566598</v>
      </c>
      <c r="O269">
        <f t="shared" si="67"/>
        <v>663.68083355461806</v>
      </c>
      <c r="P269">
        <f t="shared" si="67"/>
        <v>1025.688560948046</v>
      </c>
      <c r="Q269">
        <f t="shared" si="67"/>
        <v>2166.012902237344</v>
      </c>
      <c r="R269">
        <f t="shared" si="67"/>
        <v>1948.8082658012872</v>
      </c>
      <c r="S269">
        <f t="shared" si="67"/>
        <v>2598.4110210683825</v>
      </c>
      <c r="T269">
        <f t="shared" si="67"/>
        <v>3897.6165316025745</v>
      </c>
      <c r="U269">
        <f t="shared" si="67"/>
        <v>5196.822042136765</v>
      </c>
      <c r="V269">
        <f t="shared" si="67"/>
        <v>6496.0275526709574</v>
      </c>
      <c r="W269">
        <f t="shared" si="67"/>
        <v>7795.2330632051489</v>
      </c>
      <c r="X269">
        <f t="shared" si="67"/>
        <v>10393.64408427353</v>
      </c>
      <c r="Y269">
        <f t="shared" si="67"/>
        <v>21660.12902237344</v>
      </c>
    </row>
    <row r="270" spans="1:25" x14ac:dyDescent="0.2">
      <c r="A270">
        <v>20</v>
      </c>
      <c r="B270">
        <v>2040</v>
      </c>
      <c r="C270">
        <v>66.82622198</v>
      </c>
      <c r="K270">
        <f t="shared" si="67"/>
        <v>50.378684921394481</v>
      </c>
      <c r="L270">
        <f t="shared" si="67"/>
        <v>125.94671230348621</v>
      </c>
      <c r="M270">
        <f t="shared" si="67"/>
        <v>263.60939784450602</v>
      </c>
      <c r="N270">
        <f t="shared" si="67"/>
        <v>410.05906331367601</v>
      </c>
      <c r="O270">
        <f t="shared" si="67"/>
        <v>644.37852806434807</v>
      </c>
      <c r="P270">
        <f t="shared" si="67"/>
        <v>995.85772519035595</v>
      </c>
      <c r="Q270">
        <f t="shared" si="67"/>
        <v>2103.0171961372812</v>
      </c>
      <c r="R270">
        <f t="shared" si="67"/>
        <v>1892.1296778616761</v>
      </c>
      <c r="S270">
        <f t="shared" si="67"/>
        <v>2522.8395704822346</v>
      </c>
      <c r="T270">
        <f t="shared" si="67"/>
        <v>3784.2593557233522</v>
      </c>
      <c r="U270">
        <f t="shared" si="67"/>
        <v>5045.6791409644693</v>
      </c>
      <c r="V270">
        <f t="shared" si="67"/>
        <v>6307.0989262055873</v>
      </c>
      <c r="W270">
        <f t="shared" si="67"/>
        <v>7568.5187114467044</v>
      </c>
      <c r="X270">
        <f t="shared" si="67"/>
        <v>10091.358281928939</v>
      </c>
      <c r="Y270">
        <f t="shared" si="67"/>
        <v>21030.171961372813</v>
      </c>
    </row>
    <row r="271" spans="1:25" x14ac:dyDescent="0.2">
      <c r="A271">
        <v>21</v>
      </c>
      <c r="B271">
        <v>2041</v>
      </c>
      <c r="C271">
        <v>58.181051271386011</v>
      </c>
      <c r="K271">
        <f t="shared" si="67"/>
        <v>43.861298208267399</v>
      </c>
      <c r="L271">
        <f t="shared" si="67"/>
        <v>109.65324552066849</v>
      </c>
      <c r="M271">
        <f t="shared" si="67"/>
        <v>229.50679295023642</v>
      </c>
      <c r="N271">
        <f t="shared" si="67"/>
        <v>357.01056681147884</v>
      </c>
      <c r="O271">
        <f t="shared" si="67"/>
        <v>561.01660498946671</v>
      </c>
      <c r="P271">
        <f t="shared" si="67"/>
        <v>867.02566225644853</v>
      </c>
      <c r="Q271">
        <f t="shared" si="67"/>
        <v>1830.9541926474412</v>
      </c>
      <c r="R271">
        <f t="shared" si="67"/>
        <v>1647.3487582872522</v>
      </c>
      <c r="S271">
        <f t="shared" si="67"/>
        <v>2196.4650110496691</v>
      </c>
      <c r="T271">
        <f t="shared" si="67"/>
        <v>3294.6975165745043</v>
      </c>
      <c r="U271">
        <f t="shared" si="67"/>
        <v>4392.9300220993382</v>
      </c>
      <c r="V271">
        <f t="shared" si="67"/>
        <v>5491.1625276241739</v>
      </c>
      <c r="W271">
        <f t="shared" si="67"/>
        <v>6589.3950331490087</v>
      </c>
      <c r="X271">
        <f t="shared" si="67"/>
        <v>8785.8600441986764</v>
      </c>
      <c r="Y271">
        <f t="shared" si="67"/>
        <v>18309.541926474412</v>
      </c>
    </row>
    <row r="272" spans="1:25" x14ac:dyDescent="0.2">
      <c r="A272">
        <v>22</v>
      </c>
      <c r="B272">
        <v>2042</v>
      </c>
      <c r="C272">
        <v>55.7908413383999</v>
      </c>
      <c r="K272">
        <f t="shared" si="67"/>
        <v>42.059376304827566</v>
      </c>
      <c r="L272">
        <f t="shared" si="67"/>
        <v>105.14844076206892</v>
      </c>
      <c r="M272">
        <f t="shared" si="67"/>
        <v>220.07813182758611</v>
      </c>
      <c r="N272">
        <f t="shared" si="67"/>
        <v>342.34376062068947</v>
      </c>
      <c r="O272">
        <f t="shared" si="67"/>
        <v>537.9687666896549</v>
      </c>
      <c r="P272">
        <f t="shared" si="67"/>
        <v>831.40627579310296</v>
      </c>
      <c r="Q272">
        <f t="shared" si="67"/>
        <v>1755.7344294689644</v>
      </c>
      <c r="R272">
        <f t="shared" si="67"/>
        <v>1579.6719240068953</v>
      </c>
      <c r="S272">
        <f t="shared" si="67"/>
        <v>2106.2292320091938</v>
      </c>
      <c r="T272">
        <f t="shared" si="67"/>
        <v>3159.3438480137906</v>
      </c>
      <c r="U272">
        <f t="shared" si="67"/>
        <v>4212.4584640183875</v>
      </c>
      <c r="V272">
        <f t="shared" si="67"/>
        <v>5265.5730800229849</v>
      </c>
      <c r="W272">
        <f t="shared" si="67"/>
        <v>6318.6876960275813</v>
      </c>
      <c r="X272">
        <f t="shared" si="67"/>
        <v>8424.9169280367751</v>
      </c>
      <c r="Y272">
        <f t="shared" si="67"/>
        <v>17557.344294689643</v>
      </c>
    </row>
    <row r="273" spans="1:27" x14ac:dyDescent="0.2">
      <c r="A273">
        <v>23</v>
      </c>
      <c r="B273">
        <v>2043</v>
      </c>
      <c r="C273">
        <v>53.498826666566728</v>
      </c>
      <c r="K273">
        <f t="shared" si="67"/>
        <v>40.331481452084653</v>
      </c>
      <c r="L273">
        <f t="shared" si="67"/>
        <v>100.82870363021165</v>
      </c>
      <c r="M273">
        <f t="shared" si="67"/>
        <v>211.03682155160578</v>
      </c>
      <c r="N273">
        <f t="shared" si="67"/>
        <v>328.27950019138672</v>
      </c>
      <c r="O273">
        <f t="shared" si="67"/>
        <v>515.86778601503636</v>
      </c>
      <c r="P273">
        <f t="shared" si="67"/>
        <v>797.25021475051062</v>
      </c>
      <c r="Q273">
        <f t="shared" si="67"/>
        <v>1683.6048652672548</v>
      </c>
      <c r="R273">
        <f t="shared" si="67"/>
        <v>1514.7754080259701</v>
      </c>
      <c r="S273">
        <f t="shared" si="67"/>
        <v>2019.7005440346265</v>
      </c>
      <c r="T273">
        <f t="shared" si="67"/>
        <v>3029.5508160519403</v>
      </c>
      <c r="U273">
        <f t="shared" si="67"/>
        <v>4039.4010880692531</v>
      </c>
      <c r="V273">
        <f t="shared" si="67"/>
        <v>5049.2513600865677</v>
      </c>
      <c r="W273">
        <f t="shared" si="67"/>
        <v>6059.1016321038805</v>
      </c>
      <c r="X273">
        <f t="shared" si="67"/>
        <v>8078.8021761385062</v>
      </c>
      <c r="Y273">
        <f t="shared" si="67"/>
        <v>16836.048652672547</v>
      </c>
    </row>
    <row r="274" spans="1:27" x14ac:dyDescent="0.2">
      <c r="A274">
        <v>24</v>
      </c>
      <c r="B274">
        <v>2044</v>
      </c>
      <c r="C274">
        <v>51.300973171189639</v>
      </c>
      <c r="K274">
        <f t="shared" si="67"/>
        <v>38.674572450403758</v>
      </c>
      <c r="L274">
        <f t="shared" si="67"/>
        <v>96.68643112600941</v>
      </c>
      <c r="M274">
        <f t="shared" si="67"/>
        <v>202.36694886839177</v>
      </c>
      <c r="N274">
        <f t="shared" si="67"/>
        <v>314.79303157305384</v>
      </c>
      <c r="O274">
        <f t="shared" si="67"/>
        <v>494.67476390051326</v>
      </c>
      <c r="P274">
        <f t="shared" si="67"/>
        <v>764.49736239170215</v>
      </c>
      <c r="Q274">
        <f t="shared" si="67"/>
        <v>1614.4385476389475</v>
      </c>
      <c r="R274">
        <f t="shared" si="67"/>
        <v>1452.544988544234</v>
      </c>
      <c r="S274">
        <f t="shared" si="67"/>
        <v>1936.7266513923119</v>
      </c>
      <c r="T274">
        <f t="shared" si="67"/>
        <v>2905.089977088468</v>
      </c>
      <c r="U274">
        <f t="shared" si="67"/>
        <v>3873.4533027846237</v>
      </c>
      <c r="V274">
        <f t="shared" si="67"/>
        <v>4841.8166284807812</v>
      </c>
      <c r="W274">
        <f t="shared" si="67"/>
        <v>5810.179954176936</v>
      </c>
      <c r="X274">
        <f t="shared" si="67"/>
        <v>7746.9066055692474</v>
      </c>
      <c r="Y274">
        <f t="shared" si="67"/>
        <v>16144.385476389476</v>
      </c>
    </row>
    <row r="275" spans="1:27" x14ac:dyDescent="0.2">
      <c r="A275">
        <v>25</v>
      </c>
      <c r="B275">
        <v>2045</v>
      </c>
      <c r="C275">
        <v>49.19341249694763</v>
      </c>
      <c r="K275">
        <f t="shared" si="67"/>
        <v>37.085733039548892</v>
      </c>
      <c r="L275">
        <f t="shared" si="67"/>
        <v>92.714332598872232</v>
      </c>
      <c r="M275">
        <f t="shared" si="67"/>
        <v>194.05325427670934</v>
      </c>
      <c r="N275">
        <f t="shared" si="67"/>
        <v>301.86061776377005</v>
      </c>
      <c r="O275">
        <f t="shared" si="67"/>
        <v>474.35239934306725</v>
      </c>
      <c r="P275">
        <f t="shared" si="67"/>
        <v>733.0900717120129</v>
      </c>
      <c r="Q275">
        <f t="shared" si="67"/>
        <v>1548.1137396741919</v>
      </c>
      <c r="R275">
        <f t="shared" si="67"/>
        <v>1392.8711362528245</v>
      </c>
      <c r="S275">
        <f t="shared" si="67"/>
        <v>1857.1615150037658</v>
      </c>
      <c r="T275">
        <f t="shared" si="67"/>
        <v>2785.742272505649</v>
      </c>
      <c r="U275">
        <f t="shared" si="67"/>
        <v>3714.3230300075315</v>
      </c>
      <c r="V275">
        <f t="shared" si="67"/>
        <v>4642.9037875094155</v>
      </c>
      <c r="W275">
        <f t="shared" si="67"/>
        <v>5571.484545011298</v>
      </c>
      <c r="X275">
        <f t="shared" si="67"/>
        <v>7428.6460600150631</v>
      </c>
      <c r="Y275">
        <f t="shared" si="67"/>
        <v>15481.137396741919</v>
      </c>
    </row>
    <row r="276" spans="1:27" x14ac:dyDescent="0.2">
      <c r="A276">
        <v>26</v>
      </c>
      <c r="B276" s="11">
        <v>2046</v>
      </c>
      <c r="C276" s="11">
        <v>47.172435209355797</v>
      </c>
    </row>
    <row r="277" spans="1:27" x14ac:dyDescent="0.2">
      <c r="A277">
        <v>27</v>
      </c>
      <c r="B277" s="11">
        <v>2047</v>
      </c>
      <c r="C277" s="11">
        <v>45.234484265935876</v>
      </c>
      <c r="K277">
        <f>AVERAGE(K251:K275)</f>
        <v>63.41676855214407</v>
      </c>
      <c r="L277">
        <f t="shared" ref="L277:X277" si="68">AVERAGE(L251:L275)</f>
        <v>158.54192138036009</v>
      </c>
      <c r="M277">
        <f t="shared" si="68"/>
        <v>331.83192847052123</v>
      </c>
      <c r="N277">
        <f t="shared" si="68"/>
        <v>516.18299984303303</v>
      </c>
      <c r="O277">
        <f t="shared" si="68"/>
        <v>811.14471403905191</v>
      </c>
      <c r="P277">
        <f t="shared" si="68"/>
        <v>1253.58728533308</v>
      </c>
      <c r="Q277">
        <f t="shared" si="68"/>
        <v>2647.281384909269</v>
      </c>
      <c r="R277">
        <f t="shared" si="68"/>
        <v>2381.8158421328526</v>
      </c>
      <c r="S277">
        <f t="shared" si="68"/>
        <v>3175.7544561771356</v>
      </c>
      <c r="T277">
        <f t="shared" si="68"/>
        <v>4763.6316842657052</v>
      </c>
      <c r="U277">
        <f t="shared" si="68"/>
        <v>6351.5089123542712</v>
      </c>
      <c r="V277">
        <f t="shared" si="68"/>
        <v>7939.3861404428399</v>
      </c>
      <c r="W277">
        <f t="shared" si="68"/>
        <v>9527.2633685314104</v>
      </c>
      <c r="X277">
        <f t="shared" si="68"/>
        <v>12703.017824708542</v>
      </c>
      <c r="Y277">
        <f>AVERAGE(Y251:Y275)</f>
        <v>26472.81384909269</v>
      </c>
    </row>
    <row r="278" spans="1:27" x14ac:dyDescent="0.2">
      <c r="A278">
        <v>28</v>
      </c>
      <c r="B278" s="11">
        <v>2048</v>
      </c>
      <c r="C278" s="11">
        <v>43.376148755605939</v>
      </c>
      <c r="AA278">
        <v>15878.77228088568</v>
      </c>
    </row>
    <row r="279" spans="1:27" x14ac:dyDescent="0.2">
      <c r="A279">
        <v>29</v>
      </c>
      <c r="B279" s="11">
        <v>2049</v>
      </c>
      <c r="C279" s="11">
        <v>41.594157895270243</v>
      </c>
    </row>
    <row r="280" spans="1:27" x14ac:dyDescent="0.2">
      <c r="A280">
        <v>30</v>
      </c>
      <c r="B280" s="11">
        <v>2050</v>
      </c>
      <c r="C280" s="11">
        <v>39.885375273042818</v>
      </c>
      <c r="D280">
        <f>AVERAGE(C251:C280)</f>
        <v>77.342881972456681</v>
      </c>
      <c r="E280" t="s">
        <v>779</v>
      </c>
    </row>
    <row r="281" spans="1:27" x14ac:dyDescent="0.2">
      <c r="B281" s="11">
        <v>2051</v>
      </c>
      <c r="C281" s="11">
        <v>38.246793327972476</v>
      </c>
    </row>
    <row r="282" spans="1:27" x14ac:dyDescent="0.2">
      <c r="B282" s="11">
        <v>2052</v>
      </c>
      <c r="C282" s="11">
        <v>36.675528056553304</v>
      </c>
    </row>
    <row r="283" spans="1:27" x14ac:dyDescent="0.2">
      <c r="B283" s="11">
        <v>2053</v>
      </c>
      <c r="C283" s="11">
        <v>35.16881393670382</v>
      </c>
    </row>
    <row r="284" spans="1:27" x14ac:dyDescent="0.2">
      <c r="B284" s="11">
        <v>2054</v>
      </c>
      <c r="C284" s="11">
        <v>33.723999060280448</v>
      </c>
    </row>
    <row r="285" spans="1:27" x14ac:dyDescent="0.2">
      <c r="B285" s="11">
        <v>2055</v>
      </c>
      <c r="C285" s="11">
        <v>32.338540465558559</v>
      </c>
    </row>
    <row r="286" spans="1:27" x14ac:dyDescent="0.2">
      <c r="B286" s="11">
        <v>2056</v>
      </c>
      <c r="C286" s="11">
        <v>31.009999661465773</v>
      </c>
    </row>
    <row r="287" spans="1:27" x14ac:dyDescent="0.2">
      <c r="B287" s="11">
        <v>2057</v>
      </c>
      <c r="C287" s="11">
        <v>29.736038335689866</v>
      </c>
    </row>
    <row r="290" spans="2:6" x14ac:dyDescent="0.2">
      <c r="B290" t="s">
        <v>322</v>
      </c>
    </row>
    <row r="292" spans="2:6" x14ac:dyDescent="0.2">
      <c r="C292" t="s">
        <v>336</v>
      </c>
      <c r="D292" t="s">
        <v>338</v>
      </c>
    </row>
    <row r="293" spans="2:6" x14ac:dyDescent="0.2">
      <c r="C293" t="s">
        <v>173</v>
      </c>
      <c r="D293">
        <v>0.66700000000000004</v>
      </c>
      <c r="E293" t="s">
        <v>337</v>
      </c>
    </row>
    <row r="294" spans="2:6" x14ac:dyDescent="0.2">
      <c r="C294" t="s">
        <v>174</v>
      </c>
      <c r="D294">
        <v>0.63800000000000001</v>
      </c>
      <c r="E294" t="s">
        <v>337</v>
      </c>
    </row>
    <row r="295" spans="2:6" x14ac:dyDescent="0.2">
      <c r="C295" t="s">
        <v>175</v>
      </c>
      <c r="D295">
        <v>0.626</v>
      </c>
      <c r="E295" t="s">
        <v>337</v>
      </c>
    </row>
    <row r="298" spans="2:6" x14ac:dyDescent="0.2">
      <c r="C298" t="s">
        <v>89</v>
      </c>
      <c r="D298" t="s">
        <v>639</v>
      </c>
      <c r="F298" t="s">
        <v>321</v>
      </c>
    </row>
    <row r="299" spans="2:6" x14ac:dyDescent="0.2">
      <c r="C299">
        <v>5</v>
      </c>
      <c r="D299">
        <f>12*40*$D$294</f>
        <v>306.24</v>
      </c>
      <c r="F299">
        <f>2*40*$D$294</f>
        <v>51.04</v>
      </c>
    </row>
    <row r="300" spans="2:6" x14ac:dyDescent="0.2">
      <c r="C300">
        <v>10</v>
      </c>
      <c r="D300">
        <f t="shared" ref="D300:D313" si="69">13*40*$D$294</f>
        <v>331.76</v>
      </c>
      <c r="F300">
        <f t="shared" ref="F300:F313" si="70">2*40*$D$294</f>
        <v>51.04</v>
      </c>
    </row>
    <row r="301" spans="2:6" x14ac:dyDescent="0.2">
      <c r="C301">
        <v>20</v>
      </c>
      <c r="D301">
        <f t="shared" si="69"/>
        <v>331.76</v>
      </c>
      <c r="F301">
        <f t="shared" si="70"/>
        <v>51.04</v>
      </c>
    </row>
    <row r="302" spans="2:6" x14ac:dyDescent="0.2">
      <c r="C302">
        <v>30</v>
      </c>
      <c r="D302">
        <f t="shared" si="69"/>
        <v>331.76</v>
      </c>
      <c r="F302">
        <f t="shared" si="70"/>
        <v>51.04</v>
      </c>
    </row>
    <row r="303" spans="2:6" x14ac:dyDescent="0.2">
      <c r="C303">
        <v>50</v>
      </c>
      <c r="D303">
        <f t="shared" si="69"/>
        <v>331.76</v>
      </c>
      <c r="F303">
        <f t="shared" si="70"/>
        <v>51.04</v>
      </c>
    </row>
    <row r="304" spans="2:6" x14ac:dyDescent="0.2">
      <c r="C304">
        <v>75</v>
      </c>
      <c r="D304">
        <f t="shared" si="69"/>
        <v>331.76</v>
      </c>
      <c r="F304">
        <f t="shared" si="70"/>
        <v>51.04</v>
      </c>
    </row>
    <row r="305" spans="2:6" x14ac:dyDescent="0.2">
      <c r="C305">
        <v>100</v>
      </c>
      <c r="D305">
        <f t="shared" si="69"/>
        <v>331.76</v>
      </c>
      <c r="F305">
        <f t="shared" si="70"/>
        <v>51.04</v>
      </c>
    </row>
    <row r="306" spans="2:6" x14ac:dyDescent="0.2">
      <c r="C306">
        <v>150</v>
      </c>
      <c r="D306">
        <f t="shared" si="69"/>
        <v>331.76</v>
      </c>
      <c r="F306">
        <f t="shared" si="70"/>
        <v>51.04</v>
      </c>
    </row>
    <row r="307" spans="2:6" x14ac:dyDescent="0.2">
      <c r="C307">
        <v>200</v>
      </c>
      <c r="D307">
        <f t="shared" si="69"/>
        <v>331.76</v>
      </c>
      <c r="F307">
        <f t="shared" si="70"/>
        <v>51.04</v>
      </c>
    </row>
    <row r="308" spans="2:6" x14ac:dyDescent="0.2">
      <c r="C308">
        <v>300</v>
      </c>
      <c r="D308">
        <f t="shared" si="69"/>
        <v>331.76</v>
      </c>
      <c r="F308">
        <f t="shared" si="70"/>
        <v>51.04</v>
      </c>
    </row>
    <row r="309" spans="2:6" x14ac:dyDescent="0.2">
      <c r="C309">
        <v>400</v>
      </c>
      <c r="D309">
        <f t="shared" si="69"/>
        <v>331.76</v>
      </c>
      <c r="F309">
        <f t="shared" si="70"/>
        <v>51.04</v>
      </c>
    </row>
    <row r="310" spans="2:6" x14ac:dyDescent="0.2">
      <c r="C310">
        <v>500</v>
      </c>
      <c r="D310">
        <f t="shared" si="69"/>
        <v>331.76</v>
      </c>
      <c r="F310">
        <f t="shared" si="70"/>
        <v>51.04</v>
      </c>
    </row>
    <row r="311" spans="2:6" x14ac:dyDescent="0.2">
      <c r="C311">
        <v>600</v>
      </c>
      <c r="D311">
        <f t="shared" si="69"/>
        <v>331.76</v>
      </c>
      <c r="F311">
        <f t="shared" si="70"/>
        <v>51.04</v>
      </c>
    </row>
    <row r="312" spans="2:6" x14ac:dyDescent="0.2">
      <c r="C312">
        <v>800</v>
      </c>
      <c r="D312">
        <f t="shared" si="69"/>
        <v>331.76</v>
      </c>
      <c r="F312">
        <f t="shared" si="70"/>
        <v>51.04</v>
      </c>
    </row>
    <row r="313" spans="2:6" x14ac:dyDescent="0.2">
      <c r="C313">
        <v>1000</v>
      </c>
      <c r="D313">
        <f t="shared" si="69"/>
        <v>331.76</v>
      </c>
      <c r="F313">
        <f t="shared" si="70"/>
        <v>51.04</v>
      </c>
    </row>
    <row r="316" spans="2:6" x14ac:dyDescent="0.2">
      <c r="B316" t="s">
        <v>636</v>
      </c>
    </row>
    <row r="318" spans="2:6" x14ac:dyDescent="0.2">
      <c r="B318" t="s">
        <v>80</v>
      </c>
    </row>
    <row r="319" spans="2:6" x14ac:dyDescent="0.2">
      <c r="B319" t="s">
        <v>325</v>
      </c>
      <c r="C319">
        <v>0.125</v>
      </c>
      <c r="E319" t="s">
        <v>331</v>
      </c>
    </row>
    <row r="320" spans="2:6" x14ac:dyDescent="0.2">
      <c r="B320" t="s">
        <v>326</v>
      </c>
      <c r="C320">
        <v>1</v>
      </c>
      <c r="D320" t="s">
        <v>323</v>
      </c>
    </row>
    <row r="323" spans="1:11" x14ac:dyDescent="0.2">
      <c r="B323" t="s">
        <v>89</v>
      </c>
      <c r="C323" t="s">
        <v>637</v>
      </c>
      <c r="I323" t="s">
        <v>667</v>
      </c>
    </row>
    <row r="324" spans="1:11" x14ac:dyDescent="0.2">
      <c r="B324">
        <v>5</v>
      </c>
      <c r="C324">
        <v>34.1</v>
      </c>
      <c r="E324">
        <f t="shared" ref="E324:E338" si="71">C324*$C$319</f>
        <v>4.2625000000000002</v>
      </c>
      <c r="G324">
        <f>E324+F299</f>
        <v>55.302500000000002</v>
      </c>
      <c r="I324">
        <v>6.3255370935898329E-3</v>
      </c>
      <c r="K324">
        <f>E324+I324</f>
        <v>4.2688255370935897</v>
      </c>
    </row>
    <row r="325" spans="1:11" x14ac:dyDescent="0.2">
      <c r="B325">
        <v>10</v>
      </c>
      <c r="C325">
        <v>92.7</v>
      </c>
      <c r="E325">
        <f t="shared" si="71"/>
        <v>11.5875</v>
      </c>
      <c r="G325">
        <f t="shared" ref="G325:G338" si="72">E325+F300</f>
        <v>62.627499999999998</v>
      </c>
      <c r="I325">
        <v>6.3255370935898329E-3</v>
      </c>
      <c r="K325">
        <f t="shared" ref="K325:K338" si="73">E325+I325</f>
        <v>11.59382553709359</v>
      </c>
    </row>
    <row r="326" spans="1:11" x14ac:dyDescent="0.2">
      <c r="B326">
        <v>20</v>
      </c>
      <c r="C326">
        <v>195</v>
      </c>
      <c r="E326">
        <f t="shared" si="71"/>
        <v>24.375</v>
      </c>
      <c r="G326">
        <f t="shared" si="72"/>
        <v>75.414999999999992</v>
      </c>
      <c r="I326">
        <v>6.3255370935898303E-3</v>
      </c>
      <c r="K326">
        <f t="shared" si="73"/>
        <v>24.381325537093591</v>
      </c>
    </row>
    <row r="327" spans="1:11" x14ac:dyDescent="0.2">
      <c r="B327">
        <v>30</v>
      </c>
      <c r="C327">
        <v>119</v>
      </c>
      <c r="E327">
        <f t="shared" si="71"/>
        <v>14.875</v>
      </c>
      <c r="G327">
        <f t="shared" si="72"/>
        <v>65.914999999999992</v>
      </c>
      <c r="I327">
        <v>6.3255370935898303E-3</v>
      </c>
      <c r="K327">
        <f t="shared" si="73"/>
        <v>14.88132553709359</v>
      </c>
    </row>
    <row r="328" spans="1:11" x14ac:dyDescent="0.2">
      <c r="B328">
        <v>50</v>
      </c>
      <c r="C328" s="10">
        <v>142</v>
      </c>
      <c r="E328">
        <f t="shared" si="71"/>
        <v>17.75</v>
      </c>
      <c r="G328">
        <f t="shared" si="72"/>
        <v>68.789999999999992</v>
      </c>
      <c r="I328">
        <v>6.3255370935898303E-3</v>
      </c>
      <c r="K328">
        <f t="shared" si="73"/>
        <v>17.756325537093591</v>
      </c>
    </row>
    <row r="329" spans="1:11" x14ac:dyDescent="0.2">
      <c r="B329">
        <v>75</v>
      </c>
      <c r="C329">
        <v>194</v>
      </c>
      <c r="E329">
        <f t="shared" si="71"/>
        <v>24.25</v>
      </c>
      <c r="G329">
        <f t="shared" si="72"/>
        <v>75.289999999999992</v>
      </c>
      <c r="I329">
        <v>6.3255370935898303E-3</v>
      </c>
      <c r="K329">
        <f t="shared" si="73"/>
        <v>24.256325537093591</v>
      </c>
    </row>
    <row r="330" spans="1:11" x14ac:dyDescent="0.2">
      <c r="B330">
        <v>100</v>
      </c>
      <c r="C330">
        <v>257</v>
      </c>
      <c r="E330">
        <f t="shared" si="71"/>
        <v>32.125</v>
      </c>
      <c r="G330">
        <f t="shared" si="72"/>
        <v>83.164999999999992</v>
      </c>
      <c r="I330">
        <v>6.3255370935898303E-3</v>
      </c>
      <c r="K330">
        <f t="shared" si="73"/>
        <v>32.131325537093588</v>
      </c>
    </row>
    <row r="331" spans="1:11" x14ac:dyDescent="0.2">
      <c r="A331" t="s">
        <v>638</v>
      </c>
      <c r="B331">
        <v>150</v>
      </c>
      <c r="C331">
        <v>257</v>
      </c>
      <c r="E331">
        <f t="shared" si="71"/>
        <v>32.125</v>
      </c>
      <c r="G331">
        <f t="shared" si="72"/>
        <v>83.164999999999992</v>
      </c>
      <c r="I331">
        <v>6.3255370935898303E-3</v>
      </c>
      <c r="K331">
        <f t="shared" si="73"/>
        <v>32.131325537093588</v>
      </c>
    </row>
    <row r="332" spans="1:11" x14ac:dyDescent="0.2">
      <c r="B332">
        <v>200</v>
      </c>
      <c r="C332">
        <v>257</v>
      </c>
      <c r="E332">
        <f t="shared" si="71"/>
        <v>32.125</v>
      </c>
      <c r="G332">
        <f t="shared" si="72"/>
        <v>83.164999999999992</v>
      </c>
      <c r="I332">
        <v>6.3255370935898303E-3</v>
      </c>
      <c r="K332">
        <f t="shared" si="73"/>
        <v>32.131325537093588</v>
      </c>
    </row>
    <row r="333" spans="1:11" x14ac:dyDescent="0.2">
      <c r="B333">
        <v>300</v>
      </c>
      <c r="C333">
        <v>257</v>
      </c>
      <c r="E333">
        <f t="shared" si="71"/>
        <v>32.125</v>
      </c>
      <c r="G333">
        <f t="shared" si="72"/>
        <v>83.164999999999992</v>
      </c>
      <c r="I333">
        <v>6.3255370935898303E-3</v>
      </c>
      <c r="K333">
        <f t="shared" si="73"/>
        <v>32.131325537093588</v>
      </c>
    </row>
    <row r="334" spans="1:11" x14ac:dyDescent="0.2">
      <c r="B334">
        <v>400</v>
      </c>
      <c r="C334">
        <v>257</v>
      </c>
      <c r="E334">
        <f t="shared" si="71"/>
        <v>32.125</v>
      </c>
      <c r="G334">
        <f t="shared" si="72"/>
        <v>83.164999999999992</v>
      </c>
      <c r="I334">
        <v>6.3255370935898303E-3</v>
      </c>
      <c r="K334">
        <f t="shared" si="73"/>
        <v>32.131325537093588</v>
      </c>
    </row>
    <row r="335" spans="1:11" x14ac:dyDescent="0.2">
      <c r="B335">
        <v>500</v>
      </c>
      <c r="C335">
        <v>257</v>
      </c>
      <c r="E335">
        <f t="shared" si="71"/>
        <v>32.125</v>
      </c>
      <c r="G335">
        <f t="shared" si="72"/>
        <v>83.164999999999992</v>
      </c>
      <c r="I335">
        <v>6.3255370935898303E-3</v>
      </c>
      <c r="K335">
        <f t="shared" si="73"/>
        <v>32.131325537093588</v>
      </c>
    </row>
    <row r="336" spans="1:11" x14ac:dyDescent="0.2">
      <c r="B336">
        <v>600</v>
      </c>
      <c r="C336">
        <v>257</v>
      </c>
      <c r="E336">
        <f t="shared" si="71"/>
        <v>32.125</v>
      </c>
      <c r="G336">
        <f t="shared" si="72"/>
        <v>83.164999999999992</v>
      </c>
      <c r="I336">
        <v>6.3255370935898303E-3</v>
      </c>
      <c r="K336">
        <f t="shared" si="73"/>
        <v>32.131325537093588</v>
      </c>
    </row>
    <row r="337" spans="2:11" x14ac:dyDescent="0.2">
      <c r="B337">
        <v>800</v>
      </c>
      <c r="C337">
        <v>257</v>
      </c>
      <c r="E337">
        <f t="shared" si="71"/>
        <v>32.125</v>
      </c>
      <c r="G337">
        <f t="shared" si="72"/>
        <v>83.164999999999992</v>
      </c>
      <c r="I337">
        <v>6.3255370935898303E-3</v>
      </c>
      <c r="K337">
        <f t="shared" si="73"/>
        <v>32.131325537093588</v>
      </c>
    </row>
    <row r="338" spans="2:11" x14ac:dyDescent="0.2">
      <c r="B338">
        <v>1000</v>
      </c>
      <c r="C338">
        <v>257</v>
      </c>
      <c r="E338">
        <f t="shared" si="71"/>
        <v>32.125</v>
      </c>
      <c r="G338">
        <f t="shared" si="72"/>
        <v>83.164999999999992</v>
      </c>
      <c r="I338">
        <v>6.3255370935898303E-3</v>
      </c>
      <c r="K338">
        <f t="shared" si="73"/>
        <v>32.131325537093588</v>
      </c>
    </row>
  </sheetData>
  <mergeCells count="29">
    <mergeCell ref="N197:N205"/>
    <mergeCell ref="N206:N214"/>
    <mergeCell ref="N215:N223"/>
    <mergeCell ref="N224:N232"/>
    <mergeCell ref="N233:N241"/>
    <mergeCell ref="N152:N160"/>
    <mergeCell ref="N161:N169"/>
    <mergeCell ref="N170:N178"/>
    <mergeCell ref="N179:N187"/>
    <mergeCell ref="N188:N196"/>
    <mergeCell ref="N107:N115"/>
    <mergeCell ref="N116:N124"/>
    <mergeCell ref="N125:N133"/>
    <mergeCell ref="N134:N142"/>
    <mergeCell ref="N143:N151"/>
    <mergeCell ref="M1:S1"/>
    <mergeCell ref="T1:Z1"/>
    <mergeCell ref="A35:L35"/>
    <mergeCell ref="A1:L1"/>
    <mergeCell ref="A78:L78"/>
    <mergeCell ref="CF1:CK1"/>
    <mergeCell ref="CL1:CQ1"/>
    <mergeCell ref="CR1:CW1"/>
    <mergeCell ref="CX1:DC1"/>
    <mergeCell ref="BB1:BG1"/>
    <mergeCell ref="BH1:BM1"/>
    <mergeCell ref="BN1:BS1"/>
    <mergeCell ref="BT1:BY1"/>
    <mergeCell ref="BZ1:C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PLEASE READ</vt:lpstr>
      <vt:lpstr>Uk Grid Decarbonisation</vt:lpstr>
      <vt:lpstr>Conversions</vt:lpstr>
      <vt:lpstr>Wetland Flow</vt:lpstr>
      <vt:lpstr>Tankering</vt:lpstr>
      <vt:lpstr>Operational Emission Factors</vt:lpstr>
      <vt:lpstr>Septic Tank - British </vt:lpstr>
      <vt:lpstr>STS</vt:lpstr>
      <vt:lpstr>SAF</vt:lpstr>
      <vt:lpstr>ABR-Exc</vt:lpstr>
      <vt:lpstr>ABR-T</vt:lpstr>
      <vt:lpstr>AHF </vt:lpstr>
      <vt:lpstr>VF </vt:lpstr>
      <vt:lpstr>Capital Carbon (legacy)</vt:lpstr>
      <vt:lpstr>Fences</vt:lpstr>
      <vt:lpstr>Operational Emissions (Legacy)</vt:lpstr>
      <vt:lpstr>Pumping</vt:lpstr>
      <vt:lpstr>Initial Comparison</vt:lpstr>
      <vt:lpstr>Operational Emission Summary</vt:lpstr>
      <vt:lpstr>Overall LCA</vt:lpstr>
      <vt:lpstr>21-O</vt:lpstr>
      <vt:lpstr>Graph X</vt:lpstr>
      <vt:lpstr>30-O</vt:lpstr>
      <vt:lpstr>30-N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Gareth Brown</cp:lastModifiedBy>
  <dcterms:created xsi:type="dcterms:W3CDTF">2021-06-23T09:37:09Z</dcterms:created>
  <dcterms:modified xsi:type="dcterms:W3CDTF">2022-12-12T15:34:15Z</dcterms:modified>
</cp:coreProperties>
</file>