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anfield-my.sharepoint.com/personal/g_c_brown_cranfield_ac_uk/Documents/s294313/Write ups/4. Life Cycle/Data/"/>
    </mc:Choice>
  </mc:AlternateContent>
  <xr:revisionPtr revIDLastSave="0" documentId="8_{347D645A-CF17-4B17-8220-B29A0D74FAAB}" xr6:coauthVersionLast="47" xr6:coauthVersionMax="47" xr10:uidLastSave="{00000000-0000-0000-0000-000000000000}"/>
  <bookViews>
    <workbookView xWindow="-120" yWindow="-120" windowWidth="29040" windowHeight="15720" activeTab="4" xr2:uid="{B4C01DFA-2E91-4648-ACF0-D9F66B7C9A2D}"/>
  </bookViews>
  <sheets>
    <sheet name="Conditions" sheetId="1" r:id="rId1"/>
    <sheet name="Auxilaries" sheetId="4" state="hidden" r:id="rId2"/>
    <sheet name="Abatement Costs" sheetId="3" state="hidden" r:id="rId3"/>
    <sheet name="Results" sheetId="2" state="hidden" r:id="rId4"/>
    <sheet name="Uncertainity" sheetId="5" r:id="rId5"/>
  </sheets>
  <externalReferences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85" i="1" l="1"/>
  <c r="Y86" i="1"/>
  <c r="Y87" i="1"/>
  <c r="Y88" i="1"/>
  <c r="X86" i="1"/>
  <c r="X87" i="1"/>
  <c r="X88" i="1"/>
  <c r="X85" i="1"/>
  <c r="X81" i="1"/>
  <c r="Y81" i="1"/>
  <c r="X82" i="1"/>
  <c r="Y82" i="1"/>
  <c r="X83" i="1"/>
  <c r="Y83" i="1"/>
  <c r="Y80" i="1"/>
  <c r="X80" i="1"/>
  <c r="X76" i="1"/>
  <c r="Y76" i="1"/>
  <c r="X77" i="1"/>
  <c r="Y77" i="1"/>
  <c r="X78" i="1"/>
  <c r="Y78" i="1"/>
  <c r="Y75" i="1"/>
  <c r="X75" i="1"/>
  <c r="L4" i="5"/>
  <c r="K4" i="5"/>
  <c r="L6" i="5"/>
  <c r="K6" i="5"/>
  <c r="L5" i="5"/>
  <c r="K5" i="5"/>
  <c r="L30" i="5"/>
  <c r="K30" i="5"/>
  <c r="L29" i="5"/>
  <c r="K29" i="5"/>
  <c r="L28" i="5"/>
  <c r="K28" i="5"/>
  <c r="L26" i="5"/>
  <c r="K26" i="5"/>
  <c r="L25" i="5"/>
  <c r="K25" i="5"/>
  <c r="L24" i="5"/>
  <c r="K24" i="5"/>
  <c r="L22" i="5"/>
  <c r="K22" i="5"/>
  <c r="L21" i="5"/>
  <c r="K21" i="5"/>
  <c r="L20" i="5"/>
  <c r="K20" i="5"/>
  <c r="L18" i="5"/>
  <c r="K18" i="5"/>
  <c r="L17" i="5"/>
  <c r="K17" i="5"/>
  <c r="L16" i="5"/>
  <c r="K16" i="5"/>
  <c r="L14" i="5"/>
  <c r="K14" i="5"/>
  <c r="L13" i="5"/>
  <c r="K13" i="5"/>
  <c r="L12" i="5"/>
  <c r="K12" i="5"/>
  <c r="K9" i="5"/>
  <c r="L9" i="5"/>
  <c r="K10" i="5"/>
  <c r="L10" i="5"/>
  <c r="L8" i="5"/>
  <c r="K8" i="5"/>
  <c r="D28" i="5"/>
  <c r="E28" i="5"/>
  <c r="F28" i="5"/>
  <c r="G28" i="5"/>
  <c r="H28" i="5"/>
  <c r="I28" i="5"/>
  <c r="D29" i="5"/>
  <c r="E29" i="5"/>
  <c r="F29" i="5"/>
  <c r="G29" i="5"/>
  <c r="H29" i="5"/>
  <c r="I29" i="5"/>
  <c r="D30" i="5"/>
  <c r="E30" i="5"/>
  <c r="F30" i="5"/>
  <c r="G30" i="5"/>
  <c r="H30" i="5"/>
  <c r="I30" i="5"/>
  <c r="C29" i="5"/>
  <c r="C30" i="5"/>
  <c r="C28" i="5"/>
  <c r="D24" i="5"/>
  <c r="E24" i="5"/>
  <c r="F24" i="5"/>
  <c r="G24" i="5"/>
  <c r="H24" i="5"/>
  <c r="I24" i="5"/>
  <c r="D25" i="5"/>
  <c r="E25" i="5"/>
  <c r="F25" i="5"/>
  <c r="G25" i="5"/>
  <c r="H25" i="5"/>
  <c r="I25" i="5"/>
  <c r="D26" i="5"/>
  <c r="E26" i="5"/>
  <c r="F26" i="5"/>
  <c r="G26" i="5"/>
  <c r="H26" i="5"/>
  <c r="I26" i="5"/>
  <c r="C25" i="5"/>
  <c r="C26" i="5"/>
  <c r="C24" i="5"/>
  <c r="D10" i="5"/>
  <c r="E10" i="5"/>
  <c r="F10" i="5"/>
  <c r="G10" i="5"/>
  <c r="H10" i="5"/>
  <c r="I10" i="5"/>
  <c r="C10" i="5"/>
  <c r="I103" i="1"/>
  <c r="J103" i="1"/>
  <c r="K103" i="1"/>
  <c r="J102" i="1"/>
  <c r="K102" i="1"/>
  <c r="I102" i="1"/>
  <c r="M25" i="1"/>
  <c r="L25" i="1"/>
  <c r="E54" i="1"/>
  <c r="J54" i="1" s="1"/>
  <c r="M89" i="1" l="1"/>
  <c r="J61" i="1"/>
  <c r="L89" i="1"/>
  <c r="E46" i="1"/>
  <c r="J40" i="1" s="1"/>
  <c r="E41" i="1"/>
  <c r="AL24" i="1"/>
  <c r="Y22" i="1"/>
  <c r="E18" i="1"/>
  <c r="D18" i="1"/>
  <c r="C15" i="1"/>
  <c r="D15" i="1"/>
  <c r="E15" i="1"/>
  <c r="N11" i="4"/>
  <c r="N10" i="4"/>
  <c r="N9" i="4"/>
  <c r="N8" i="4"/>
  <c r="M9" i="4"/>
  <c r="M10" i="4"/>
  <c r="M11" i="4"/>
  <c r="M8" i="4"/>
  <c r="K11" i="4"/>
  <c r="K10" i="4"/>
  <c r="K9" i="4"/>
  <c r="K8" i="4"/>
  <c r="E4" i="4"/>
  <c r="E5" i="4"/>
  <c r="E7" i="4"/>
  <c r="E8" i="4"/>
  <c r="E10" i="4"/>
  <c r="E11" i="4"/>
  <c r="E13" i="4"/>
  <c r="E14" i="4"/>
  <c r="E64" i="1"/>
  <c r="U9" i="3"/>
  <c r="N17" i="3"/>
  <c r="O17" i="3"/>
  <c r="P17" i="3"/>
  <c r="Q17" i="3"/>
  <c r="R17" i="3"/>
  <c r="S17" i="3"/>
  <c r="M17" i="3"/>
  <c r="N14" i="3"/>
  <c r="O14" i="3"/>
  <c r="P14" i="3"/>
  <c r="Q14" i="3"/>
  <c r="R14" i="3"/>
  <c r="S14" i="3"/>
  <c r="M14" i="3"/>
  <c r="E34" i="3" l="1"/>
  <c r="F34" i="3"/>
  <c r="G34" i="3"/>
  <c r="E35" i="3"/>
  <c r="F35" i="3"/>
  <c r="G35" i="3"/>
  <c r="F33" i="3"/>
  <c r="G33" i="3"/>
  <c r="E33" i="3"/>
  <c r="E28" i="3"/>
  <c r="F28" i="3"/>
  <c r="G28" i="3"/>
  <c r="E29" i="3"/>
  <c r="F29" i="3"/>
  <c r="G29" i="3"/>
  <c r="E30" i="3"/>
  <c r="F30" i="3"/>
  <c r="G30" i="3"/>
  <c r="E25" i="3"/>
  <c r="F25" i="3"/>
  <c r="G25" i="3"/>
  <c r="E26" i="3"/>
  <c r="F26" i="3"/>
  <c r="G26" i="3"/>
  <c r="F24" i="3"/>
  <c r="G24" i="3"/>
  <c r="E24" i="3"/>
  <c r="E19" i="3"/>
  <c r="F19" i="3"/>
  <c r="G19" i="3"/>
  <c r="E20" i="3"/>
  <c r="F20" i="3"/>
  <c r="G20" i="3"/>
  <c r="F18" i="3"/>
  <c r="G18" i="3"/>
  <c r="E18" i="3"/>
  <c r="G8" i="3"/>
  <c r="E9" i="3"/>
  <c r="F9" i="3"/>
  <c r="G9" i="3"/>
  <c r="E10" i="3"/>
  <c r="F10" i="3"/>
  <c r="G10" i="3"/>
  <c r="F8" i="3"/>
  <c r="E8" i="3"/>
  <c r="M21" i="1"/>
  <c r="N21" i="1"/>
  <c r="O21" i="1"/>
  <c r="M22" i="1"/>
  <c r="N22" i="1"/>
  <c r="O22" i="1"/>
  <c r="L17" i="1"/>
  <c r="O20" i="1"/>
  <c r="M20" i="1"/>
  <c r="N20" i="1"/>
  <c r="C81" i="1"/>
  <c r="B85" i="1"/>
  <c r="B84" i="1"/>
  <c r="E90" i="1"/>
  <c r="E91" i="1"/>
  <c r="E89" i="1"/>
  <c r="E86" i="1"/>
  <c r="E85" i="1"/>
  <c r="E81" i="1"/>
  <c r="E80" i="1"/>
  <c r="BR14" i="1" l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13" i="1"/>
  <c r="BN14" i="1"/>
  <c r="BN15" i="1"/>
  <c r="BO15" i="1" s="1"/>
  <c r="BN16" i="1"/>
  <c r="BN17" i="1"/>
  <c r="BN18" i="1"/>
  <c r="BT18" i="1" s="1"/>
  <c r="BN19" i="1"/>
  <c r="BO19" i="1" s="1"/>
  <c r="BN20" i="1"/>
  <c r="BT20" i="1" s="1"/>
  <c r="BN21" i="1"/>
  <c r="BO21" i="1" s="1"/>
  <c r="BN22" i="1"/>
  <c r="BN23" i="1"/>
  <c r="BO23" i="1" s="1"/>
  <c r="BN24" i="1"/>
  <c r="BN25" i="1"/>
  <c r="BN26" i="1"/>
  <c r="BT26" i="1" s="1"/>
  <c r="BN27" i="1"/>
  <c r="BO27" i="1" s="1"/>
  <c r="BN13" i="1"/>
  <c r="BT13" i="1" s="1"/>
  <c r="BM14" i="1"/>
  <c r="BS14" i="1" s="1"/>
  <c r="BM15" i="1"/>
  <c r="BS15" i="1" s="1"/>
  <c r="BM16" i="1"/>
  <c r="BS16" i="1" s="1"/>
  <c r="BM17" i="1"/>
  <c r="BS17" i="1" s="1"/>
  <c r="BM18" i="1"/>
  <c r="BS18" i="1" s="1"/>
  <c r="BM19" i="1"/>
  <c r="BS19" i="1" s="1"/>
  <c r="BM20" i="1"/>
  <c r="BS20" i="1" s="1"/>
  <c r="BM21" i="1"/>
  <c r="BS21" i="1" s="1"/>
  <c r="BM22" i="1"/>
  <c r="BS22" i="1" s="1"/>
  <c r="BM23" i="1"/>
  <c r="BS23" i="1" s="1"/>
  <c r="BM24" i="1"/>
  <c r="BS24" i="1" s="1"/>
  <c r="BM25" i="1"/>
  <c r="BS25" i="1" s="1"/>
  <c r="BM26" i="1"/>
  <c r="BS26" i="1" s="1"/>
  <c r="BM27" i="1"/>
  <c r="BS27" i="1" s="1"/>
  <c r="BM13" i="1"/>
  <c r="BS13" i="1" s="1"/>
  <c r="N17" i="1"/>
  <c r="O17" i="1"/>
  <c r="M17" i="1"/>
  <c r="AZ24" i="1"/>
  <c r="AZ23" i="1"/>
  <c r="AX19" i="1"/>
  <c r="AX18" i="1"/>
  <c r="AP12" i="1"/>
  <c r="AQ12" i="1"/>
  <c r="AR12" i="1"/>
  <c r="AS12" i="1"/>
  <c r="AP23" i="1"/>
  <c r="AQ23" i="1"/>
  <c r="AR23" i="1"/>
  <c r="AS23" i="1"/>
  <c r="AX21" i="1"/>
  <c r="X24" i="1"/>
  <c r="AJ21" i="1" s="1"/>
  <c r="X23" i="1"/>
  <c r="AJ20" i="1" s="1"/>
  <c r="W23" i="1"/>
  <c r="X22" i="1"/>
  <c r="AJ19" i="1" s="1"/>
  <c r="W22" i="1"/>
  <c r="X21" i="1"/>
  <c r="AJ18" i="1" s="1"/>
  <c r="Y21" i="1"/>
  <c r="AL23" i="1" s="1"/>
  <c r="AX20" i="1" s="1"/>
  <c r="W21" i="1"/>
  <c r="X18" i="1"/>
  <c r="Y18" i="1"/>
  <c r="Y24" i="1" s="1"/>
  <c r="AL26" i="1" s="1"/>
  <c r="W18" i="1"/>
  <c r="W24" i="1" s="1"/>
  <c r="X17" i="1"/>
  <c r="Y17" i="1"/>
  <c r="Y23" i="1" s="1"/>
  <c r="AL25" i="1" s="1"/>
  <c r="W17" i="1"/>
  <c r="C53" i="1"/>
  <c r="H53" i="1" s="1"/>
  <c r="H60" i="1" s="1"/>
  <c r="C54" i="1"/>
  <c r="H54" i="1" s="1"/>
  <c r="H61" i="1" s="1"/>
  <c r="C55" i="1"/>
  <c r="H55" i="1" s="1"/>
  <c r="C56" i="1"/>
  <c r="H56" i="1" s="1"/>
  <c r="E56" i="1"/>
  <c r="J56" i="1" s="1"/>
  <c r="E55" i="1"/>
  <c r="J55" i="1" s="1"/>
  <c r="E53" i="1"/>
  <c r="J53" i="1" s="1"/>
  <c r="D53" i="1"/>
  <c r="I53" i="1" s="1"/>
  <c r="D54" i="1"/>
  <c r="I54" i="1" s="1"/>
  <c r="D55" i="1"/>
  <c r="I55" i="1" s="1"/>
  <c r="D56" i="1"/>
  <c r="I56" i="1" s="1"/>
  <c r="H39" i="1"/>
  <c r="D46" i="1"/>
  <c r="I40" i="1" s="1"/>
  <c r="C46" i="1"/>
  <c r="H40" i="1" s="1"/>
  <c r="E45" i="1"/>
  <c r="D45" i="1"/>
  <c r="C45" i="1"/>
  <c r="E44" i="1"/>
  <c r="D44" i="1"/>
  <c r="C44" i="1"/>
  <c r="E43" i="1"/>
  <c r="D43" i="1"/>
  <c r="D48" i="1" s="1"/>
  <c r="I42" i="1" s="1"/>
  <c r="C43" i="1"/>
  <c r="E40" i="1"/>
  <c r="J39" i="1" s="1"/>
  <c r="D40" i="1"/>
  <c r="I39" i="1" s="1"/>
  <c r="I60" i="1" s="1"/>
  <c r="E60" i="1" l="1"/>
  <c r="C47" i="1"/>
  <c r="H41" i="1" s="1"/>
  <c r="H62" i="1" s="1"/>
  <c r="L59" i="1" s="1"/>
  <c r="N59" i="1" s="1"/>
  <c r="O59" i="1" s="1"/>
  <c r="I63" i="1"/>
  <c r="E47" i="1"/>
  <c r="J41" i="1" s="1"/>
  <c r="J62" i="1" s="1"/>
  <c r="D47" i="1"/>
  <c r="I41" i="1" s="1"/>
  <c r="I62" i="1" s="1"/>
  <c r="I61" i="1"/>
  <c r="L57" i="1"/>
  <c r="N57" i="1" s="1"/>
  <c r="O57" i="1" s="1"/>
  <c r="BO25" i="1"/>
  <c r="BO17" i="1"/>
  <c r="BT21" i="1"/>
  <c r="BO24" i="1"/>
  <c r="BO16" i="1"/>
  <c r="BT27" i="1"/>
  <c r="BT19" i="1"/>
  <c r="J60" i="1"/>
  <c r="C48" i="1"/>
  <c r="H42" i="1" s="1"/>
  <c r="H63" i="1" s="1"/>
  <c r="L58" i="1" s="1"/>
  <c r="N58" i="1" s="1"/>
  <c r="O58" i="1" s="1"/>
  <c r="BO22" i="1"/>
  <c r="BO14" i="1"/>
  <c r="BT25" i="1"/>
  <c r="BT17" i="1"/>
  <c r="BO13" i="1"/>
  <c r="BO20" i="1"/>
  <c r="BT24" i="1"/>
  <c r="BT16" i="1"/>
  <c r="BT23" i="1"/>
  <c r="BT15" i="1"/>
  <c r="BO26" i="1"/>
  <c r="BO18" i="1"/>
  <c r="BT22" i="1"/>
  <c r="BT14" i="1"/>
  <c r="E48" i="1"/>
  <c r="J42" i="1" s="1"/>
  <c r="J63" i="1" s="1"/>
  <c r="C27" i="1"/>
  <c r="D27" i="1"/>
  <c r="E27" i="1"/>
  <c r="C26" i="1"/>
  <c r="D26" i="1"/>
  <c r="E26" i="1"/>
  <c r="E25" i="1"/>
  <c r="C25" i="1"/>
  <c r="D25" i="1"/>
  <c r="C24" i="1"/>
  <c r="D24" i="1"/>
  <c r="E24" i="1"/>
  <c r="C23" i="1"/>
  <c r="D23" i="1"/>
  <c r="E23" i="1"/>
  <c r="C22" i="1"/>
  <c r="D22" i="1"/>
  <c r="E22" i="1"/>
  <c r="C21" i="1"/>
  <c r="D21" i="1"/>
  <c r="E21" i="1"/>
  <c r="C20" i="1"/>
  <c r="D20" i="1"/>
  <c r="E20" i="1"/>
  <c r="C19" i="1"/>
  <c r="D19" i="1"/>
  <c r="E19" i="1"/>
  <c r="H18" i="1"/>
  <c r="I18" i="1"/>
  <c r="AD18" i="1" s="1"/>
  <c r="G18" i="1"/>
  <c r="C17" i="1"/>
  <c r="D17" i="1"/>
  <c r="H17" i="1" s="1"/>
  <c r="AC17" i="1" s="1"/>
  <c r="E17" i="1"/>
  <c r="I17" i="1" s="1"/>
  <c r="AD17" i="1" s="1"/>
  <c r="G15" i="1"/>
  <c r="AB15" i="1" s="1"/>
  <c r="H15" i="1"/>
  <c r="AC15" i="1" s="1"/>
  <c r="I15" i="1"/>
  <c r="AD15" i="1" s="1"/>
  <c r="C14" i="1"/>
  <c r="G14" i="1" s="1"/>
  <c r="D14" i="1"/>
  <c r="H14" i="1" s="1"/>
  <c r="AC14" i="1" s="1"/>
  <c r="C13" i="1"/>
  <c r="G13" i="1" s="1"/>
  <c r="D13" i="1"/>
  <c r="H13" i="1" s="1"/>
  <c r="AC13" i="1" s="1"/>
  <c r="C29" i="1" l="1"/>
  <c r="G29" i="1" s="1"/>
  <c r="D31" i="1"/>
  <c r="H31" i="1" s="1"/>
  <c r="AC22" i="1" s="1"/>
  <c r="M69" i="1"/>
  <c r="L69" i="1"/>
  <c r="E33" i="1"/>
  <c r="I33" i="1" s="1"/>
  <c r="AD24" i="1" s="1"/>
  <c r="D30" i="1"/>
  <c r="H30" i="1" s="1"/>
  <c r="AC21" i="1" s="1"/>
  <c r="AM25" i="1" s="1"/>
  <c r="AB18" i="1"/>
  <c r="R15" i="1"/>
  <c r="C33" i="1"/>
  <c r="G33" i="1" s="1"/>
  <c r="AB24" i="1" s="1"/>
  <c r="E31" i="1"/>
  <c r="I31" i="1" s="1"/>
  <c r="AD22" i="1" s="1"/>
  <c r="AB20" i="1"/>
  <c r="AY18" i="1"/>
  <c r="AK18" i="1"/>
  <c r="D29" i="1"/>
  <c r="H29" i="1" s="1"/>
  <c r="AC20" i="1" s="1"/>
  <c r="BA25" i="1"/>
  <c r="AW16" i="1"/>
  <c r="AI16" i="1"/>
  <c r="AI10" i="1" s="1"/>
  <c r="AW13" i="1"/>
  <c r="AI13" i="1"/>
  <c r="AH10" i="1" s="1"/>
  <c r="Q14" i="1"/>
  <c r="AB14" i="1"/>
  <c r="BA23" i="1"/>
  <c r="AM23" i="1"/>
  <c r="AZ25" i="1" s="1"/>
  <c r="Q13" i="1"/>
  <c r="AB13" i="1"/>
  <c r="E32" i="1"/>
  <c r="I32" i="1" s="1"/>
  <c r="AD23" i="1" s="1"/>
  <c r="C28" i="1"/>
  <c r="G28" i="1" s="1"/>
  <c r="AB19" i="1" s="1"/>
  <c r="R20" i="1"/>
  <c r="AC18" i="1"/>
  <c r="AM24" i="1" s="1"/>
  <c r="AK19" i="1"/>
  <c r="AY19" i="1"/>
  <c r="G17" i="1"/>
  <c r="AB17" i="1" s="1"/>
  <c r="R19" i="1"/>
  <c r="C32" i="1"/>
  <c r="G32" i="1" s="1"/>
  <c r="AB23" i="1" s="1"/>
  <c r="D32" i="1"/>
  <c r="H32" i="1" s="1"/>
  <c r="Q15" i="1"/>
  <c r="C31" i="1"/>
  <c r="G31" i="1" s="1"/>
  <c r="AB22" i="1" s="1"/>
  <c r="E30" i="1"/>
  <c r="I30" i="1" s="1"/>
  <c r="Q20" i="1"/>
  <c r="E28" i="1"/>
  <c r="I28" i="1" s="1"/>
  <c r="AD19" i="1" s="1"/>
  <c r="C30" i="1"/>
  <c r="G30" i="1" s="1"/>
  <c r="D33" i="1"/>
  <c r="H33" i="1" s="1"/>
  <c r="D28" i="1"/>
  <c r="H28" i="1" s="1"/>
  <c r="AC19" i="1" s="1"/>
  <c r="E29" i="1"/>
  <c r="I29" i="1" s="1"/>
  <c r="E14" i="1"/>
  <c r="I14" i="1" s="1"/>
  <c r="AD14" i="1" s="1"/>
  <c r="T18" i="1" l="1"/>
  <c r="Q19" i="1"/>
  <c r="S19" i="1"/>
  <c r="AD20" i="1"/>
  <c r="Q28" i="1"/>
  <c r="AP26" i="1"/>
  <c r="Q22" i="1"/>
  <c r="AP13" i="1"/>
  <c r="S20" i="1"/>
  <c r="AD21" i="1"/>
  <c r="AW15" i="1"/>
  <c r="AI15" i="1"/>
  <c r="S15" i="1"/>
  <c r="AB21" i="1"/>
  <c r="Q24" i="1"/>
  <c r="AP15" i="1"/>
  <c r="AK20" i="1"/>
  <c r="AY20" i="1"/>
  <c r="T19" i="1"/>
  <c r="AC23" i="1"/>
  <c r="AQ26" i="1"/>
  <c r="R28" i="1"/>
  <c r="Q23" i="1"/>
  <c r="AP14" i="1"/>
  <c r="AQ15" i="1"/>
  <c r="R24" i="1"/>
  <c r="T20" i="1"/>
  <c r="AC24" i="1"/>
  <c r="T13" i="1"/>
  <c r="Q27" i="1"/>
  <c r="AP25" i="1"/>
  <c r="T26" i="1"/>
  <c r="AS24" i="1"/>
  <c r="AQ25" i="1"/>
  <c r="R27" i="1"/>
  <c r="S14" i="1"/>
  <c r="AZ26" i="1"/>
  <c r="BA24" i="1"/>
  <c r="R14" i="1"/>
  <c r="T14" i="1"/>
  <c r="T15" i="1"/>
  <c r="S18" i="1"/>
  <c r="S13" i="1"/>
  <c r="E16" i="1"/>
  <c r="I16" i="1" s="1"/>
  <c r="AD16" i="1" s="1"/>
  <c r="D16" i="1"/>
  <c r="H16" i="1" s="1"/>
  <c r="AC16" i="1" s="1"/>
  <c r="C16" i="1"/>
  <c r="S28" i="1" l="1"/>
  <c r="AR26" i="1"/>
  <c r="T23" i="1"/>
  <c r="AS14" i="1"/>
  <c r="T24" i="1"/>
  <c r="AS15" i="1"/>
  <c r="AQ14" i="1"/>
  <c r="R23" i="1"/>
  <c r="T22" i="1"/>
  <c r="AS13" i="1"/>
  <c r="S24" i="1"/>
  <c r="AR15" i="1"/>
  <c r="S26" i="1"/>
  <c r="AR24" i="1"/>
  <c r="S23" i="1"/>
  <c r="AR14" i="1"/>
  <c r="BA26" i="1"/>
  <c r="AM26" i="1"/>
  <c r="AK21" i="1"/>
  <c r="AY21" i="1"/>
  <c r="S22" i="1"/>
  <c r="AR13" i="1"/>
  <c r="T28" i="1"/>
  <c r="AS26" i="1"/>
  <c r="T27" i="1"/>
  <c r="AS25" i="1"/>
  <c r="S27" i="1"/>
  <c r="AR25" i="1"/>
  <c r="AW14" i="1"/>
  <c r="AI14" i="1"/>
  <c r="G16" i="1"/>
  <c r="AB16" i="1" s="1"/>
  <c r="R18" i="1"/>
  <c r="E13" i="1"/>
  <c r="I13" i="1" s="1"/>
  <c r="AQ24" i="1" l="1"/>
  <c r="R26" i="1"/>
  <c r="Q18" i="1"/>
  <c r="AD13" i="1"/>
  <c r="R13" i="1"/>
  <c r="AQ13" i="1" l="1"/>
  <c r="R22" i="1"/>
  <c r="Q26" i="1"/>
  <c r="AP24" i="1"/>
  <c r="L63" i="1" l="1"/>
  <c r="E61" i="1"/>
</calcChain>
</file>

<file path=xl/sharedStrings.xml><?xml version="1.0" encoding="utf-8"?>
<sst xmlns="http://schemas.openxmlformats.org/spreadsheetml/2006/main" count="211" uniqueCount="44">
  <si>
    <t>Dry</t>
  </si>
  <si>
    <t>Vp</t>
  </si>
  <si>
    <t>Distance to large works</t>
  </si>
  <si>
    <t>miles</t>
  </si>
  <si>
    <t>Soil conditions</t>
  </si>
  <si>
    <t>Pumping</t>
  </si>
  <si>
    <t>Gravity fed</t>
  </si>
  <si>
    <t>Costing</t>
  </si>
  <si>
    <t>STS</t>
  </si>
  <si>
    <t>Desludging</t>
  </si>
  <si>
    <t>Recommendations</t>
  </si>
  <si>
    <t>PE</t>
  </si>
  <si>
    <t>Discount</t>
  </si>
  <si>
    <t>SAF</t>
  </si>
  <si>
    <t>VF</t>
  </si>
  <si>
    <t>EST</t>
  </si>
  <si>
    <t>AHF</t>
  </si>
  <si>
    <t>EST-VF</t>
  </si>
  <si>
    <t>EST-AHF</t>
  </si>
  <si>
    <t>LCA</t>
  </si>
  <si>
    <t>Capital</t>
  </si>
  <si>
    <t>Captial Emissions per Capitia</t>
  </si>
  <si>
    <t>Uncertaintiy</t>
  </si>
  <si>
    <t>Operational</t>
  </si>
  <si>
    <t>Overall</t>
  </si>
  <si>
    <t>Discount Rate 3.5</t>
  </si>
  <si>
    <t>Lifetime Costs</t>
  </si>
  <si>
    <t>Differential</t>
  </si>
  <si>
    <t>Carbon reduction</t>
  </si>
  <si>
    <t>Abatement Costs</t>
  </si>
  <si>
    <t>saf  PROCESS EMISSIONS PER YEAR</t>
  </si>
  <si>
    <t>pe</t>
  </si>
  <si>
    <t>m3 /d</t>
  </si>
  <si>
    <t>Emissions kg yr-1</t>
  </si>
  <si>
    <t>m3 /yr</t>
  </si>
  <si>
    <t>Pe</t>
  </si>
  <si>
    <t>Fence</t>
  </si>
  <si>
    <t>Mean</t>
  </si>
  <si>
    <t>Standard deviation</t>
  </si>
  <si>
    <t>Minimum</t>
  </si>
  <si>
    <t>Maximum</t>
  </si>
  <si>
    <t>Median</t>
  </si>
  <si>
    <t>5% Percentile</t>
  </si>
  <si>
    <t>95% Percentile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</si>
</sst>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name val="Calibri"/>
      <family val="2"/>
    </font>
    <font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1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Conditions!$G$60</c:f>
              <c:strCache>
                <c:ptCount val="1"/>
                <c:pt idx="0">
                  <c:v>STS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Conditions!$H$59:$J$59</c:f>
              <c:numCache>
                <c:formatCode>General</c:formatCode>
                <c:ptCount val="3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</c:numCache>
            </c:numRef>
          </c:cat>
          <c:val>
            <c:numRef>
              <c:f>Conditions!$H$60:$J$60</c:f>
              <c:numCache>
                <c:formatCode>General</c:formatCode>
                <c:ptCount val="3"/>
                <c:pt idx="0">
                  <c:v>4260.8191184999996</c:v>
                </c:pt>
                <c:pt idx="1">
                  <c:v>4297.8750645</c:v>
                </c:pt>
                <c:pt idx="2">
                  <c:v>4213.5373377599999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59-418D-BB4B-B0BED08C3123}"/>
            </c:ext>
          </c:extLst>
        </c:ser>
        <c:ser>
          <c:idx val="1"/>
          <c:order val="1"/>
          <c:tx>
            <c:strRef>
              <c:f>Conditions!$G$61</c:f>
              <c:strCache>
                <c:ptCount val="1"/>
                <c:pt idx="0">
                  <c:v>SAF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Conditions!$H$59:$J$59</c:f>
              <c:numCache>
                <c:formatCode>General</c:formatCode>
                <c:ptCount val="3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</c:numCache>
            </c:numRef>
          </c:cat>
          <c:val>
            <c:numRef>
              <c:f>Conditions!$H$61:$J$61</c:f>
              <c:numCache>
                <c:formatCode>General</c:formatCode>
                <c:ptCount val="3"/>
                <c:pt idx="0">
                  <c:v>3145.9896708152492</c:v>
                </c:pt>
                <c:pt idx="1">
                  <c:v>2556.6747058387546</c:v>
                </c:pt>
                <c:pt idx="2">
                  <c:v>1810.917143385281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59-418D-BB4B-B0BED08C3123}"/>
            </c:ext>
          </c:extLst>
        </c:ser>
        <c:ser>
          <c:idx val="2"/>
          <c:order val="2"/>
          <c:tx>
            <c:strRef>
              <c:f>Conditions!$G$62</c:f>
              <c:strCache>
                <c:ptCount val="1"/>
                <c:pt idx="0">
                  <c:v>EST-VF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Conditions!$H$59:$J$59</c:f>
              <c:numCache>
                <c:formatCode>General</c:formatCode>
                <c:ptCount val="3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</c:numCache>
            </c:numRef>
          </c:cat>
          <c:val>
            <c:numRef>
              <c:f>Conditions!$H$62:$J$62</c:f>
              <c:numCache>
                <c:formatCode>General</c:formatCode>
                <c:ptCount val="3"/>
                <c:pt idx="0">
                  <c:v>1740.5172499046362</c:v>
                </c:pt>
                <c:pt idx="1">
                  <c:v>644.13339948950511</c:v>
                </c:pt>
                <c:pt idx="2">
                  <c:v>599.69394082388487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59-418D-BB4B-B0BED08C3123}"/>
            </c:ext>
          </c:extLst>
        </c:ser>
        <c:ser>
          <c:idx val="3"/>
          <c:order val="3"/>
          <c:tx>
            <c:strRef>
              <c:f>Conditions!$G$63</c:f>
              <c:strCache>
                <c:ptCount val="1"/>
                <c:pt idx="0">
                  <c:v>EST-AHF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Conditions!$H$59:$J$59</c:f>
              <c:numCache>
                <c:formatCode>General</c:formatCode>
                <c:ptCount val="3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</c:numCache>
            </c:numRef>
          </c:cat>
          <c:val>
            <c:numRef>
              <c:f>Conditions!$H$63:$J$63</c:f>
              <c:numCache>
                <c:formatCode>General</c:formatCode>
                <c:ptCount val="3"/>
                <c:pt idx="0">
                  <c:v>1867.7088377636512</c:v>
                </c:pt>
                <c:pt idx="1">
                  <c:v>658.00061953897819</c:v>
                </c:pt>
                <c:pt idx="2">
                  <c:v>435.96126633918448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59-418D-BB4B-B0BED08C3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9674896"/>
        <c:axId val="1429671984"/>
      </c:barChart>
      <c:catAx>
        <c:axId val="142967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9671984"/>
        <c:crosses val="autoZero"/>
        <c:auto val="1"/>
        <c:lblAlgn val="ctr"/>
        <c:lblOffset val="100"/>
        <c:noMultiLvlLbl val="0"/>
      </c:catAx>
      <c:valAx>
        <c:axId val="1429671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9674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580927384077"/>
          <c:y val="5.0925925925925923E-2"/>
          <c:w val="0.81919685039370094"/>
          <c:h val="0.733760571595217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Conditions!$H$77</c:f>
              <c:strCache>
                <c:ptCount val="1"/>
                <c:pt idx="0">
                  <c:v>Capital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Conditions!$Y$75:$Y$78</c:f>
                <c:numCache>
                  <c:formatCode>General</c:formatCode>
                  <c:ptCount val="4"/>
                  <c:pt idx="0">
                    <c:v>9.3915344186673284</c:v>
                  </c:pt>
                  <c:pt idx="1">
                    <c:v>64.389565156479051</c:v>
                  </c:pt>
                  <c:pt idx="2">
                    <c:v>36.693165075163414</c:v>
                  </c:pt>
                  <c:pt idx="3">
                    <c:v>9.8371570305976554</c:v>
                  </c:pt>
                </c:numCache>
              </c:numRef>
            </c:plus>
            <c:minus>
              <c:numRef>
                <c:f>Conditions!$X$75:$X$78</c:f>
                <c:numCache>
                  <c:formatCode>General</c:formatCode>
                  <c:ptCount val="4"/>
                  <c:pt idx="0">
                    <c:v>7.8768177857359047</c:v>
                  </c:pt>
                  <c:pt idx="1">
                    <c:v>58.59955850455917</c:v>
                  </c:pt>
                  <c:pt idx="2">
                    <c:v>18.954038191503081</c:v>
                  </c:pt>
                  <c:pt idx="3">
                    <c:v>6.7080938007427218</c:v>
                  </c:pt>
                </c:numCache>
              </c:numRef>
            </c:minus>
            <c:spPr>
              <a:noFill/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cat>
            <c:numRef>
              <c:f>Conditions!$G$78:$G$91</c:f>
              <c:numCache>
                <c:formatCode>General</c:formatCode>
                <c:ptCount val="14"/>
                <c:pt idx="1">
                  <c:v>10</c:v>
                </c:pt>
                <c:pt idx="6">
                  <c:v>100</c:v>
                </c:pt>
                <c:pt idx="11">
                  <c:v>1000</c:v>
                </c:pt>
              </c:numCache>
            </c:numRef>
          </c:cat>
          <c:val>
            <c:numRef>
              <c:f>Conditions!$H$78:$H$91</c:f>
              <c:numCache>
                <c:formatCode>General</c:formatCode>
                <c:ptCount val="14"/>
                <c:pt idx="0">
                  <c:v>73.97999999999999</c:v>
                </c:pt>
                <c:pt idx="1">
                  <c:v>579</c:v>
                </c:pt>
                <c:pt idx="2">
                  <c:v>362.8807526374689</c:v>
                </c:pt>
                <c:pt idx="3">
                  <c:v>219.36075263746889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08-43CC-AAFB-9AEDCE152471}"/>
            </c:ext>
          </c:extLst>
        </c:ser>
        <c:ser>
          <c:idx val="1"/>
          <c:order val="1"/>
          <c:tx>
            <c:strRef>
              <c:f>Conditions!$I$77</c:f>
              <c:strCache>
                <c:ptCount val="1"/>
                <c:pt idx="0">
                  <c:v>Operational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Conditions!$G$78:$G$91</c:f>
              <c:numCache>
                <c:formatCode>General</c:formatCode>
                <c:ptCount val="14"/>
                <c:pt idx="1">
                  <c:v>10</c:v>
                </c:pt>
                <c:pt idx="6">
                  <c:v>100</c:v>
                </c:pt>
                <c:pt idx="11">
                  <c:v>1000</c:v>
                </c:pt>
              </c:numCache>
            </c:numRef>
          </c:cat>
          <c:val>
            <c:numRef>
              <c:f>Conditions!$I$78:$I$91</c:f>
              <c:numCache>
                <c:formatCode>General</c:formatCode>
                <c:ptCount val="14"/>
                <c:pt idx="0">
                  <c:v>4186.8391185</c:v>
                </c:pt>
                <c:pt idx="1">
                  <c:v>2566.9896708152492</c:v>
                </c:pt>
                <c:pt idx="2">
                  <c:v>1377.6364972671672</c:v>
                </c:pt>
                <c:pt idx="3">
                  <c:v>1648.3480851261822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08-43CC-AAFB-9AEDCE152471}"/>
            </c:ext>
          </c:extLst>
        </c:ser>
        <c:ser>
          <c:idx val="2"/>
          <c:order val="2"/>
          <c:tx>
            <c:strRef>
              <c:f>Conditions!$J$77</c:f>
              <c:strCache>
                <c:ptCount val="1"/>
                <c:pt idx="0">
                  <c:v>Capital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Conditions!$Y$75:$Y$83</c:f>
                <c:numCache>
                  <c:formatCode>General</c:formatCode>
                  <c:ptCount val="9"/>
                  <c:pt idx="0">
                    <c:v>9.3915344186673284</c:v>
                  </c:pt>
                  <c:pt idx="1">
                    <c:v>64.389565156479051</c:v>
                  </c:pt>
                  <c:pt idx="2">
                    <c:v>36.693165075163414</c:v>
                  </c:pt>
                  <c:pt idx="3">
                    <c:v>9.8371570305976554</c:v>
                  </c:pt>
                  <c:pt idx="5">
                    <c:v>51.794350403031494</c:v>
                  </c:pt>
                  <c:pt idx="6">
                    <c:v>72.60113801770872</c:v>
                  </c:pt>
                  <c:pt idx="7">
                    <c:v>35.458684678073332</c:v>
                  </c:pt>
                  <c:pt idx="8">
                    <c:v>4.9953423765988738</c:v>
                  </c:pt>
                </c:numCache>
              </c:numRef>
            </c:plus>
            <c:minus>
              <c:numRef>
                <c:f>Conditions!$X$75:$X$83</c:f>
                <c:numCache>
                  <c:formatCode>General</c:formatCode>
                  <c:ptCount val="9"/>
                  <c:pt idx="0">
                    <c:v>7.8768177857359047</c:v>
                  </c:pt>
                  <c:pt idx="1">
                    <c:v>58.59955850455917</c:v>
                  </c:pt>
                  <c:pt idx="2">
                    <c:v>18.954038191503081</c:v>
                  </c:pt>
                  <c:pt idx="3">
                    <c:v>6.7080938007427218</c:v>
                  </c:pt>
                  <c:pt idx="5">
                    <c:v>43.440682030011487</c:v>
                  </c:pt>
                  <c:pt idx="6">
                    <c:v>63.210520315462198</c:v>
                  </c:pt>
                  <c:pt idx="7">
                    <c:v>19.380553457020358</c:v>
                  </c:pt>
                  <c:pt idx="8">
                    <c:v>4.1921211638789284</c:v>
                  </c:pt>
                </c:numCache>
              </c:numRef>
            </c:minus>
            <c:spPr>
              <a:noFill/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cat>
            <c:numRef>
              <c:f>Conditions!$G$78:$G$91</c:f>
              <c:numCache>
                <c:formatCode>General</c:formatCode>
                <c:ptCount val="14"/>
                <c:pt idx="1">
                  <c:v>10</c:v>
                </c:pt>
                <c:pt idx="6">
                  <c:v>100</c:v>
                </c:pt>
                <c:pt idx="11">
                  <c:v>1000</c:v>
                </c:pt>
              </c:numCache>
            </c:numRef>
          </c:cat>
          <c:val>
            <c:numRef>
              <c:f>Conditions!$J$78:$J$91</c:f>
              <c:numCache>
                <c:formatCode>General</c:formatCode>
                <c:ptCount val="14"/>
                <c:pt idx="5">
                  <c:v>408</c:v>
                </c:pt>
                <c:pt idx="6">
                  <c:v>689</c:v>
                </c:pt>
                <c:pt idx="7">
                  <c:v>250.29464772641848</c:v>
                </c:pt>
                <c:pt idx="8">
                  <c:v>103.40064772641847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08-43CC-AAFB-9AEDCE152471}"/>
            </c:ext>
          </c:extLst>
        </c:ser>
        <c:ser>
          <c:idx val="3"/>
          <c:order val="3"/>
          <c:tx>
            <c:strRef>
              <c:f>Conditions!$K$77</c:f>
              <c:strCache>
                <c:ptCount val="1"/>
                <c:pt idx="0">
                  <c:v>Operational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Conditions!$G$78:$G$91</c:f>
              <c:numCache>
                <c:formatCode>General</c:formatCode>
                <c:ptCount val="14"/>
                <c:pt idx="1">
                  <c:v>10</c:v>
                </c:pt>
                <c:pt idx="6">
                  <c:v>100</c:v>
                </c:pt>
                <c:pt idx="11">
                  <c:v>1000</c:v>
                </c:pt>
              </c:numCache>
            </c:numRef>
          </c:cat>
          <c:val>
            <c:numRef>
              <c:f>Conditions!$K$78:$K$91</c:f>
              <c:numCache>
                <c:formatCode>General</c:formatCode>
                <c:ptCount val="14"/>
                <c:pt idx="5">
                  <c:v>3889.8750645</c:v>
                </c:pt>
                <c:pt idx="6">
                  <c:v>1867.6747058387548</c:v>
                </c:pt>
                <c:pt idx="7">
                  <c:v>393.83875176308663</c:v>
                </c:pt>
                <c:pt idx="8">
                  <c:v>554.59997181255972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08-43CC-AAFB-9AEDCE152471}"/>
            </c:ext>
          </c:extLst>
        </c:ser>
        <c:ser>
          <c:idx val="4"/>
          <c:order val="4"/>
          <c:tx>
            <c:strRef>
              <c:f>Conditions!$L$77</c:f>
              <c:strCache>
                <c:ptCount val="1"/>
                <c:pt idx="0">
                  <c:v>Capital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Conditions!$Y$75:$Y$88</c:f>
                <c:numCache>
                  <c:formatCode>General</c:formatCode>
                  <c:ptCount val="14"/>
                  <c:pt idx="0">
                    <c:v>9.3915344186673284</c:v>
                  </c:pt>
                  <c:pt idx="1">
                    <c:v>64.389565156479051</c:v>
                  </c:pt>
                  <c:pt idx="2">
                    <c:v>36.693165075163414</c:v>
                  </c:pt>
                  <c:pt idx="3">
                    <c:v>9.8371570305976554</c:v>
                  </c:pt>
                  <c:pt idx="5">
                    <c:v>51.794350403031494</c:v>
                  </c:pt>
                  <c:pt idx="6">
                    <c:v>72.60113801770872</c:v>
                  </c:pt>
                  <c:pt idx="7">
                    <c:v>35.458684678073332</c:v>
                  </c:pt>
                  <c:pt idx="8">
                    <c:v>4.9953423765988738</c:v>
                  </c:pt>
                  <c:pt idx="10">
                    <c:v>40.623339664095141</c:v>
                  </c:pt>
                  <c:pt idx="11">
                    <c:v>72.601138017708791</c:v>
                  </c:pt>
                  <c:pt idx="12">
                    <c:v>48.235234662784727</c:v>
                  </c:pt>
                  <c:pt idx="13">
                    <c:v>3.9331319520807591</c:v>
                  </c:pt>
                </c:numCache>
              </c:numRef>
            </c:plus>
            <c:minus>
              <c:numRef>
                <c:f>Conditions!$X$75:$X$88</c:f>
                <c:numCache>
                  <c:formatCode>General</c:formatCode>
                  <c:ptCount val="14"/>
                  <c:pt idx="0">
                    <c:v>7.8768177857359047</c:v>
                  </c:pt>
                  <c:pt idx="1">
                    <c:v>58.59955850455917</c:v>
                  </c:pt>
                  <c:pt idx="2">
                    <c:v>18.954038191503081</c:v>
                  </c:pt>
                  <c:pt idx="3">
                    <c:v>6.7080938007427218</c:v>
                  </c:pt>
                  <c:pt idx="5">
                    <c:v>43.440682030011487</c:v>
                  </c:pt>
                  <c:pt idx="6">
                    <c:v>63.210520315462198</c:v>
                  </c:pt>
                  <c:pt idx="7">
                    <c:v>19.380553457020358</c:v>
                  </c:pt>
                  <c:pt idx="8">
                    <c:v>4.1921211638789284</c:v>
                  </c:pt>
                  <c:pt idx="10">
                    <c:v>34.357774196585524</c:v>
                  </c:pt>
                  <c:pt idx="11">
                    <c:v>63.210520315462141</c:v>
                  </c:pt>
                  <c:pt idx="12">
                    <c:v>26.391602630359731</c:v>
                  </c:pt>
                  <c:pt idx="13">
                    <c:v>3.401469836544202</c:v>
                  </c:pt>
                </c:numCache>
              </c:numRef>
            </c:minus>
            <c:spPr>
              <a:noFill/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cat>
            <c:numRef>
              <c:f>Conditions!$G$78:$G$91</c:f>
              <c:numCache>
                <c:formatCode>General</c:formatCode>
                <c:ptCount val="14"/>
                <c:pt idx="1">
                  <c:v>10</c:v>
                </c:pt>
                <c:pt idx="6">
                  <c:v>100</c:v>
                </c:pt>
                <c:pt idx="11">
                  <c:v>1000</c:v>
                </c:pt>
              </c:numCache>
            </c:numRef>
          </c:cat>
          <c:val>
            <c:numRef>
              <c:f>Conditions!$L$78:$L$91</c:f>
              <c:numCache>
                <c:formatCode>General</c:formatCode>
                <c:ptCount val="14"/>
                <c:pt idx="10">
                  <c:v>318</c:v>
                </c:pt>
                <c:pt idx="11">
                  <c:v>689</c:v>
                </c:pt>
                <c:pt idx="12">
                  <c:v>301.5638285688625</c:v>
                </c:pt>
                <c:pt idx="13">
                  <c:v>58.45282856886255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08-43CC-AAFB-9AEDCE152471}"/>
            </c:ext>
          </c:extLst>
        </c:ser>
        <c:ser>
          <c:idx val="5"/>
          <c:order val="5"/>
          <c:tx>
            <c:strRef>
              <c:f>Conditions!$M$77</c:f>
              <c:strCache>
                <c:ptCount val="1"/>
                <c:pt idx="0">
                  <c:v>Operational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Conditions!$G$78:$G$91</c:f>
              <c:numCache>
                <c:formatCode>General</c:formatCode>
                <c:ptCount val="14"/>
                <c:pt idx="1">
                  <c:v>10</c:v>
                </c:pt>
                <c:pt idx="6">
                  <c:v>100</c:v>
                </c:pt>
                <c:pt idx="11">
                  <c:v>1000</c:v>
                </c:pt>
              </c:numCache>
            </c:numRef>
          </c:cat>
          <c:val>
            <c:numRef>
              <c:f>Conditions!$M$78:$M$91</c:f>
              <c:numCache>
                <c:formatCode>General</c:formatCode>
                <c:ptCount val="14"/>
                <c:pt idx="10">
                  <c:v>3895.5373377599999</c:v>
                </c:pt>
                <c:pt idx="11">
                  <c:v>1121.917143385281</c:v>
                </c:pt>
                <c:pt idx="12">
                  <c:v>298.13011225502237</c:v>
                </c:pt>
                <c:pt idx="13">
                  <c:v>377.5084377703219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408-43CC-AAFB-9AEDCE152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"/>
        <c:overlap val="100"/>
        <c:axId val="1526410704"/>
        <c:axId val="1526409872"/>
      </c:barChart>
      <c:catAx>
        <c:axId val="1526410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Population Equivalent</a:t>
                </a:r>
                <a:r>
                  <a:rPr lang="en-GB" baseline="0">
                    <a:solidFill>
                      <a:sysClr val="windowText" lastClr="000000"/>
                    </a:solidFill>
                  </a:rPr>
                  <a:t> (-)</a:t>
                </a:r>
                <a:endParaRPr lang="en-GB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6409872"/>
        <c:crosses val="autoZero"/>
        <c:auto val="1"/>
        <c:lblAlgn val="ctr"/>
        <c:lblOffset val="100"/>
        <c:noMultiLvlLbl val="0"/>
      </c:catAx>
      <c:valAx>
        <c:axId val="15264098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Lifetime Carbon Equivalent Emissions per Capita</a:t>
                </a:r>
                <a:r>
                  <a:rPr lang="en-GB" baseline="0">
                    <a:solidFill>
                      <a:sysClr val="windowText" lastClr="000000"/>
                    </a:solidFill>
                  </a:rPr>
                  <a:t> (kg CO2 eq PE-1)</a:t>
                </a:r>
                <a:endParaRPr lang="en-GB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6410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59606679599833"/>
          <c:y val="5.0925925925925923E-2"/>
          <c:w val="0.84440379735141813"/>
          <c:h val="0.786697287839020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Conditions!$AH$12</c:f>
              <c:strCache>
                <c:ptCount val="1"/>
                <c:pt idx="0">
                  <c:v>STS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Conditions!$AG$13:$AG$26</c:f>
              <c:numCache>
                <c:formatCode>General</c:formatCode>
                <c:ptCount val="14"/>
                <c:pt idx="1">
                  <c:v>10</c:v>
                </c:pt>
                <c:pt idx="6">
                  <c:v>100</c:v>
                </c:pt>
                <c:pt idx="11">
                  <c:v>1000</c:v>
                </c:pt>
              </c:numCache>
            </c:numRef>
          </c:cat>
          <c:val>
            <c:numRef>
              <c:f>Conditions!$AH$13:$AH$26</c:f>
              <c:numCache>
                <c:formatCode>General</c:formatCode>
                <c:ptCount val="14"/>
                <c:pt idx="0">
                  <c:v>314.04199027308442</c:v>
                </c:pt>
                <c:pt idx="1">
                  <c:v>656.27667841985658</c:v>
                </c:pt>
                <c:pt idx="2">
                  <c:v>567.54458008176243</c:v>
                </c:pt>
                <c:pt idx="3">
                  <c:v>335.42044095092314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0F-49CC-933B-072FB2FE8FBA}"/>
            </c:ext>
          </c:extLst>
        </c:ser>
        <c:ser>
          <c:idx val="1"/>
          <c:order val="1"/>
          <c:tx>
            <c:strRef>
              <c:f>Conditions!$AI$12</c:f>
              <c:strCache>
                <c:ptCount val="1"/>
                <c:pt idx="0">
                  <c:v>SAF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Conditions!$AP$13:$AS$13</c:f>
                <c:numCache>
                  <c:formatCode>General</c:formatCode>
                  <c:ptCount val="4"/>
                  <c:pt idx="0">
                    <c:v>491.48079728289736</c:v>
                  </c:pt>
                  <c:pt idx="1">
                    <c:v>1581.8471983501172</c:v>
                  </c:pt>
                  <c:pt idx="2">
                    <c:v>714.65054554268158</c:v>
                  </c:pt>
                  <c:pt idx="3">
                    <c:v>939.54995402935378</c:v>
                  </c:pt>
                </c:numCache>
              </c:numRef>
            </c:plus>
            <c:minus>
              <c:numRef>
                <c:f>Conditions!$AP$24:$AS$24</c:f>
                <c:numCache>
                  <c:formatCode>General</c:formatCode>
                  <c:ptCount val="4"/>
                  <c:pt idx="0">
                    <c:v>195.91625176304012</c:v>
                  </c:pt>
                  <c:pt idx="1">
                    <c:v>630.56293486119012</c:v>
                  </c:pt>
                  <c:pt idx="2">
                    <c:v>283.23634609981173</c:v>
                  </c:pt>
                  <c:pt idx="3">
                    <c:v>371.97965662818183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Conditions!$AG$13:$AG$26</c:f>
              <c:numCache>
                <c:formatCode>General</c:formatCode>
                <c:ptCount val="14"/>
                <c:pt idx="1">
                  <c:v>10</c:v>
                </c:pt>
                <c:pt idx="6">
                  <c:v>100</c:v>
                </c:pt>
                <c:pt idx="11">
                  <c:v>1000</c:v>
                </c:pt>
              </c:numCache>
            </c:numRef>
          </c:cat>
          <c:val>
            <c:numRef>
              <c:f>Conditions!$AI$13:$AI$26</c:f>
              <c:numCache>
                <c:formatCode>General</c:formatCode>
                <c:ptCount val="14"/>
                <c:pt idx="0">
                  <c:v>778.71920271710201</c:v>
                </c:pt>
                <c:pt idx="1">
                  <c:v>2506.3335046444322</c:v>
                </c:pt>
                <c:pt idx="2">
                  <c:v>1082.2970160281163</c:v>
                </c:pt>
                <c:pt idx="3">
                  <c:v>1410.9830306243839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0F-49CC-933B-072FB2FE8FBA}"/>
            </c:ext>
          </c:extLst>
        </c:ser>
        <c:ser>
          <c:idx val="2"/>
          <c:order val="2"/>
          <c:tx>
            <c:strRef>
              <c:f>Conditions!$AJ$12</c:f>
              <c:strCache>
                <c:ptCount val="1"/>
                <c:pt idx="0">
                  <c:v>EST-VF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Conditions!$AG$13:$AG$26</c:f>
              <c:numCache>
                <c:formatCode>General</c:formatCode>
                <c:ptCount val="14"/>
                <c:pt idx="1">
                  <c:v>10</c:v>
                </c:pt>
                <c:pt idx="6">
                  <c:v>100</c:v>
                </c:pt>
                <c:pt idx="11">
                  <c:v>1000</c:v>
                </c:pt>
              </c:numCache>
            </c:numRef>
          </c:cat>
          <c:val>
            <c:numRef>
              <c:f>Conditions!$AJ$13:$AJ$26</c:f>
              <c:numCache>
                <c:formatCode>General</c:formatCode>
                <c:ptCount val="14"/>
                <c:pt idx="5">
                  <c:v>224.59640811027322</c:v>
                </c:pt>
                <c:pt idx="6">
                  <c:v>399.98994026037604</c:v>
                </c:pt>
                <c:pt idx="7">
                  <c:v>466.50345063583592</c:v>
                </c:pt>
                <c:pt idx="8">
                  <c:v>208.94483995262468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0F-49CC-933B-072FB2FE8FBA}"/>
            </c:ext>
          </c:extLst>
        </c:ser>
        <c:ser>
          <c:idx val="3"/>
          <c:order val="3"/>
          <c:tx>
            <c:strRef>
              <c:f>Conditions!$AK$12</c:f>
              <c:strCache>
                <c:ptCount val="1"/>
                <c:pt idx="0">
                  <c:v>EST-AHF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Conditions!$AK$28:$AS$28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148.60503464373295</c:v>
                  </c:pt>
                  <c:pt idx="6">
                    <c:v>428.94358006179141</c:v>
                  </c:pt>
                  <c:pt idx="7">
                    <c:v>232.53516675454023</c:v>
                  </c:pt>
                  <c:pt idx="8">
                    <c:v>291.32286246261947</c:v>
                  </c:pt>
                </c:numCache>
              </c:numRef>
            </c:plus>
            <c:minus>
              <c:numRef>
                <c:f>Conditions!$AK$28:$AS$28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148.60503464373295</c:v>
                  </c:pt>
                  <c:pt idx="6">
                    <c:v>428.94358006179141</c:v>
                  </c:pt>
                  <c:pt idx="7">
                    <c:v>232.53516675454023</c:v>
                  </c:pt>
                  <c:pt idx="8">
                    <c:v>291.32286246261947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Conditions!$AG$13:$AG$26</c:f>
              <c:numCache>
                <c:formatCode>General</c:formatCode>
                <c:ptCount val="14"/>
                <c:pt idx="1">
                  <c:v>10</c:v>
                </c:pt>
                <c:pt idx="6">
                  <c:v>100</c:v>
                </c:pt>
                <c:pt idx="11">
                  <c:v>1000</c:v>
                </c:pt>
              </c:numCache>
            </c:numRef>
          </c:cat>
          <c:val>
            <c:numRef>
              <c:f>Conditions!$AK$13:$AK$26</c:f>
              <c:numCache>
                <c:formatCode>General</c:formatCode>
                <c:ptCount val="14"/>
                <c:pt idx="5">
                  <c:v>235.45496535626705</c:v>
                </c:pt>
                <c:pt idx="6">
                  <c:v>679.63306913102383</c:v>
                </c:pt>
                <c:pt idx="7">
                  <c:v>319.79099563357801</c:v>
                </c:pt>
                <c:pt idx="8">
                  <c:v>404.02947902903747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0F-49CC-933B-072FB2FE8FBA}"/>
            </c:ext>
          </c:extLst>
        </c:ser>
        <c:ser>
          <c:idx val="4"/>
          <c:order val="4"/>
          <c:tx>
            <c:strRef>
              <c:f>Conditions!$AL$12</c:f>
              <c:strCache>
                <c:ptCount val="1"/>
                <c:pt idx="0">
                  <c:v>Capital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Conditions!$AG$13:$AG$26</c:f>
              <c:numCache>
                <c:formatCode>General</c:formatCode>
                <c:ptCount val="14"/>
                <c:pt idx="1">
                  <c:v>10</c:v>
                </c:pt>
                <c:pt idx="6">
                  <c:v>100</c:v>
                </c:pt>
                <c:pt idx="11">
                  <c:v>1000</c:v>
                </c:pt>
              </c:numCache>
            </c:numRef>
          </c:cat>
          <c:val>
            <c:numRef>
              <c:f>Conditions!$AL$13:$AL$26</c:f>
              <c:numCache>
                <c:formatCode>General</c:formatCode>
                <c:ptCount val="14"/>
                <c:pt idx="10">
                  <c:v>212.41626345671429</c:v>
                </c:pt>
                <c:pt idx="11">
                  <c:v>399.98994026037604</c:v>
                </c:pt>
                <c:pt idx="12">
                  <c:v>466.75304284480137</c:v>
                </c:pt>
                <c:pt idx="13">
                  <c:v>145.65375480154921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0F-49CC-933B-072FB2FE8FBA}"/>
            </c:ext>
          </c:extLst>
        </c:ser>
        <c:ser>
          <c:idx val="5"/>
          <c:order val="5"/>
          <c:tx>
            <c:strRef>
              <c:f>Conditions!$AM$12</c:f>
              <c:strCache>
                <c:ptCount val="1"/>
                <c:pt idx="0">
                  <c:v>Operational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Conditions!$AF$29:$AS$29</c:f>
                <c:numCache>
                  <c:formatCode>General</c:formatCod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142.73373121280048</c:v>
                  </c:pt>
                  <c:pt idx="11">
                    <c:v>127.99431097709692</c:v>
                  </c:pt>
                  <c:pt idx="12">
                    <c:v>157.52008439735403</c:v>
                  </c:pt>
                  <c:pt idx="13">
                    <c:v>170.90300802564678</c:v>
                  </c:pt>
                </c:numCache>
              </c:numRef>
            </c:plus>
            <c:minus>
              <c:numRef>
                <c:f>Conditions!$AF$29:$AS$29</c:f>
                <c:numCache>
                  <c:formatCode>General</c:formatCod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142.73373121280048</c:v>
                  </c:pt>
                  <c:pt idx="11">
                    <c:v>127.99431097709692</c:v>
                  </c:pt>
                  <c:pt idx="12">
                    <c:v>157.52008439735403</c:v>
                  </c:pt>
                  <c:pt idx="13">
                    <c:v>170.90300802564678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Conditions!$AG$13:$AG$26</c:f>
              <c:numCache>
                <c:formatCode>General</c:formatCode>
                <c:ptCount val="14"/>
                <c:pt idx="1">
                  <c:v>10</c:v>
                </c:pt>
                <c:pt idx="6">
                  <c:v>100</c:v>
                </c:pt>
                <c:pt idx="11">
                  <c:v>1000</c:v>
                </c:pt>
              </c:numCache>
            </c:numRef>
          </c:cat>
          <c:val>
            <c:numRef>
              <c:f>Conditions!$AM$13:$AM$26</c:f>
              <c:numCache>
                <c:formatCode>General</c:formatCode>
                <c:ptCount val="14"/>
                <c:pt idx="10">
                  <c:v>226.15226878719963</c:v>
                </c:pt>
                <c:pt idx="11">
                  <c:v>348.1137265203227</c:v>
                </c:pt>
                <c:pt idx="12">
                  <c:v>208.33465320570883</c:v>
                </c:pt>
                <c:pt idx="13">
                  <c:v>236.36632926759938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20F-49CC-933B-072FB2FE8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728711984"/>
        <c:axId val="1728696592"/>
      </c:barChart>
      <c:catAx>
        <c:axId val="1728711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Population Equivalent (-)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8696592"/>
        <c:crosses val="autoZero"/>
        <c:auto val="1"/>
        <c:lblAlgn val="ctr"/>
        <c:lblOffset val="100"/>
        <c:noMultiLvlLbl val="0"/>
      </c:catAx>
      <c:valAx>
        <c:axId val="17286965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Lifetime</a:t>
                </a:r>
                <a:r>
                  <a:rPr lang="en-GB" baseline="0">
                    <a:solidFill>
                      <a:sysClr val="windowText" lastClr="000000"/>
                    </a:solidFill>
                  </a:rPr>
                  <a:t> Cost per Capitia (£ PE-1)</a:t>
                </a:r>
                <a:endParaRPr lang="en-GB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8711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Conditions!$BQ$12</c:f>
              <c:strCache>
                <c:ptCount val="1"/>
                <c:pt idx="0">
                  <c:v>STS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Conditions!$BP$13:$BP$27</c:f>
              <c:numCache>
                <c:formatCode>General</c:formatCode>
                <c:ptCount val="1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Conditions!$BQ$13:$BQ$27</c:f>
              <c:numCache>
                <c:formatCode>General</c:formatCode>
                <c:ptCount val="15"/>
                <c:pt idx="0">
                  <c:v>1796.4383958211033</c:v>
                </c:pt>
                <c:pt idx="1">
                  <c:v>1092.7611929901864</c:v>
                </c:pt>
                <c:pt idx="2">
                  <c:v>635.87867240366757</c:v>
                </c:pt>
                <c:pt idx="3">
                  <c:v>521.45823595200511</c:v>
                </c:pt>
                <c:pt idx="4">
                  <c:v>452.64866594776322</c:v>
                </c:pt>
                <c:pt idx="5">
                  <c:v>447.7916392608833</c:v>
                </c:pt>
                <c:pt idx="6">
                  <c:v>460.05137346654027</c:v>
                </c:pt>
                <c:pt idx="7">
                  <c:v>417.21061054750231</c:v>
                </c:pt>
                <c:pt idx="8">
                  <c:v>457.24988800936711</c:v>
                </c:pt>
                <c:pt idx="9">
                  <c:v>454.07507793427681</c:v>
                </c:pt>
                <c:pt idx="10">
                  <c:v>442.5320010715925</c:v>
                </c:pt>
                <c:pt idx="11">
                  <c:v>455.01884085543151</c:v>
                </c:pt>
                <c:pt idx="12">
                  <c:v>449.18146046647615</c:v>
                </c:pt>
                <c:pt idx="13">
                  <c:v>439.20226387414255</c:v>
                </c:pt>
                <c:pt idx="14">
                  <c:v>438.56853224391392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BA2-402A-98FA-548FEAF8E7B7}"/>
            </c:ext>
          </c:extLst>
        </c:ser>
        <c:ser>
          <c:idx val="1"/>
          <c:order val="1"/>
          <c:tx>
            <c:strRef>
              <c:f>Conditions!$BR$12</c:f>
              <c:strCache>
                <c:ptCount val="1"/>
                <c:pt idx="0">
                  <c:v>SAF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Conditions!$BP$13:$BP$27</c:f>
              <c:numCache>
                <c:formatCode>General</c:formatCode>
                <c:ptCount val="1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Conditions!$BR$13:$BR$27</c:f>
              <c:numCache>
                <c:formatCode>General</c:formatCode>
                <c:ptCount val="15"/>
                <c:pt idx="0">
                  <c:v>5573.0113710306341</c:v>
                </c:pt>
                <c:pt idx="1">
                  <c:v>3162.6101830642888</c:v>
                </c:pt>
                <c:pt idx="2">
                  <c:v>1887.4074003117389</c:v>
                </c:pt>
                <c:pt idx="3">
                  <c:v>1924.8945977398357</c:v>
                </c:pt>
                <c:pt idx="4">
                  <c:v>1461.0413858589029</c:v>
                </c:pt>
                <c:pt idx="5">
                  <c:v>1204.4208567062881</c:v>
                </c:pt>
                <c:pt idx="6">
                  <c:v>1079.6230093913998</c:v>
                </c:pt>
                <c:pt idx="7">
                  <c:v>874.49180787442333</c:v>
                </c:pt>
                <c:pt idx="8">
                  <c:v>763.96501966138976</c:v>
                </c:pt>
                <c:pt idx="9">
                  <c:v>721.74941729762384</c:v>
                </c:pt>
                <c:pt idx="10">
                  <c:v>768.95985833662724</c:v>
                </c:pt>
                <c:pt idx="11">
                  <c:v>730.75400924100109</c:v>
                </c:pt>
                <c:pt idx="12">
                  <c:v>724.1359156120493</c:v>
                </c:pt>
                <c:pt idx="13">
                  <c:v>732.47338000906689</c:v>
                </c:pt>
                <c:pt idx="14">
                  <c:v>716.13677704212466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BA2-402A-98FA-548FEAF8E7B7}"/>
            </c:ext>
          </c:extLst>
        </c:ser>
        <c:ser>
          <c:idx val="2"/>
          <c:order val="2"/>
          <c:tx>
            <c:strRef>
              <c:f>Conditions!$BS$12</c:f>
              <c:strCache>
                <c:ptCount val="1"/>
                <c:pt idx="0">
                  <c:v>EST-VF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Conditions!$BP$13:$BP$27</c:f>
              <c:numCache>
                <c:formatCode>General</c:formatCode>
                <c:ptCount val="1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Conditions!$BS$13:$BS$27</c:f>
              <c:numCache>
                <c:formatCode>General</c:formatCode>
                <c:ptCount val="15"/>
                <c:pt idx="0">
                  <c:v>2602.6189772228763</c:v>
                </c:pt>
                <c:pt idx="1">
                  <c:v>1649.8415961098788</c:v>
                </c:pt>
                <c:pt idx="2">
                  <c:v>1186.6956734285238</c:v>
                </c:pt>
                <c:pt idx="3">
                  <c:v>1024.8148042064622</c:v>
                </c:pt>
                <c:pt idx="4">
                  <c:v>891.01701920043377</c:v>
                </c:pt>
                <c:pt idx="5">
                  <c:v>825.249316983168</c:v>
                </c:pt>
                <c:pt idx="6">
                  <c:v>786.29444626941392</c:v>
                </c:pt>
                <c:pt idx="7">
                  <c:v>833.92292144584235</c:v>
                </c:pt>
                <c:pt idx="8">
                  <c:v>856.28506401665595</c:v>
                </c:pt>
                <c:pt idx="9">
                  <c:v>839.59787653150886</c:v>
                </c:pt>
                <c:pt idx="10">
                  <c:v>830.02330476020575</c:v>
                </c:pt>
                <c:pt idx="11">
                  <c:v>818.16183036889231</c:v>
                </c:pt>
                <c:pt idx="12">
                  <c:v>819.66243676745592</c:v>
                </c:pt>
                <c:pt idx="13">
                  <c:v>728.20235674834612</c:v>
                </c:pt>
                <c:pt idx="14">
                  <c:v>675.0876960505102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BA2-402A-98FA-548FEAF8E7B7}"/>
            </c:ext>
          </c:extLst>
        </c:ser>
        <c:ser>
          <c:idx val="3"/>
          <c:order val="3"/>
          <c:tx>
            <c:strRef>
              <c:f>Conditions!$BT$12</c:f>
              <c:strCache>
                <c:ptCount val="1"/>
                <c:pt idx="0">
                  <c:v>EST-AHF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Conditions!$BP$13:$BP$27</c:f>
              <c:numCache>
                <c:formatCode>General</c:formatCode>
                <c:ptCount val="1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Conditions!$BT$13:$BT$27</c:f>
              <c:numCache>
                <c:formatCode>General</c:formatCode>
                <c:ptCount val="15"/>
                <c:pt idx="0">
                  <c:v>3029.4986457012906</c:v>
                </c:pt>
                <c:pt idx="1">
                  <c:v>1746.4034715753071</c:v>
                </c:pt>
                <c:pt idx="2">
                  <c:v>1224.3678506466765</c:v>
                </c:pt>
                <c:pt idx="3">
                  <c:v>949.45981664210808</c:v>
                </c:pt>
                <c:pt idx="4">
                  <c:v>720.71516328687733</c:v>
                </c:pt>
                <c:pt idx="5">
                  <c:v>684.61204105345928</c:v>
                </c:pt>
                <c:pt idx="6">
                  <c:v>612.97431898166212</c:v>
                </c:pt>
                <c:pt idx="7">
                  <c:v>481.83021323737921</c:v>
                </c:pt>
                <c:pt idx="8">
                  <c:v>510.68214281184009</c:v>
                </c:pt>
                <c:pt idx="9">
                  <c:v>481.60734635428042</c:v>
                </c:pt>
                <c:pt idx="10">
                  <c:v>476.02623494129807</c:v>
                </c:pt>
                <c:pt idx="11">
                  <c:v>460.16030443742613</c:v>
                </c:pt>
                <c:pt idx="12">
                  <c:v>447.19322427073359</c:v>
                </c:pt>
                <c:pt idx="13">
                  <c:v>406.6762742943169</c:v>
                </c:pt>
                <c:pt idx="14">
                  <c:v>372.83408927253441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BA2-402A-98FA-548FEAF8E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5588544"/>
        <c:axId val="1735603936"/>
      </c:scatterChart>
      <c:valAx>
        <c:axId val="1735588544"/>
        <c:scaling>
          <c:orientation val="minMax"/>
          <c:max val="1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Population Equivalent (-)</a:t>
                </a:r>
              </a:p>
            </c:rich>
          </c:tx>
          <c:layout>
            <c:manualLayout>
              <c:xMode val="edge"/>
              <c:yMode val="edge"/>
              <c:x val="0.49573919630753266"/>
              <c:y val="0.879949669212696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5603936"/>
        <c:crosses val="autoZero"/>
        <c:crossBetween val="midCat"/>
      </c:valAx>
      <c:valAx>
        <c:axId val="17356039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Lifetime cost per Capita</a:t>
                </a:r>
                <a:r>
                  <a:rPr lang="en-GB" baseline="0"/>
                  <a:t> (£ PE-1)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55885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136482939632541E-2"/>
          <c:y val="5.0925925925925923E-2"/>
          <c:w val="0.85219685039370074"/>
          <c:h val="0.792244823563721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'Abatement Costs'!$E$32</c:f>
              <c:strCache>
                <c:ptCount val="1"/>
                <c:pt idx="0">
                  <c:v>SAF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'Abatement Costs'!$D$33:$D$35</c:f>
              <c:numCache>
                <c:formatCode>General</c:formatCode>
                <c:ptCount val="3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</c:numCache>
            </c:numRef>
          </c:xVal>
          <c:yVal>
            <c:numRef>
              <c:f>'Abatement Costs'!$E$33:$E$35</c:f>
              <c:numCache>
                <c:formatCode>General</c:formatCode>
                <c:ptCount val="3"/>
                <c:pt idx="0">
                  <c:v>1856.6508037374797</c:v>
                </c:pt>
                <c:pt idx="1">
                  <c:v>355.83017936042069</c:v>
                </c:pt>
                <c:pt idx="2">
                  <c:v>92.550032424740721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C5-4CEE-8CD6-E343D739F81E}"/>
            </c:ext>
          </c:extLst>
        </c:ser>
        <c:ser>
          <c:idx val="1"/>
          <c:order val="1"/>
          <c:tx>
            <c:strRef>
              <c:f>'Abatement Costs'!$F$32</c:f>
              <c:strCache>
                <c:ptCount val="1"/>
                <c:pt idx="0">
                  <c:v>EST-VF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'Abatement Costs'!$D$33:$D$35</c:f>
              <c:numCache>
                <c:formatCode>General</c:formatCode>
                <c:ptCount val="3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</c:numCache>
            </c:numRef>
          </c:xVal>
          <c:yVal>
            <c:numRef>
              <c:f>'Abatement Costs'!$F$33:$F$35</c:f>
              <c:numCache>
                <c:formatCode>General</c:formatCode>
                <c:ptCount val="3"/>
                <c:pt idx="0">
                  <c:v>221.03717418190436</c:v>
                </c:pt>
                <c:pt idx="1">
                  <c:v>89.290131244661168</c:v>
                </c:pt>
                <c:pt idx="2">
                  <c:v>65.448094404733126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C5-4CEE-8CD6-E343D739F81E}"/>
            </c:ext>
          </c:extLst>
        </c:ser>
        <c:ser>
          <c:idx val="2"/>
          <c:order val="2"/>
          <c:tx>
            <c:strRef>
              <c:f>'Abatement Costs'!$G$32</c:f>
              <c:strCache>
                <c:ptCount val="1"/>
                <c:pt idx="0">
                  <c:v>EST-AHF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'Abatement Costs'!$D$33:$D$35</c:f>
              <c:numCache>
                <c:formatCode>General</c:formatCode>
                <c:ptCount val="3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</c:numCache>
            </c:numRef>
          </c:xVal>
          <c:yVal>
            <c:numRef>
              <c:f>'Abatement Costs'!$G$33:$G$35</c:f>
              <c:numCache>
                <c:formatCode>General</c:formatCode>
                <c:ptCount val="3"/>
                <c:pt idx="0">
                  <c:v>273.13504264584003</c:v>
                </c:pt>
                <c:pt idx="1">
                  <c:v>42.013247387372381</c:v>
                </c:pt>
                <c:pt idx="2">
                  <c:v>-17.401222828758439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9C5-4CEE-8CD6-E343D739F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611695"/>
        <c:axId val="133614191"/>
      </c:scatterChart>
      <c:valAx>
        <c:axId val="133611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614191"/>
        <c:crosses val="autoZero"/>
        <c:crossBetween val="midCat"/>
      </c:valAx>
      <c:valAx>
        <c:axId val="1336141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61169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352424</xdr:colOff>
      <xdr:row>46</xdr:row>
      <xdr:rowOff>96838</xdr:rowOff>
    </xdr:from>
    <xdr:to>
      <xdr:col>22</xdr:col>
      <xdr:colOff>126999</xdr:colOff>
      <xdr:row>61</xdr:row>
      <xdr:rowOff>134938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A916062-BB78-552B-60FE-0502A34A76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240620</xdr:colOff>
      <xdr:row>96</xdr:row>
      <xdr:rowOff>163171</xdr:rowOff>
    </xdr:from>
    <xdr:to>
      <xdr:col>17</xdr:col>
      <xdr:colOff>22225</xdr:colOff>
      <xdr:row>112</xdr:row>
      <xdr:rowOff>18029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6FA83EF-88BD-65D6-58C1-946DAB2AFE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135731</xdr:colOff>
      <xdr:row>12</xdr:row>
      <xdr:rowOff>61913</xdr:rowOff>
    </xdr:from>
    <xdr:to>
      <xdr:col>48</xdr:col>
      <xdr:colOff>592931</xdr:colOff>
      <xdr:row>27</xdr:row>
      <xdr:rowOff>90487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28101C2-C534-E93C-E08C-7A88A627BD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61</xdr:col>
      <xdr:colOff>452436</xdr:colOff>
      <xdr:row>13</xdr:row>
      <xdr:rowOff>19050</xdr:rowOff>
    </xdr:from>
    <xdr:to>
      <xdr:col>70</xdr:col>
      <xdr:colOff>533399</xdr:colOff>
      <xdr:row>41</xdr:row>
      <xdr:rowOff>19050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5B3AFF4-7E55-A38C-0CE4-882D0E2FAD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60325</xdr:colOff>
      <xdr:row>20</xdr:row>
      <xdr:rowOff>104775</xdr:rowOff>
    </xdr:from>
    <xdr:to>
      <xdr:col>14</xdr:col>
      <xdr:colOff>517525</xdr:colOff>
      <xdr:row>35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D77BA3-14D7-8B10-5112-CED5AC7F06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sting%20Spreadsheet%20wrkhm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CA%20Datasheet%20crash%20save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ing"/>
      <sheetName val="Flow and Constent"/>
      <sheetName val="Index"/>
      <sheetName val="CPI"/>
      <sheetName val="Wet Well"/>
      <sheetName val="Fencing"/>
      <sheetName val="Septic Tank Design"/>
      <sheetName val="SAF - Design"/>
      <sheetName val="ABR Design"/>
      <sheetName val="Sectional GRP Tanks"/>
      <sheetName val="GRP Costing"/>
      <sheetName val="Wetland Design"/>
      <sheetName val="Wetland Operation"/>
      <sheetName val="Sheet1"/>
      <sheetName val="Septic Tank - BS"/>
      <sheetName val="STS"/>
      <sheetName val="SAF"/>
      <sheetName val="SAF-mk2"/>
      <sheetName val="ABR-T"/>
      <sheetName val="ABR-Exca"/>
      <sheetName val="VF"/>
      <sheetName val="AHF"/>
      <sheetName val="Pumping"/>
      <sheetName val="Hedge Fencing"/>
      <sheetName val="nth"/>
      <sheetName val="STS Summary"/>
      <sheetName val="SAF Summary"/>
      <sheetName val="ABR Summary"/>
      <sheetName val="Wetland Summary"/>
      <sheetName val="ABR-Wetland"/>
      <sheetName val="Initial Comparison"/>
      <sheetName val="10 NPV"/>
      <sheetName val="METla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86">
          <cell r="W186">
            <v>15842.419902730837</v>
          </cell>
          <cell r="CO186">
            <v>60865.640811027319</v>
          </cell>
        </row>
        <row r="187">
          <cell r="W187">
            <v>10927.611929901865</v>
          </cell>
          <cell r="CO187">
            <v>46005.137346654024</v>
          </cell>
          <cell r="GW187">
            <v>581302.26345671446</v>
          </cell>
        </row>
        <row r="188">
          <cell r="W188">
            <v>8968.4494122714623</v>
          </cell>
          <cell r="CO188">
            <v>40081.377651164075</v>
          </cell>
          <cell r="GW188">
            <v>438568.53224391391</v>
          </cell>
        </row>
        <row r="189">
          <cell r="GW189">
            <v>381671.38026165846</v>
          </cell>
        </row>
      </sheetData>
      <sheetData sheetId="16">
        <row r="181">
          <cell r="R181">
            <v>47444.57381414406</v>
          </cell>
          <cell r="CG181">
            <v>150856.65894531913</v>
          </cell>
        </row>
        <row r="182">
          <cell r="R182">
            <v>31626.101830642889</v>
          </cell>
          <cell r="CG182">
            <v>107962.30093913998</v>
          </cell>
        </row>
        <row r="183">
          <cell r="R183">
            <v>25320.472482030986</v>
          </cell>
          <cell r="CG183">
            <v>90863.562008114357</v>
          </cell>
        </row>
      </sheetData>
      <sheetData sheetId="17">
        <row r="182">
          <cell r="GN182">
            <v>748103.6667806987</v>
          </cell>
        </row>
        <row r="183">
          <cell r="GN183">
            <v>660522.4998476645</v>
          </cell>
        </row>
      </sheetData>
      <sheetData sheetId="18"/>
      <sheetData sheetId="19">
        <row r="110">
          <cell r="Z110">
            <v>2211.896770071583</v>
          </cell>
          <cell r="CC110">
            <v>14978.686635600639</v>
          </cell>
          <cell r="FM110">
            <v>133096.59870996865</v>
          </cell>
        </row>
        <row r="111">
          <cell r="Z111">
            <v>1740.0521226861638</v>
          </cell>
          <cell r="CC111">
            <v>10697.504769015675</v>
          </cell>
          <cell r="FM111">
            <v>90722.044651388234</v>
          </cell>
        </row>
        <row r="112">
          <cell r="Z112">
            <v>1556.1572650109472</v>
          </cell>
          <cell r="CC112">
            <v>9028.9739625312359</v>
          </cell>
          <cell r="FM112">
            <v>74207.154356811559</v>
          </cell>
        </row>
      </sheetData>
      <sheetData sheetId="20">
        <row r="228">
          <cell r="U228">
            <v>21433.024646454018</v>
          </cell>
          <cell r="BX228">
            <v>86904.274666794779</v>
          </cell>
          <cell r="FI228">
            <v>699511.18173789559</v>
          </cell>
        </row>
        <row r="229">
          <cell r="U229">
            <v>14758.363838412624</v>
          </cell>
          <cell r="BX229">
            <v>67931.93985792571</v>
          </cell>
          <cell r="FI229">
            <v>584365.65139912197</v>
          </cell>
        </row>
        <row r="230">
          <cell r="U230">
            <v>12109.895235089723</v>
          </cell>
          <cell r="BX230">
            <v>60490.624662721966</v>
          </cell>
          <cell r="FI230">
            <v>539442.17718793137</v>
          </cell>
        </row>
      </sheetData>
      <sheetData sheetId="21">
        <row r="249">
          <cell r="W249">
            <v>24647.637485975025</v>
          </cell>
          <cell r="BZ249">
            <v>75451.031508827524</v>
          </cell>
          <cell r="FJ249">
            <v>425624.14166513574</v>
          </cell>
        </row>
        <row r="250">
          <cell r="W250">
            <v>15723.982593066907</v>
          </cell>
          <cell r="BZ250">
            <v>50599.927129150536</v>
          </cell>
          <cell r="FJ250">
            <v>291298.03941776033</v>
          </cell>
        </row>
        <row r="251">
          <cell r="W251">
            <v>12188.080884460307</v>
          </cell>
          <cell r="BZ251">
            <v>40844.407870669544</v>
          </cell>
          <cell r="FJ251">
            <v>238806.09319696933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ASE READ"/>
      <sheetName val="Uk Grid Decarbonisation"/>
      <sheetName val="Conversions"/>
      <sheetName val="Wetland Flow"/>
      <sheetName val="Tankering"/>
      <sheetName val="Operational Emission Factors"/>
      <sheetName val="Septic Tank - British "/>
      <sheetName val="STS"/>
      <sheetName val="SAF"/>
      <sheetName val="ABR-Exc"/>
      <sheetName val="ABR-T"/>
      <sheetName val="AHF "/>
      <sheetName val="VF "/>
      <sheetName val="Capital Carbon (legacy)"/>
      <sheetName val="Fences"/>
      <sheetName val="Operational Emissions (Legacy)"/>
      <sheetName val="Pumping"/>
      <sheetName val="Initial Comparison"/>
      <sheetName val="Operational Emission Summary"/>
      <sheetName val="Overall LCA"/>
      <sheetName val="21-O"/>
      <sheetName val="Graph X"/>
      <sheetName val="30-O"/>
      <sheetName val="30-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6">
          <cell r="BI26">
            <v>40800</v>
          </cell>
        </row>
        <row r="40">
          <cell r="FE40">
            <v>318000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8">
          <cell r="J8">
            <v>1080.407526374689</v>
          </cell>
          <cell r="U8">
            <v>3779.464772641847</v>
          </cell>
          <cell r="AF8">
            <v>19023.828568862544</v>
          </cell>
        </row>
        <row r="12">
          <cell r="J12">
            <v>2548.4</v>
          </cell>
          <cell r="U12">
            <v>21250</v>
          </cell>
          <cell r="AF12">
            <v>282540</v>
          </cell>
        </row>
        <row r="15">
          <cell r="J15">
            <v>1113.2</v>
          </cell>
          <cell r="U15">
            <v>6560.6</v>
          </cell>
          <cell r="AF15">
            <v>39429</v>
          </cell>
        </row>
        <row r="29">
          <cell r="C29">
            <v>41868.391185</v>
          </cell>
          <cell r="D29">
            <v>25669.89670815249</v>
          </cell>
          <cell r="E29">
            <v>13776.364972671672</v>
          </cell>
          <cell r="F29">
            <v>16483.480851261822</v>
          </cell>
          <cell r="O29">
            <v>388987.50644999999</v>
          </cell>
          <cell r="P29">
            <v>186767.47058387549</v>
          </cell>
          <cell r="Q29">
            <v>39383.875176308662</v>
          </cell>
          <cell r="R29">
            <v>55459.997181255967</v>
          </cell>
          <cell r="Z29">
            <v>3895537.33776</v>
          </cell>
          <cell r="AA29">
            <v>1121917.1433852809</v>
          </cell>
          <cell r="AB29">
            <v>298130.1122550224</v>
          </cell>
          <cell r="AC29">
            <v>377508.43777032191</v>
          </cell>
        </row>
      </sheetData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D7386-4EFE-4E61-BE7F-1D5524257157}">
  <dimension ref="A3:BT106"/>
  <sheetViews>
    <sheetView zoomScaleNormal="100" workbookViewId="0">
      <selection activeCell="E99" sqref="E99"/>
    </sheetView>
  </sheetViews>
  <sheetFormatPr defaultRowHeight="14.25" x14ac:dyDescent="0.2"/>
  <cols>
    <col min="2" max="2" width="14.25" customWidth="1"/>
    <col min="3" max="3" width="11.875" bestFit="1" customWidth="1"/>
    <col min="5" max="5" width="11.875" bestFit="1" customWidth="1"/>
    <col min="12" max="12" width="11.875" bestFit="1" customWidth="1"/>
    <col min="13" max="13" width="11.5" bestFit="1" customWidth="1"/>
    <col min="14" max="15" width="11.875" bestFit="1" customWidth="1"/>
  </cols>
  <sheetData>
    <row r="3" spans="1:72" x14ac:dyDescent="0.2">
      <c r="B3" t="s">
        <v>4</v>
      </c>
      <c r="C3" t="s">
        <v>0</v>
      </c>
    </row>
    <row r="4" spans="1:72" x14ac:dyDescent="0.2">
      <c r="B4" t="s">
        <v>1</v>
      </c>
      <c r="C4">
        <v>50</v>
      </c>
    </row>
    <row r="5" spans="1:72" x14ac:dyDescent="0.2">
      <c r="B5" t="s">
        <v>5</v>
      </c>
      <c r="C5" t="s">
        <v>6</v>
      </c>
    </row>
    <row r="6" spans="1:72" ht="28.5" x14ac:dyDescent="0.2">
      <c r="B6" s="1" t="s">
        <v>2</v>
      </c>
      <c r="C6">
        <v>40</v>
      </c>
      <c r="D6" t="s">
        <v>3</v>
      </c>
    </row>
    <row r="7" spans="1:72" x14ac:dyDescent="0.2">
      <c r="B7" t="s">
        <v>9</v>
      </c>
      <c r="C7" t="s">
        <v>10</v>
      </c>
    </row>
    <row r="8" spans="1:72" ht="15" thickBot="1" x14ac:dyDescent="0.25"/>
    <row r="9" spans="1:72" s="3" customFormat="1" ht="15" thickBot="1" x14ac:dyDescent="0.25">
      <c r="A9" s="2" t="s">
        <v>7</v>
      </c>
    </row>
    <row r="10" spans="1:72" x14ac:dyDescent="0.2">
      <c r="V10" t="s">
        <v>20</v>
      </c>
      <c r="AA10" t="s">
        <v>23</v>
      </c>
      <c r="AH10">
        <f>AI13/(AH13+AI13)</f>
        <v>0.71261608456852965</v>
      </c>
      <c r="AI10">
        <f>AI16/(AH16+AI16)</f>
        <v>0.80793645545816273</v>
      </c>
      <c r="BG10" t="s">
        <v>25</v>
      </c>
    </row>
    <row r="11" spans="1:72" x14ac:dyDescent="0.2">
      <c r="B11" t="s">
        <v>8</v>
      </c>
      <c r="C11" t="s">
        <v>12</v>
      </c>
      <c r="W11">
        <v>10</v>
      </c>
      <c r="X11">
        <v>100</v>
      </c>
      <c r="Y11">
        <v>1000</v>
      </c>
    </row>
    <row r="12" spans="1:72" x14ac:dyDescent="0.2">
      <c r="B12" t="s">
        <v>11</v>
      </c>
      <c r="C12">
        <v>0</v>
      </c>
      <c r="D12">
        <v>3.5</v>
      </c>
      <c r="E12">
        <v>6</v>
      </c>
      <c r="G12">
        <v>0</v>
      </c>
      <c r="H12">
        <v>3.5</v>
      </c>
      <c r="I12">
        <v>6</v>
      </c>
      <c r="L12" t="s">
        <v>8</v>
      </c>
      <c r="M12" t="s">
        <v>13</v>
      </c>
      <c r="N12" t="s">
        <v>17</v>
      </c>
      <c r="O12" t="s">
        <v>18</v>
      </c>
      <c r="Q12" t="s">
        <v>8</v>
      </c>
      <c r="R12" t="s">
        <v>13</v>
      </c>
      <c r="S12" t="s">
        <v>17</v>
      </c>
      <c r="T12" t="s">
        <v>18</v>
      </c>
      <c r="V12" t="s">
        <v>8</v>
      </c>
      <c r="W12">
        <v>3140.4199027308441</v>
      </c>
      <c r="X12">
        <v>22459.640811027322</v>
      </c>
      <c r="Y12">
        <v>212416.26345671428</v>
      </c>
      <c r="AA12" t="s">
        <v>11</v>
      </c>
      <c r="AB12">
        <v>0</v>
      </c>
      <c r="AC12">
        <v>3.5</v>
      </c>
      <c r="AD12">
        <v>6</v>
      </c>
      <c r="AH12" t="s">
        <v>8</v>
      </c>
      <c r="AI12" t="s">
        <v>13</v>
      </c>
      <c r="AJ12" t="s">
        <v>17</v>
      </c>
      <c r="AK12" t="s">
        <v>18</v>
      </c>
      <c r="AL12" t="s">
        <v>20</v>
      </c>
      <c r="AM12" t="s">
        <v>23</v>
      </c>
      <c r="AP12" t="str">
        <f t="shared" ref="AP12:AP15" si="0">Q12</f>
        <v>STS</v>
      </c>
      <c r="AQ12" t="str">
        <f t="shared" ref="AQ12:AQ15" si="1">R12</f>
        <v>SAF</v>
      </c>
      <c r="AR12" t="str">
        <f t="shared" ref="AR12:AR15" si="2">S12</f>
        <v>EST-VF</v>
      </c>
      <c r="AS12" t="str">
        <f t="shared" ref="AS12:AS15" si="3">T12</f>
        <v>EST-AHF</v>
      </c>
      <c r="AV12" t="s">
        <v>20</v>
      </c>
      <c r="AW12" t="s">
        <v>23</v>
      </c>
      <c r="AX12" t="s">
        <v>20</v>
      </c>
      <c r="AY12" t="s">
        <v>23</v>
      </c>
      <c r="AZ12" t="s">
        <v>20</v>
      </c>
      <c r="BA12" t="s">
        <v>23</v>
      </c>
      <c r="BH12" t="s">
        <v>8</v>
      </c>
      <c r="BI12" t="s">
        <v>13</v>
      </c>
      <c r="BJ12" t="s">
        <v>15</v>
      </c>
      <c r="BK12" t="s">
        <v>14</v>
      </c>
      <c r="BL12" t="s">
        <v>16</v>
      </c>
      <c r="BM12" t="s">
        <v>17</v>
      </c>
      <c r="BN12" t="s">
        <v>18</v>
      </c>
      <c r="BQ12" t="s">
        <v>8</v>
      </c>
      <c r="BR12" t="s">
        <v>13</v>
      </c>
      <c r="BS12" t="s">
        <v>17</v>
      </c>
      <c r="BT12" t="s">
        <v>18</v>
      </c>
    </row>
    <row r="13" spans="1:72" x14ac:dyDescent="0.2">
      <c r="A13" t="s">
        <v>8</v>
      </c>
      <c r="B13">
        <v>10</v>
      </c>
      <c r="C13">
        <f>[1]STS!W186</f>
        <v>15842.419902730837</v>
      </c>
      <c r="D13">
        <f>[1]STS!W187</f>
        <v>10927.611929901865</v>
      </c>
      <c r="E13">
        <f>[1]STS!W188</f>
        <v>8968.4494122714623</v>
      </c>
      <c r="G13">
        <f>C13/$B13</f>
        <v>1584.2419902730837</v>
      </c>
      <c r="H13">
        <f t="shared" ref="H13:I13" si="4">D13/$B13</f>
        <v>1092.7611929901864</v>
      </c>
      <c r="I13">
        <f t="shared" si="4"/>
        <v>896.84494122714625</v>
      </c>
      <c r="K13">
        <v>10</v>
      </c>
      <c r="L13">
        <v>1092.7611929901864</v>
      </c>
      <c r="M13">
        <v>3162.6101830642888</v>
      </c>
      <c r="N13">
        <v>1649.8415961098788</v>
      </c>
      <c r="O13">
        <v>1746.4034715753071</v>
      </c>
      <c r="Q13">
        <f>G13-H13</f>
        <v>491.48079728289736</v>
      </c>
      <c r="R13">
        <f>G16-H16</f>
        <v>1581.8471983501172</v>
      </c>
      <c r="S13">
        <f>G28-H28</f>
        <v>714.65054554268158</v>
      </c>
      <c r="T13">
        <f>G31-H31</f>
        <v>939.54995402935378</v>
      </c>
      <c r="V13" t="s">
        <v>13</v>
      </c>
      <c r="W13">
        <v>6562.7667841985658</v>
      </c>
      <c r="X13">
        <v>39998.994026037602</v>
      </c>
      <c r="Y13">
        <v>399989.94026037602</v>
      </c>
      <c r="Z13" t="s">
        <v>8</v>
      </c>
      <c r="AA13">
        <v>10</v>
      </c>
      <c r="AB13">
        <f>G13-W21</f>
        <v>1270.1999999999994</v>
      </c>
      <c r="AC13">
        <f>H13-$W21</f>
        <v>778.71920271710201</v>
      </c>
      <c r="AD13">
        <f>I13-$W21</f>
        <v>582.80295095406177</v>
      </c>
      <c r="AH13">
        <v>314.04199027308442</v>
      </c>
      <c r="AI13">
        <f>$AC$13</f>
        <v>778.71920271710201</v>
      </c>
      <c r="AP13">
        <f t="shared" si="0"/>
        <v>491.48079728289736</v>
      </c>
      <c r="AQ13">
        <f t="shared" si="1"/>
        <v>1581.8471983501172</v>
      </c>
      <c r="AR13">
        <f t="shared" si="2"/>
        <v>714.65054554268158</v>
      </c>
      <c r="AS13">
        <f t="shared" si="3"/>
        <v>939.54995402935378</v>
      </c>
      <c r="AV13">
        <v>314.04199027308442</v>
      </c>
      <c r="AW13">
        <f>$AC$13</f>
        <v>778.71920271710201</v>
      </c>
      <c r="BG13">
        <v>5</v>
      </c>
      <c r="BH13">
        <v>8982.191979105517</v>
      </c>
      <c r="BI13">
        <v>27865.056855153169</v>
      </c>
      <c r="BJ13">
        <v>1368.0376831864719</v>
      </c>
      <c r="BK13">
        <v>11645.05720292791</v>
      </c>
      <c r="BL13">
        <v>13779.455545319981</v>
      </c>
      <c r="BM13">
        <f>BJ13+BK13</f>
        <v>13013.094886114382</v>
      </c>
      <c r="BN13">
        <f>BJ13+BL13</f>
        <v>15147.493228506453</v>
      </c>
      <c r="BO13">
        <f>BN13-BM13</f>
        <v>2134.3983423920708</v>
      </c>
      <c r="BP13">
        <v>5</v>
      </c>
      <c r="BQ13">
        <f>BH13/BG13</f>
        <v>1796.4383958211033</v>
      </c>
      <c r="BR13">
        <f>BI13/BG13</f>
        <v>5573.0113710306341</v>
      </c>
      <c r="BS13">
        <f>BM13/BG13</f>
        <v>2602.6189772228763</v>
      </c>
      <c r="BT13">
        <f>BN13/BG13</f>
        <v>3029.4986457012906</v>
      </c>
    </row>
    <row r="14" spans="1:72" x14ac:dyDescent="0.2">
      <c r="A14" t="s">
        <v>8</v>
      </c>
      <c r="B14">
        <v>100</v>
      </c>
      <c r="C14">
        <f>[1]STS!CO186</f>
        <v>60865.640811027319</v>
      </c>
      <c r="D14">
        <f>[1]STS!CO187</f>
        <v>46005.137346654024</v>
      </c>
      <c r="E14">
        <f>[1]STS!CO188</f>
        <v>40081.377651164075</v>
      </c>
      <c r="G14">
        <f t="shared" ref="G14:G15" si="5">C14/$B14</f>
        <v>608.65640811027322</v>
      </c>
      <c r="H14">
        <f t="shared" ref="H14:H15" si="6">D14/$B14</f>
        <v>460.05137346654027</v>
      </c>
      <c r="I14">
        <f t="shared" ref="I14:I15" si="7">E14/$B14</f>
        <v>400.81377651164075</v>
      </c>
      <c r="K14">
        <v>100</v>
      </c>
      <c r="L14">
        <v>460.05137346653999</v>
      </c>
      <c r="M14">
        <v>1079.6230093913998</v>
      </c>
      <c r="N14">
        <v>786.29444626941392</v>
      </c>
      <c r="O14">
        <v>612.97431898166212</v>
      </c>
      <c r="Q14">
        <f>G14-H14</f>
        <v>148.60503464373295</v>
      </c>
      <c r="R14">
        <f t="shared" ref="R14" si="8">G17-H17</f>
        <v>428.94358006179141</v>
      </c>
      <c r="S14">
        <f t="shared" ref="S14:S15" si="9">G29-H29</f>
        <v>232.53516675454023</v>
      </c>
      <c r="T14">
        <f t="shared" ref="T14:T15" si="10">G32-H32</f>
        <v>291.32286246261947</v>
      </c>
      <c r="V14" t="s">
        <v>15</v>
      </c>
      <c r="W14">
        <v>1120.2967700715831</v>
      </c>
      <c r="X14">
        <v>5074.2866356006407</v>
      </c>
      <c r="Y14">
        <v>35064.198709968645</v>
      </c>
      <c r="AA14">
        <v>100</v>
      </c>
      <c r="AB14">
        <f>G14-X21</f>
        <v>384.06</v>
      </c>
      <c r="AC14">
        <f>H14-X21</f>
        <v>235.45496535626705</v>
      </c>
      <c r="AD14">
        <f>I14-X21</f>
        <v>176.21736840136754</v>
      </c>
      <c r="AG14">
        <v>10</v>
      </c>
      <c r="AH14">
        <v>656.27667841985658</v>
      </c>
      <c r="AI14">
        <f>$AC$16</f>
        <v>2506.3335046444322</v>
      </c>
      <c r="AP14">
        <f>Q14</f>
        <v>148.60503464373295</v>
      </c>
      <c r="AQ14">
        <f t="shared" si="1"/>
        <v>428.94358006179141</v>
      </c>
      <c r="AR14">
        <f t="shared" si="2"/>
        <v>232.53516675454023</v>
      </c>
      <c r="AS14">
        <f t="shared" si="3"/>
        <v>291.32286246261947</v>
      </c>
      <c r="AU14">
        <v>10</v>
      </c>
      <c r="AV14">
        <v>656.27667841985658</v>
      </c>
      <c r="AW14">
        <f>$AC$16</f>
        <v>2506.3335046444322</v>
      </c>
      <c r="BG14">
        <v>10</v>
      </c>
      <c r="BH14">
        <v>10927.611929901865</v>
      </c>
      <c r="BI14">
        <v>31626.101830642889</v>
      </c>
      <c r="BJ14">
        <v>1740.0521226861638</v>
      </c>
      <c r="BK14">
        <v>14758.363838412624</v>
      </c>
      <c r="BL14">
        <v>15723.982593066907</v>
      </c>
      <c r="BM14">
        <f t="shared" ref="BM14:BM27" si="11">BJ14+BK14</f>
        <v>16498.415961098788</v>
      </c>
      <c r="BN14">
        <f t="shared" ref="BN14:BN27" si="12">BJ14+BL14</f>
        <v>17464.03471575307</v>
      </c>
      <c r="BO14">
        <f t="shared" ref="BO14:BO27" si="13">BN14-BM14</f>
        <v>965.61875465428238</v>
      </c>
      <c r="BP14">
        <v>10</v>
      </c>
      <c r="BQ14">
        <f t="shared" ref="BQ14:BQ27" si="14">BH14/BG14</f>
        <v>1092.7611929901864</v>
      </c>
      <c r="BR14">
        <f t="shared" ref="BR14:BR27" si="15">BI14/BG14</f>
        <v>3162.6101830642888</v>
      </c>
      <c r="BS14">
        <f t="shared" ref="BS14:BS27" si="16">BM14/BG14</f>
        <v>1649.8415961098788</v>
      </c>
      <c r="BT14">
        <f t="shared" ref="BT14:BT27" si="17">BN14/BG14</f>
        <v>1746.4034715753071</v>
      </c>
    </row>
    <row r="15" spans="1:72" x14ac:dyDescent="0.2">
      <c r="A15" t="s">
        <v>8</v>
      </c>
      <c r="B15">
        <v>1000</v>
      </c>
      <c r="C15">
        <f>[1]STS!GW187</f>
        <v>581302.26345671446</v>
      </c>
      <c r="D15">
        <f>[1]STS!GW188</f>
        <v>438568.53224391391</v>
      </c>
      <c r="E15">
        <f>[1]STS!GW189</f>
        <v>381671.38026165846</v>
      </c>
      <c r="G15">
        <f t="shared" si="5"/>
        <v>581.3022634567144</v>
      </c>
      <c r="H15">
        <f t="shared" si="6"/>
        <v>438.56853224391392</v>
      </c>
      <c r="I15">
        <f t="shared" si="7"/>
        <v>381.67138026165844</v>
      </c>
      <c r="K15">
        <v>1000</v>
      </c>
      <c r="L15">
        <v>438.56853224391392</v>
      </c>
      <c r="M15">
        <v>748.10400000000004</v>
      </c>
      <c r="N15">
        <v>675.0876960505102</v>
      </c>
      <c r="O15">
        <v>372.83408927253441</v>
      </c>
      <c r="Q15">
        <f t="shared" ref="Q15" si="18">G15-H15</f>
        <v>142.73373121280048</v>
      </c>
      <c r="R15">
        <f>G18-H18</f>
        <v>219.7084793316485</v>
      </c>
      <c r="S15">
        <f t="shared" si="9"/>
        <v>157.52008439735403</v>
      </c>
      <c r="T15">
        <f t="shared" si="10"/>
        <v>176.70065630595576</v>
      </c>
      <c r="V15" t="s">
        <v>14</v>
      </c>
      <c r="W15">
        <v>4555.1490307460417</v>
      </c>
      <c r="X15">
        <v>41576.058427982949</v>
      </c>
      <c r="Y15">
        <v>431688.84413483273</v>
      </c>
      <c r="AA15">
        <v>1000</v>
      </c>
      <c r="AB15">
        <f>G15-$Y21</f>
        <v>368.88600000000008</v>
      </c>
      <c r="AC15">
        <f>H15-$Y21</f>
        <v>226.15226878719963</v>
      </c>
      <c r="AD15">
        <f>I15-$Y21</f>
        <v>169.25511680494415</v>
      </c>
      <c r="AH15">
        <v>567.54458008176243</v>
      </c>
      <c r="AI15">
        <f>$AC$19</f>
        <v>1082.2970160281163</v>
      </c>
      <c r="AP15">
        <f t="shared" si="0"/>
        <v>142.73373121280048</v>
      </c>
      <c r="AQ15">
        <f t="shared" si="1"/>
        <v>219.7084793316485</v>
      </c>
      <c r="AR15">
        <f t="shared" si="2"/>
        <v>157.52008439735403</v>
      </c>
      <c r="AS15">
        <f t="shared" si="3"/>
        <v>176.70065630595576</v>
      </c>
      <c r="AV15">
        <v>567.54458008176243</v>
      </c>
      <c r="AW15">
        <f>$AC$19</f>
        <v>1082.2970160281163</v>
      </c>
      <c r="BG15">
        <v>20</v>
      </c>
      <c r="BH15">
        <v>12717.573448073352</v>
      </c>
      <c r="BI15">
        <v>37748.148006234776</v>
      </c>
      <c r="BJ15">
        <v>3127.2280428538133</v>
      </c>
      <c r="BK15">
        <v>20606.685425716663</v>
      </c>
      <c r="BL15">
        <v>21360.128970079717</v>
      </c>
      <c r="BM15">
        <f t="shared" si="11"/>
        <v>23733.913468570478</v>
      </c>
      <c r="BN15">
        <f t="shared" si="12"/>
        <v>24487.357012933531</v>
      </c>
      <c r="BO15">
        <f t="shared" si="13"/>
        <v>753.44354436305366</v>
      </c>
      <c r="BP15">
        <v>20</v>
      </c>
      <c r="BQ15">
        <f t="shared" si="14"/>
        <v>635.87867240366757</v>
      </c>
      <c r="BR15">
        <f t="shared" si="15"/>
        <v>1887.4074003117389</v>
      </c>
      <c r="BS15">
        <f t="shared" si="16"/>
        <v>1186.6956734285238</v>
      </c>
      <c r="BT15">
        <f t="shared" si="17"/>
        <v>1224.3678506466765</v>
      </c>
    </row>
    <row r="16" spans="1:72" x14ac:dyDescent="0.2">
      <c r="A16" t="s">
        <v>13</v>
      </c>
      <c r="B16">
        <v>10</v>
      </c>
      <c r="C16" s="4">
        <f>[1]SAF!R181</f>
        <v>47444.57381414406</v>
      </c>
      <c r="D16" s="4">
        <f>[1]SAF!R182</f>
        <v>31626.101830642889</v>
      </c>
      <c r="E16" s="4">
        <f>[1]SAF!R183</f>
        <v>25320.472482030986</v>
      </c>
      <c r="G16">
        <f>C16/$B16</f>
        <v>4744.457381414406</v>
      </c>
      <c r="H16">
        <f t="shared" ref="H16" si="19">D16/$B16</f>
        <v>3162.6101830642888</v>
      </c>
      <c r="I16">
        <f t="shared" ref="I16" si="20">E16/$B16</f>
        <v>2532.0472482030987</v>
      </c>
      <c r="V16" t="s">
        <v>16</v>
      </c>
      <c r="W16">
        <v>2233.9076394376484</v>
      </c>
      <c r="X16">
        <v>15820.197359661826</v>
      </c>
      <c r="Y16">
        <v>110589.55609158058</v>
      </c>
      <c r="Z16" t="s">
        <v>13</v>
      </c>
      <c r="AA16">
        <v>10</v>
      </c>
      <c r="AB16">
        <f>G16-$W$22</f>
        <v>4088.1807029945494</v>
      </c>
      <c r="AC16">
        <f t="shared" ref="AC16:AD16" si="21">H16-$W$22</f>
        <v>2506.3335046444322</v>
      </c>
      <c r="AD16">
        <f t="shared" si="21"/>
        <v>1875.7705697832421</v>
      </c>
      <c r="AH16">
        <v>335.42044095092314</v>
      </c>
      <c r="AI16">
        <f>$AC$22</f>
        <v>1410.9830306243839</v>
      </c>
      <c r="AV16">
        <v>335.42044095092314</v>
      </c>
      <c r="AW16">
        <f>$AC$22</f>
        <v>1410.9830306243839</v>
      </c>
      <c r="BG16">
        <v>30</v>
      </c>
      <c r="BH16">
        <v>15643.747078560153</v>
      </c>
      <c r="BI16">
        <v>57746.837932195071</v>
      </c>
      <c r="BJ16">
        <v>4032.7096647432058</v>
      </c>
      <c r="BK16">
        <v>26711.734461450662</v>
      </c>
      <c r="BL16">
        <v>24451.084834520039</v>
      </c>
      <c r="BM16">
        <f t="shared" si="11"/>
        <v>30744.444126193866</v>
      </c>
      <c r="BN16">
        <f t="shared" si="12"/>
        <v>28483.794499263244</v>
      </c>
      <c r="BO16">
        <f t="shared" si="13"/>
        <v>-2260.6496269306226</v>
      </c>
      <c r="BP16">
        <v>30</v>
      </c>
      <c r="BQ16">
        <f t="shared" si="14"/>
        <v>521.45823595200511</v>
      </c>
      <c r="BR16">
        <f t="shared" si="15"/>
        <v>1924.8945977398357</v>
      </c>
      <c r="BS16">
        <f t="shared" si="16"/>
        <v>1024.8148042064622</v>
      </c>
      <c r="BT16">
        <f t="shared" si="17"/>
        <v>949.45981664210808</v>
      </c>
    </row>
    <row r="17" spans="1:72" x14ac:dyDescent="0.2">
      <c r="A17" t="s">
        <v>13</v>
      </c>
      <c r="B17">
        <v>100</v>
      </c>
      <c r="C17" s="4">
        <f>[1]SAF!CG181</f>
        <v>150856.65894531913</v>
      </c>
      <c r="D17" s="4">
        <f>[1]SAF!CG182</f>
        <v>107962.30093913998</v>
      </c>
      <c r="E17" s="4">
        <f>[1]SAF!CG183</f>
        <v>90863.562008114357</v>
      </c>
      <c r="G17">
        <f>C17/$B17</f>
        <v>1508.5665894531912</v>
      </c>
      <c r="H17">
        <f t="shared" ref="H17" si="22">D17/$B17</f>
        <v>1079.6230093913998</v>
      </c>
      <c r="I17">
        <f t="shared" ref="I17" si="23">E17/$B17</f>
        <v>908.63562008114354</v>
      </c>
      <c r="L17">
        <f>(L13-L15)/L13</f>
        <v>0.59866022415763753</v>
      </c>
      <c r="M17">
        <f>(M13-M15)/M13</f>
        <v>0.76345361688706337</v>
      </c>
      <c r="N17">
        <f>(N13-N15)/N13</f>
        <v>0.5908166592221441</v>
      </c>
      <c r="O17">
        <f>(O13-O15)/O13</f>
        <v>0.78651319964668465</v>
      </c>
      <c r="Q17" t="s">
        <v>8</v>
      </c>
      <c r="R17" t="s">
        <v>13</v>
      </c>
      <c r="S17" t="s">
        <v>17</v>
      </c>
      <c r="T17" t="s">
        <v>18</v>
      </c>
      <c r="V17" t="s">
        <v>17</v>
      </c>
      <c r="W17">
        <f>W14+W15</f>
        <v>5675.4458008176243</v>
      </c>
      <c r="X17">
        <f t="shared" ref="X17:Y17" si="24">X14+X15</f>
        <v>46650.345063583591</v>
      </c>
      <c r="Y17">
        <f t="shared" si="24"/>
        <v>466753.04284480138</v>
      </c>
      <c r="AA17">
        <v>100</v>
      </c>
      <c r="AB17">
        <f>G17-$X$22</f>
        <v>1108.5766491928152</v>
      </c>
      <c r="AC17">
        <f t="shared" ref="AC17:AD17" si="25">H17-$X$22</f>
        <v>679.63306913102383</v>
      </c>
      <c r="AD17">
        <f t="shared" si="25"/>
        <v>508.6456798207675</v>
      </c>
      <c r="BG17">
        <v>50</v>
      </c>
      <c r="BH17">
        <v>22632.433297388161</v>
      </c>
      <c r="BI17">
        <v>73052.069292945147</v>
      </c>
      <c r="BJ17">
        <v>5820.7298438611515</v>
      </c>
      <c r="BK17">
        <v>38730.121116160532</v>
      </c>
      <c r="BL17">
        <v>30215.028320482714</v>
      </c>
      <c r="BM17">
        <f t="shared" si="11"/>
        <v>44550.850960021686</v>
      </c>
      <c r="BN17">
        <f t="shared" si="12"/>
        <v>36035.758164343868</v>
      </c>
      <c r="BO17">
        <f t="shared" si="13"/>
        <v>-8515.0927956778178</v>
      </c>
      <c r="BP17">
        <v>50</v>
      </c>
      <c r="BQ17">
        <f t="shared" si="14"/>
        <v>452.64866594776322</v>
      </c>
      <c r="BR17">
        <f t="shared" si="15"/>
        <v>1461.0413858589029</v>
      </c>
      <c r="BS17">
        <f t="shared" si="16"/>
        <v>891.01701920043377</v>
      </c>
      <c r="BT17">
        <f t="shared" si="17"/>
        <v>720.71516328687733</v>
      </c>
    </row>
    <row r="18" spans="1:72" x14ac:dyDescent="0.2">
      <c r="A18" t="s">
        <v>13</v>
      </c>
      <c r="B18">
        <v>1000</v>
      </c>
      <c r="C18" s="4">
        <v>967812.14611234725</v>
      </c>
      <c r="D18" s="4">
        <f>'[1]SAF-mk2'!$GN$182</f>
        <v>748103.6667806987</v>
      </c>
      <c r="E18" s="4">
        <f>'[1]SAF-mk2'!$GN$183</f>
        <v>660522.4998476645</v>
      </c>
      <c r="G18">
        <f>C18/$B18</f>
        <v>967.81214611234725</v>
      </c>
      <c r="H18">
        <f t="shared" ref="H18" si="26">D18/$B18</f>
        <v>748.10366678069875</v>
      </c>
      <c r="I18">
        <f t="shared" ref="I18" si="27">E18/$B18</f>
        <v>660.52249984766445</v>
      </c>
      <c r="Q18">
        <f>H13-I13</f>
        <v>195.91625176304012</v>
      </c>
      <c r="R18">
        <f>H16-I16</f>
        <v>630.56293486119012</v>
      </c>
      <c r="S18">
        <f>H28-I28</f>
        <v>283.23634609981173</v>
      </c>
      <c r="T18">
        <f>H31-I31</f>
        <v>371.97965662818183</v>
      </c>
      <c r="V18" t="s">
        <v>18</v>
      </c>
      <c r="W18">
        <f>W14+W16</f>
        <v>3354.2044095092315</v>
      </c>
      <c r="X18">
        <f t="shared" ref="X18:Y18" si="28">X14+X16</f>
        <v>20894.483995262468</v>
      </c>
      <c r="Y18">
        <f t="shared" si="28"/>
        <v>145653.75480154922</v>
      </c>
      <c r="AA18">
        <v>1000</v>
      </c>
      <c r="AB18">
        <f>G18-$Y$22</f>
        <v>567.82220585197115</v>
      </c>
      <c r="AC18">
        <f t="shared" ref="AC18" si="29">H18-$Y$22</f>
        <v>348.1137265203227</v>
      </c>
      <c r="AD18">
        <f>I18-$Y$22</f>
        <v>260.5325595872884</v>
      </c>
      <c r="AJ18">
        <f>X21</f>
        <v>224.59640811027322</v>
      </c>
      <c r="AK18">
        <f>$AC$14</f>
        <v>235.45496535626705</v>
      </c>
      <c r="AX18">
        <f>AL21</f>
        <v>0</v>
      </c>
      <c r="AY18">
        <f>$AC$14</f>
        <v>235.45496535626705</v>
      </c>
      <c r="BG18">
        <v>75</v>
      </c>
      <c r="BH18">
        <v>33584.372944566247</v>
      </c>
      <c r="BI18">
        <v>90331.564252971613</v>
      </c>
      <c r="BJ18">
        <v>8498.4399654408171</v>
      </c>
      <c r="BK18">
        <v>53395.258808296785</v>
      </c>
      <c r="BL18">
        <v>42847.463113568629</v>
      </c>
      <c r="BM18">
        <f t="shared" si="11"/>
        <v>61893.698773737604</v>
      </c>
      <c r="BN18">
        <f t="shared" si="12"/>
        <v>51345.903079009448</v>
      </c>
      <c r="BO18">
        <f t="shared" si="13"/>
        <v>-10547.795694728156</v>
      </c>
      <c r="BP18">
        <v>75</v>
      </c>
      <c r="BQ18">
        <f t="shared" si="14"/>
        <v>447.7916392608833</v>
      </c>
      <c r="BR18">
        <f t="shared" si="15"/>
        <v>1204.4208567062881</v>
      </c>
      <c r="BS18">
        <f t="shared" si="16"/>
        <v>825.249316983168</v>
      </c>
      <c r="BT18">
        <f t="shared" si="17"/>
        <v>684.61204105345928</v>
      </c>
    </row>
    <row r="19" spans="1:72" x14ac:dyDescent="0.2">
      <c r="A19" t="s">
        <v>15</v>
      </c>
      <c r="B19">
        <v>10</v>
      </c>
      <c r="C19">
        <f>'[1]ABR-Exca'!Z110</f>
        <v>2211.896770071583</v>
      </c>
      <c r="D19">
        <f>'[1]ABR-Exca'!Z111</f>
        <v>1740.0521226861638</v>
      </c>
      <c r="E19">
        <f>'[1]ABR-Exca'!Z112</f>
        <v>1556.1572650109472</v>
      </c>
      <c r="Q19">
        <f>H14-I14</f>
        <v>59.237596954899516</v>
      </c>
      <c r="R19">
        <f t="shared" ref="R19:R20" si="30">H17-I17</f>
        <v>170.98738931025628</v>
      </c>
      <c r="S19">
        <f t="shared" ref="S19:S20" si="31">H29-I29</f>
        <v>91.098460016881859</v>
      </c>
      <c r="T19">
        <f t="shared" ref="T19:T20" si="32">H32-I32</f>
        <v>114.24050064965434</v>
      </c>
      <c r="Z19" t="s">
        <v>17</v>
      </c>
      <c r="AA19">
        <v>10</v>
      </c>
      <c r="AB19">
        <f>G28-$W23</f>
        <v>1796.9475615707979</v>
      </c>
      <c r="AC19">
        <f t="shared" ref="AC19:AD19" si="33">H28-$W23</f>
        <v>1082.2970160281163</v>
      </c>
      <c r="AD19">
        <f t="shared" si="33"/>
        <v>799.06066992830461</v>
      </c>
      <c r="AG19">
        <v>100</v>
      </c>
      <c r="AJ19">
        <f>X22</f>
        <v>399.98994026037604</v>
      </c>
      <c r="AK19">
        <f>$AC$17</f>
        <v>679.63306913102383</v>
      </c>
      <c r="AU19">
        <v>100</v>
      </c>
      <c r="AX19">
        <f>AL22</f>
        <v>0</v>
      </c>
      <c r="AY19">
        <f>$AC$17</f>
        <v>679.63306913102383</v>
      </c>
      <c r="BG19">
        <v>100</v>
      </c>
      <c r="BH19">
        <v>46005.137346654024</v>
      </c>
      <c r="BI19">
        <v>107962.30093913998</v>
      </c>
      <c r="BJ19">
        <v>10697.504769015675</v>
      </c>
      <c r="BK19">
        <v>67931.93985792571</v>
      </c>
      <c r="BL19">
        <v>50599.927129150536</v>
      </c>
      <c r="BM19">
        <f t="shared" si="11"/>
        <v>78629.444626941389</v>
      </c>
      <c r="BN19">
        <f t="shared" si="12"/>
        <v>61297.431898166207</v>
      </c>
      <c r="BO19">
        <f t="shared" si="13"/>
        <v>-17332.012728775182</v>
      </c>
      <c r="BP19">
        <v>100</v>
      </c>
      <c r="BQ19">
        <f t="shared" si="14"/>
        <v>460.05137346654027</v>
      </c>
      <c r="BR19">
        <f t="shared" si="15"/>
        <v>1079.6230093913998</v>
      </c>
      <c r="BS19">
        <f t="shared" si="16"/>
        <v>786.29444626941392</v>
      </c>
      <c r="BT19">
        <f t="shared" si="17"/>
        <v>612.97431898166212</v>
      </c>
    </row>
    <row r="20" spans="1:72" x14ac:dyDescent="0.2">
      <c r="A20" t="s">
        <v>15</v>
      </c>
      <c r="B20">
        <v>100</v>
      </c>
      <c r="C20">
        <f>'[1]ABR-Exca'!CC110</f>
        <v>14978.686635600639</v>
      </c>
      <c r="D20">
        <f>'[1]ABR-Exca'!CC111</f>
        <v>10697.504769015675</v>
      </c>
      <c r="E20">
        <f>'[1]ABR-Exca'!CC112</f>
        <v>9028.9739625312359</v>
      </c>
      <c r="M20">
        <f>M13-L13</f>
        <v>2069.8489900741024</v>
      </c>
      <c r="N20">
        <f>N13-L13</f>
        <v>557.08040311969239</v>
      </c>
      <c r="O20">
        <f>O13-L13</f>
        <v>653.64227858512072</v>
      </c>
      <c r="Q20">
        <f>H15-I15</f>
        <v>56.89715198225548</v>
      </c>
      <c r="R20">
        <f t="shared" si="30"/>
        <v>87.581166933034297</v>
      </c>
      <c r="S20">
        <f t="shared" si="31"/>
        <v>61.438364505767254</v>
      </c>
      <c r="T20">
        <f t="shared" si="32"/>
        <v>69.006836515367695</v>
      </c>
      <c r="W20">
        <v>10</v>
      </c>
      <c r="X20">
        <v>100</v>
      </c>
      <c r="Y20">
        <v>1000</v>
      </c>
      <c r="AA20">
        <v>100</v>
      </c>
      <c r="AB20">
        <f>G29-$X23</f>
        <v>552.32616238811829</v>
      </c>
      <c r="AC20">
        <f t="shared" ref="AC20:AD20" si="34">H29-$X23</f>
        <v>319.79099563357801</v>
      </c>
      <c r="AD20">
        <f t="shared" si="34"/>
        <v>228.69253561669615</v>
      </c>
      <c r="AJ20">
        <f>X23</f>
        <v>466.50345063583592</v>
      </c>
      <c r="AK20">
        <f>$AC$20</f>
        <v>319.79099563357801</v>
      </c>
      <c r="AX20">
        <f>AL23</f>
        <v>212.41626345671429</v>
      </c>
      <c r="AY20">
        <f>$AC$20</f>
        <v>319.79099563357801</v>
      </c>
      <c r="BG20">
        <v>150</v>
      </c>
      <c r="BH20">
        <v>62581.591582125344</v>
      </c>
      <c r="BI20">
        <v>131173.77118116349</v>
      </c>
      <c r="BJ20">
        <v>8402.9196783041771</v>
      </c>
      <c r="BK20">
        <v>116685.51853857219</v>
      </c>
      <c r="BL20">
        <v>63871.612307302712</v>
      </c>
      <c r="BM20">
        <f t="shared" si="11"/>
        <v>125088.43821687635</v>
      </c>
      <c r="BN20">
        <f t="shared" si="12"/>
        <v>72274.531985606882</v>
      </c>
      <c r="BO20">
        <f t="shared" si="13"/>
        <v>-52813.906231269473</v>
      </c>
      <c r="BP20">
        <v>150</v>
      </c>
      <c r="BQ20">
        <f t="shared" si="14"/>
        <v>417.21061054750231</v>
      </c>
      <c r="BR20">
        <f t="shared" si="15"/>
        <v>874.49180787442333</v>
      </c>
      <c r="BS20">
        <f t="shared" si="16"/>
        <v>833.92292144584235</v>
      </c>
      <c r="BT20">
        <f t="shared" si="17"/>
        <v>481.83021323737921</v>
      </c>
    </row>
    <row r="21" spans="1:72" x14ac:dyDescent="0.2">
      <c r="A21" t="s">
        <v>15</v>
      </c>
      <c r="B21">
        <v>1000</v>
      </c>
      <c r="C21">
        <f>'[1]ABR-Exca'!FM110</f>
        <v>133096.59870996865</v>
      </c>
      <c r="D21">
        <f>'[1]ABR-Exca'!FM111</f>
        <v>90722.044651388234</v>
      </c>
      <c r="E21">
        <f>'[1]ABR-Exca'!FM112</f>
        <v>74207.154356811559</v>
      </c>
      <c r="M21">
        <f>M14-L14</f>
        <v>619.57163592485983</v>
      </c>
      <c r="N21">
        <f>N14-L14</f>
        <v>326.24307280287394</v>
      </c>
      <c r="O21">
        <f>O14-L14</f>
        <v>152.92294551512214</v>
      </c>
      <c r="V21" t="s">
        <v>8</v>
      </c>
      <c r="W21">
        <f>W12/W11</f>
        <v>314.04199027308442</v>
      </c>
      <c r="X21">
        <f t="shared" ref="X21:Y21" si="35">X12/X11</f>
        <v>224.59640811027322</v>
      </c>
      <c r="Y21">
        <f t="shared" si="35"/>
        <v>212.41626345671429</v>
      </c>
      <c r="AA21">
        <v>1000</v>
      </c>
      <c r="AB21">
        <f>G30-$Y23</f>
        <v>365.85473760306286</v>
      </c>
      <c r="AC21">
        <f t="shared" ref="AC21:AD21" si="36">H30-$Y23</f>
        <v>208.33465320570883</v>
      </c>
      <c r="AD21">
        <f t="shared" si="36"/>
        <v>146.89628869994158</v>
      </c>
      <c r="AJ21">
        <f>X24</f>
        <v>208.94483995262468</v>
      </c>
      <c r="AK21">
        <f>$AC$23</f>
        <v>404.02947902903747</v>
      </c>
      <c r="AX21">
        <f>AL24</f>
        <v>399.98994026037604</v>
      </c>
      <c r="AY21">
        <f>$AC$23</f>
        <v>404.02947902903747</v>
      </c>
      <c r="BG21">
        <v>200</v>
      </c>
      <c r="BH21">
        <v>91449.977601873426</v>
      </c>
      <c r="BI21">
        <v>152793.00393227796</v>
      </c>
      <c r="BJ21">
        <v>19891.606607006997</v>
      </c>
      <c r="BK21">
        <v>151365.40619632418</v>
      </c>
      <c r="BL21">
        <v>82244.821955361025</v>
      </c>
      <c r="BM21">
        <f t="shared" si="11"/>
        <v>171257.01280333119</v>
      </c>
      <c r="BN21">
        <f t="shared" si="12"/>
        <v>102136.42856236802</v>
      </c>
      <c r="BO21">
        <f t="shared" si="13"/>
        <v>-69120.584240963173</v>
      </c>
      <c r="BP21">
        <v>200</v>
      </c>
      <c r="BQ21">
        <f t="shared" si="14"/>
        <v>457.24988800936711</v>
      </c>
      <c r="BR21">
        <f t="shared" si="15"/>
        <v>763.96501966138976</v>
      </c>
      <c r="BS21">
        <f t="shared" si="16"/>
        <v>856.28506401665595</v>
      </c>
      <c r="BT21">
        <f t="shared" si="17"/>
        <v>510.68214281184009</v>
      </c>
    </row>
    <row r="22" spans="1:72" x14ac:dyDescent="0.2">
      <c r="A22" t="s">
        <v>14</v>
      </c>
      <c r="B22">
        <v>10</v>
      </c>
      <c r="C22">
        <f>[1]VF!U228</f>
        <v>21433.024646454018</v>
      </c>
      <c r="D22">
        <f>[1]VF!U229</f>
        <v>14758.363838412624</v>
      </c>
      <c r="E22">
        <f>[1]VF!U230</f>
        <v>12109.895235089723</v>
      </c>
      <c r="M22">
        <f>M15-L15</f>
        <v>309.53546775608612</v>
      </c>
      <c r="N22">
        <f>N15-L15</f>
        <v>236.51916380659628</v>
      </c>
      <c r="O22">
        <f>O15-L15</f>
        <v>-65.734442971379508</v>
      </c>
      <c r="Q22">
        <f t="shared" ref="Q22:T24" si="37">(Q13/L13)</f>
        <v>0.44976047871724811</v>
      </c>
      <c r="R22">
        <f t="shared" si="37"/>
        <v>0.50017141120359243</v>
      </c>
      <c r="S22">
        <f t="shared" si="37"/>
        <v>0.43316312743462082</v>
      </c>
      <c r="T22">
        <f t="shared" si="37"/>
        <v>0.53799134582677632</v>
      </c>
      <c r="V22" t="s">
        <v>13</v>
      </c>
      <c r="W22">
        <f>W13/W11</f>
        <v>656.27667841985658</v>
      </c>
      <c r="X22">
        <f t="shared" ref="X22" si="38">X13/X11</f>
        <v>399.98994026037604</v>
      </c>
      <c r="Y22">
        <f>Y13/Y11</f>
        <v>399.98994026037604</v>
      </c>
      <c r="Z22" t="s">
        <v>18</v>
      </c>
      <c r="AA22">
        <v>10</v>
      </c>
      <c r="AB22">
        <f>G31-$W$24</f>
        <v>2350.5329846537379</v>
      </c>
      <c r="AC22">
        <f t="shared" ref="AC22:AD22" si="39">H31-$W$24</f>
        <v>1410.9830306243839</v>
      </c>
      <c r="AD22">
        <f t="shared" si="39"/>
        <v>1039.0033739962021</v>
      </c>
      <c r="BG22">
        <v>300</v>
      </c>
      <c r="BH22">
        <v>136222.52338028303</v>
      </c>
      <c r="BI22">
        <v>216524.82518928716</v>
      </c>
      <c r="BJ22">
        <v>29032.598390900377</v>
      </c>
      <c r="BK22">
        <v>222846.76456855229</v>
      </c>
      <c r="BL22">
        <v>115449.60551538374</v>
      </c>
      <c r="BM22">
        <f t="shared" si="11"/>
        <v>251879.36295945267</v>
      </c>
      <c r="BN22">
        <f t="shared" si="12"/>
        <v>144482.20390628412</v>
      </c>
      <c r="BO22">
        <f t="shared" si="13"/>
        <v>-107397.15905316855</v>
      </c>
      <c r="BP22">
        <v>300</v>
      </c>
      <c r="BQ22">
        <f t="shared" si="14"/>
        <v>454.07507793427681</v>
      </c>
      <c r="BR22">
        <f t="shared" si="15"/>
        <v>721.74941729762384</v>
      </c>
      <c r="BS22">
        <f t="shared" si="16"/>
        <v>839.59787653150886</v>
      </c>
      <c r="BT22">
        <f t="shared" si="17"/>
        <v>481.60734635428042</v>
      </c>
    </row>
    <row r="23" spans="1:72" x14ac:dyDescent="0.2">
      <c r="A23" t="s">
        <v>14</v>
      </c>
      <c r="B23">
        <v>100</v>
      </c>
      <c r="C23">
        <f>[1]VF!BX228</f>
        <v>86904.274666794779</v>
      </c>
      <c r="D23">
        <f>[1]VF!BX229</f>
        <v>67931.93985792571</v>
      </c>
      <c r="E23">
        <f>[1]VF!BX230</f>
        <v>60490.624662721966</v>
      </c>
      <c r="Q23">
        <f t="shared" si="37"/>
        <v>0.32301834798139373</v>
      </c>
      <c r="R23">
        <f t="shared" si="37"/>
        <v>0.3973086682392899</v>
      </c>
      <c r="S23">
        <f t="shared" si="37"/>
        <v>0.2957354816097289</v>
      </c>
      <c r="T23">
        <f t="shared" si="37"/>
        <v>0.47526112178173446</v>
      </c>
      <c r="V23" t="s">
        <v>17</v>
      </c>
      <c r="W23">
        <f>W17/W11</f>
        <v>567.54458008176243</v>
      </c>
      <c r="X23">
        <f t="shared" ref="X23:Y23" si="40">X17/X11</f>
        <v>466.50345063583592</v>
      </c>
      <c r="Y23">
        <f t="shared" si="40"/>
        <v>466.75304284480137</v>
      </c>
      <c r="AA23">
        <v>100</v>
      </c>
      <c r="AB23">
        <f>G32-$X$24</f>
        <v>695.35234149165694</v>
      </c>
      <c r="AC23">
        <f t="shared" ref="AC23:AD23" si="41">H32-$X$24</f>
        <v>404.02947902903747</v>
      </c>
      <c r="AD23">
        <f t="shared" si="41"/>
        <v>289.78897837938314</v>
      </c>
      <c r="AL23">
        <f>Y21</f>
        <v>212.41626345671429</v>
      </c>
      <c r="AM23">
        <f>$AC$15</f>
        <v>226.15226878719963</v>
      </c>
      <c r="AP23" t="str">
        <f t="shared" ref="AP23:AS26" si="42">Q17</f>
        <v>STS</v>
      </c>
      <c r="AQ23" t="str">
        <f t="shared" si="42"/>
        <v>SAF</v>
      </c>
      <c r="AR23" t="str">
        <f t="shared" si="42"/>
        <v>EST-VF</v>
      </c>
      <c r="AS23" t="str">
        <f t="shared" si="42"/>
        <v>EST-AHF</v>
      </c>
      <c r="AZ23">
        <f>AM21</f>
        <v>0</v>
      </c>
      <c r="BA23">
        <f>$AC$15</f>
        <v>226.15226878719963</v>
      </c>
      <c r="BG23">
        <v>400</v>
      </c>
      <c r="BH23">
        <v>177012.80042863701</v>
      </c>
      <c r="BI23">
        <v>307583.94333465089</v>
      </c>
      <c r="BJ23">
        <v>37681.198963301984</v>
      </c>
      <c r="BK23">
        <v>294328.12294078036</v>
      </c>
      <c r="BL23">
        <v>152729.29501321726</v>
      </c>
      <c r="BM23">
        <f t="shared" si="11"/>
        <v>332009.32190408232</v>
      </c>
      <c r="BN23">
        <f t="shared" si="12"/>
        <v>190410.49397651924</v>
      </c>
      <c r="BO23">
        <f t="shared" si="13"/>
        <v>-141598.82792756308</v>
      </c>
      <c r="BP23">
        <v>400</v>
      </c>
      <c r="BQ23">
        <f t="shared" si="14"/>
        <v>442.5320010715925</v>
      </c>
      <c r="BR23">
        <f t="shared" si="15"/>
        <v>768.95985833662724</v>
      </c>
      <c r="BS23">
        <f t="shared" si="16"/>
        <v>830.02330476020575</v>
      </c>
      <c r="BT23">
        <f t="shared" si="17"/>
        <v>476.02623494129807</v>
      </c>
    </row>
    <row r="24" spans="1:72" x14ac:dyDescent="0.2">
      <c r="A24" t="s">
        <v>14</v>
      </c>
      <c r="B24">
        <v>1000</v>
      </c>
      <c r="C24">
        <f>[1]VF!FI228</f>
        <v>699511.18173789559</v>
      </c>
      <c r="D24">
        <f>[1]VF!FI229</f>
        <v>584365.65139912197</v>
      </c>
      <c r="E24">
        <f>[1]VF!FI230</f>
        <v>539442.17718793137</v>
      </c>
      <c r="Q24">
        <f t="shared" si="37"/>
        <v>0.3254536536912726</v>
      </c>
      <c r="R24">
        <f t="shared" si="37"/>
        <v>0.29368708004722405</v>
      </c>
      <c r="S24">
        <f t="shared" si="37"/>
        <v>0.23333277338470162</v>
      </c>
      <c r="T24">
        <f t="shared" si="37"/>
        <v>0.47393910962039482</v>
      </c>
      <c r="V24" t="s">
        <v>18</v>
      </c>
      <c r="W24">
        <f>W18/W11</f>
        <v>335.42044095092314</v>
      </c>
      <c r="X24">
        <f t="shared" ref="X24:Y24" si="43">X18/X11</f>
        <v>208.94483995262468</v>
      </c>
      <c r="Y24">
        <f t="shared" si="43"/>
        <v>145.65375480154921</v>
      </c>
      <c r="AA24">
        <v>1000</v>
      </c>
      <c r="AB24">
        <f>G33-$Y$24</f>
        <v>413.06698557355514</v>
      </c>
      <c r="AC24">
        <f t="shared" ref="AC24:AD24" si="44">H33-$Y$24</f>
        <v>236.36632926759938</v>
      </c>
      <c r="AD24">
        <f t="shared" si="44"/>
        <v>167.35949275223169</v>
      </c>
      <c r="AG24">
        <v>1000</v>
      </c>
      <c r="AL24">
        <f>Y22</f>
        <v>399.98994026037604</v>
      </c>
      <c r="AM24">
        <f>$AC$18</f>
        <v>348.1137265203227</v>
      </c>
      <c r="AP24">
        <f t="shared" si="42"/>
        <v>195.91625176304012</v>
      </c>
      <c r="AQ24">
        <f t="shared" si="42"/>
        <v>630.56293486119012</v>
      </c>
      <c r="AR24">
        <f t="shared" si="42"/>
        <v>283.23634609981173</v>
      </c>
      <c r="AS24">
        <f t="shared" si="42"/>
        <v>371.97965662818183</v>
      </c>
      <c r="AU24">
        <v>1000</v>
      </c>
      <c r="AZ24">
        <f>AM22</f>
        <v>0</v>
      </c>
      <c r="BA24">
        <f>$AC$18</f>
        <v>348.1137265203227</v>
      </c>
      <c r="BG24">
        <v>500</v>
      </c>
      <c r="BH24">
        <v>227509.42042771576</v>
      </c>
      <c r="BI24">
        <v>365377.00462050055</v>
      </c>
      <c r="BJ24">
        <v>46777.130193336525</v>
      </c>
      <c r="BK24">
        <v>362303.78499110963</v>
      </c>
      <c r="BL24">
        <v>183303.02202537656</v>
      </c>
      <c r="BM24">
        <f t="shared" si="11"/>
        <v>409080.91518444614</v>
      </c>
      <c r="BN24">
        <f t="shared" si="12"/>
        <v>230080.15221871308</v>
      </c>
      <c r="BO24">
        <f t="shared" si="13"/>
        <v>-179000.76296573307</v>
      </c>
      <c r="BP24">
        <v>500</v>
      </c>
      <c r="BQ24">
        <f t="shared" si="14"/>
        <v>455.01884085543151</v>
      </c>
      <c r="BR24">
        <f t="shared" si="15"/>
        <v>730.75400924100109</v>
      </c>
      <c r="BS24">
        <f t="shared" si="16"/>
        <v>818.16183036889231</v>
      </c>
      <c r="BT24">
        <f t="shared" si="17"/>
        <v>460.16030443742613</v>
      </c>
    </row>
    <row r="25" spans="1:72" x14ac:dyDescent="0.2">
      <c r="A25" t="s">
        <v>16</v>
      </c>
      <c r="B25">
        <v>10</v>
      </c>
      <c r="C25">
        <f>[1]AHF!W249</f>
        <v>24647.637485975025</v>
      </c>
      <c r="D25">
        <f>[1]AHF!W250</f>
        <v>15723.982593066907</v>
      </c>
      <c r="E25">
        <f>[1]AHF!W251</f>
        <v>12188.080884460307</v>
      </c>
      <c r="L25">
        <f>(N15-L15)/L15</f>
        <v>0.53929807183488021</v>
      </c>
      <c r="M25">
        <f>(M15-L15)/L15</f>
        <v>0.70578585785068393</v>
      </c>
      <c r="AL25">
        <f>Y23</f>
        <v>466.75304284480137</v>
      </c>
      <c r="AM25">
        <f>$AC$21</f>
        <v>208.33465320570883</v>
      </c>
      <c r="AP25">
        <f t="shared" si="42"/>
        <v>59.237596954899516</v>
      </c>
      <c r="AQ25">
        <f t="shared" si="42"/>
        <v>170.98738931025628</v>
      </c>
      <c r="AR25">
        <f t="shared" si="42"/>
        <v>91.098460016881859</v>
      </c>
      <c r="AS25">
        <f t="shared" si="42"/>
        <v>114.24050064965434</v>
      </c>
      <c r="AZ25">
        <f>AM23</f>
        <v>226.15226878719963</v>
      </c>
      <c r="BA25">
        <f>$AC$21</f>
        <v>208.33465320570883</v>
      </c>
      <c r="BG25">
        <v>600</v>
      </c>
      <c r="BH25">
        <v>269508.87627988571</v>
      </c>
      <c r="BI25">
        <v>434481.54936722957</v>
      </c>
      <c r="BJ25">
        <v>55395.682360793275</v>
      </c>
      <c r="BK25">
        <v>436401.77969968028</v>
      </c>
      <c r="BL25">
        <v>212920.25220164689</v>
      </c>
      <c r="BM25">
        <f t="shared" si="11"/>
        <v>491797.46206047357</v>
      </c>
      <c r="BN25">
        <f t="shared" si="12"/>
        <v>268315.93456244015</v>
      </c>
      <c r="BO25">
        <f t="shared" si="13"/>
        <v>-223481.52749803342</v>
      </c>
      <c r="BP25">
        <v>600</v>
      </c>
      <c r="BQ25">
        <f t="shared" si="14"/>
        <v>449.18146046647615</v>
      </c>
      <c r="BR25">
        <f t="shared" si="15"/>
        <v>724.1359156120493</v>
      </c>
      <c r="BS25">
        <f t="shared" si="16"/>
        <v>819.66243676745592</v>
      </c>
      <c r="BT25">
        <f t="shared" si="17"/>
        <v>447.19322427073359</v>
      </c>
    </row>
    <row r="26" spans="1:72" x14ac:dyDescent="0.2">
      <c r="A26" t="s">
        <v>16</v>
      </c>
      <c r="B26">
        <v>100</v>
      </c>
      <c r="C26">
        <f>[1]AHF!BZ249</f>
        <v>75451.031508827524</v>
      </c>
      <c r="D26">
        <f>[1]AHF!BZ250</f>
        <v>50599.927129150536</v>
      </c>
      <c r="E26">
        <f>[1]AHF!BZ251</f>
        <v>40844.407870669544</v>
      </c>
      <c r="Q26">
        <f t="shared" ref="Q26:T28" si="45">Q18/L13</f>
        <v>0.17928551363261996</v>
      </c>
      <c r="R26">
        <f t="shared" si="45"/>
        <v>0.19938054276743983</v>
      </c>
      <c r="S26">
        <f t="shared" si="45"/>
        <v>0.17167487276817836</v>
      </c>
      <c r="T26">
        <f t="shared" si="45"/>
        <v>0.21299754763579648</v>
      </c>
      <c r="AL26">
        <f>Y24</f>
        <v>145.65375480154921</v>
      </c>
      <c r="AM26">
        <f>$AC$24</f>
        <v>236.36632926759938</v>
      </c>
      <c r="AP26">
        <f t="shared" si="42"/>
        <v>56.89715198225548</v>
      </c>
      <c r="AQ26">
        <f t="shared" si="42"/>
        <v>87.581166933034297</v>
      </c>
      <c r="AR26">
        <f t="shared" si="42"/>
        <v>61.438364505767254</v>
      </c>
      <c r="AS26">
        <f t="shared" si="42"/>
        <v>69.006836515367695</v>
      </c>
      <c r="AZ26">
        <f>AM24</f>
        <v>348.1137265203227</v>
      </c>
      <c r="BA26">
        <f>$AC$24</f>
        <v>236.36632926759938</v>
      </c>
      <c r="BG26">
        <v>800</v>
      </c>
      <c r="BH26">
        <v>351361.81109931401</v>
      </c>
      <c r="BI26">
        <v>585978.70400725352</v>
      </c>
      <c r="BJ26">
        <v>73071.286500292132</v>
      </c>
      <c r="BK26">
        <v>509490.59889838472</v>
      </c>
      <c r="BL26">
        <v>252269.73293516139</v>
      </c>
      <c r="BM26">
        <f t="shared" si="11"/>
        <v>582561.88539867685</v>
      </c>
      <c r="BN26">
        <f t="shared" si="12"/>
        <v>325341.01943545352</v>
      </c>
      <c r="BO26">
        <f t="shared" si="13"/>
        <v>-257220.86596322333</v>
      </c>
      <c r="BP26">
        <v>800</v>
      </c>
      <c r="BQ26">
        <f t="shared" si="14"/>
        <v>439.20226387414255</v>
      </c>
      <c r="BR26">
        <f t="shared" si="15"/>
        <v>732.47338000906689</v>
      </c>
      <c r="BS26">
        <f t="shared" si="16"/>
        <v>728.20235674834612</v>
      </c>
      <c r="BT26">
        <f t="shared" si="17"/>
        <v>406.6762742943169</v>
      </c>
    </row>
    <row r="27" spans="1:72" x14ac:dyDescent="0.2">
      <c r="A27" t="s">
        <v>16</v>
      </c>
      <c r="B27">
        <v>1000</v>
      </c>
      <c r="C27">
        <f>[1]AHF!FJ249</f>
        <v>425624.14166513574</v>
      </c>
      <c r="D27">
        <f>[1]AHF!FJ250</f>
        <v>291298.03941776033</v>
      </c>
      <c r="E27">
        <f>[1]AHF!FJ251</f>
        <v>238806.09319696933</v>
      </c>
      <c r="Q27">
        <f t="shared" si="45"/>
        <v>0.12876300424567241</v>
      </c>
      <c r="R27">
        <f t="shared" si="45"/>
        <v>0.15837694067547201</v>
      </c>
      <c r="S27">
        <f t="shared" si="45"/>
        <v>0.11585794666247473</v>
      </c>
      <c r="T27">
        <f t="shared" si="45"/>
        <v>0.18637077788094411</v>
      </c>
      <c r="BG27">
        <v>1000</v>
      </c>
      <c r="BH27">
        <v>438568.53224391391</v>
      </c>
      <c r="BI27">
        <v>716136.77704212465</v>
      </c>
      <c r="BJ27">
        <v>90722.044651388234</v>
      </c>
      <c r="BK27">
        <v>584365.65139912197</v>
      </c>
      <c r="BL27">
        <v>282112.04462114617</v>
      </c>
      <c r="BM27">
        <f t="shared" si="11"/>
        <v>675087.69605051016</v>
      </c>
      <c r="BN27">
        <f t="shared" si="12"/>
        <v>372834.08927253442</v>
      </c>
      <c r="BO27">
        <f t="shared" si="13"/>
        <v>-302253.60677797574</v>
      </c>
      <c r="BP27">
        <v>1000</v>
      </c>
      <c r="BQ27">
        <f t="shared" si="14"/>
        <v>438.56853224391392</v>
      </c>
      <c r="BR27">
        <f t="shared" si="15"/>
        <v>716.13677704212466</v>
      </c>
      <c r="BS27">
        <f t="shared" si="16"/>
        <v>675.0876960505102</v>
      </c>
      <c r="BT27">
        <f t="shared" si="17"/>
        <v>372.83408927253441</v>
      </c>
    </row>
    <row r="28" spans="1:72" x14ac:dyDescent="0.2">
      <c r="A28" t="s">
        <v>17</v>
      </c>
      <c r="B28">
        <v>10</v>
      </c>
      <c r="C28">
        <f>C19+C22</f>
        <v>23644.921416525602</v>
      </c>
      <c r="D28">
        <f t="shared" ref="D28:E28" si="46">D19+D22</f>
        <v>16498.415961098788</v>
      </c>
      <c r="E28">
        <f t="shared" si="46"/>
        <v>13666.05250010067</v>
      </c>
      <c r="G28">
        <f t="shared" ref="G28:G33" si="47">C28/$B28</f>
        <v>2364.4921416525603</v>
      </c>
      <c r="H28">
        <f t="shared" ref="H28:H33" si="48">D28/$B28</f>
        <v>1649.8415961098788</v>
      </c>
      <c r="I28">
        <f t="shared" ref="I28:I33" si="49">E28/$B28</f>
        <v>1366.605250010067</v>
      </c>
      <c r="Q28">
        <f t="shared" si="45"/>
        <v>0.1297337765916402</v>
      </c>
      <c r="R28">
        <f t="shared" si="45"/>
        <v>0.11707084433853354</v>
      </c>
      <c r="S28">
        <f t="shared" si="45"/>
        <v>9.1007975504815639E-2</v>
      </c>
      <c r="T28">
        <f t="shared" si="45"/>
        <v>0.18508725060525527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148.60503464373295</v>
      </c>
      <c r="AQ28">
        <v>428.94358006179141</v>
      </c>
      <c r="AR28">
        <v>232.53516675454023</v>
      </c>
      <c r="AS28">
        <v>291.32286246261947</v>
      </c>
    </row>
    <row r="29" spans="1:72" x14ac:dyDescent="0.2">
      <c r="A29" t="s">
        <v>17</v>
      </c>
      <c r="B29">
        <v>100</v>
      </c>
      <c r="C29">
        <f t="shared" ref="C29:E29" si="50">C20+C23</f>
        <v>101882.96130239542</v>
      </c>
      <c r="D29">
        <f t="shared" si="50"/>
        <v>78629.444626941389</v>
      </c>
      <c r="E29">
        <f t="shared" si="50"/>
        <v>69519.598625253202</v>
      </c>
      <c r="G29">
        <f t="shared" si="47"/>
        <v>1018.8296130239542</v>
      </c>
      <c r="H29">
        <f t="shared" si="48"/>
        <v>786.29444626941392</v>
      </c>
      <c r="I29">
        <f t="shared" si="49"/>
        <v>695.19598625253207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142.73373121280048</v>
      </c>
      <c r="AQ29">
        <v>127.99431097709692</v>
      </c>
      <c r="AR29">
        <v>157.52008439735403</v>
      </c>
      <c r="AS29">
        <v>170.90300802564678</v>
      </c>
    </row>
    <row r="30" spans="1:72" x14ac:dyDescent="0.2">
      <c r="A30" t="s">
        <v>17</v>
      </c>
      <c r="B30">
        <v>1000</v>
      </c>
      <c r="C30">
        <f t="shared" ref="C30:E30" si="51">C21+C24</f>
        <v>832607.78044786421</v>
      </c>
      <c r="D30">
        <f t="shared" si="51"/>
        <v>675087.69605051016</v>
      </c>
      <c r="E30">
        <f t="shared" si="51"/>
        <v>613649.33154474292</v>
      </c>
      <c r="G30">
        <f t="shared" si="47"/>
        <v>832.60778044786423</v>
      </c>
      <c r="H30">
        <f t="shared" si="48"/>
        <v>675.0876960505102</v>
      </c>
      <c r="I30">
        <f t="shared" si="49"/>
        <v>613.64933154474295</v>
      </c>
    </row>
    <row r="31" spans="1:72" x14ac:dyDescent="0.2">
      <c r="A31" t="s">
        <v>18</v>
      </c>
      <c r="B31">
        <v>10</v>
      </c>
      <c r="C31">
        <f>C19+C25</f>
        <v>26859.534256046609</v>
      </c>
      <c r="D31">
        <f t="shared" ref="D31:E31" si="52">D19+D25</f>
        <v>17464.03471575307</v>
      </c>
      <c r="E31">
        <f t="shared" si="52"/>
        <v>13744.238149471254</v>
      </c>
      <c r="G31">
        <f t="shared" si="47"/>
        <v>2685.9534256046609</v>
      </c>
      <c r="H31">
        <f t="shared" si="48"/>
        <v>1746.4034715753071</v>
      </c>
      <c r="I31">
        <f t="shared" si="49"/>
        <v>1374.4238149471253</v>
      </c>
    </row>
    <row r="32" spans="1:72" x14ac:dyDescent="0.2">
      <c r="A32" t="s">
        <v>18</v>
      </c>
      <c r="B32">
        <v>100</v>
      </c>
      <c r="C32">
        <f t="shared" ref="C32:E32" si="53">C20+C26</f>
        <v>90429.71814442816</v>
      </c>
      <c r="D32">
        <f t="shared" si="53"/>
        <v>61297.431898166207</v>
      </c>
      <c r="E32">
        <f t="shared" si="53"/>
        <v>49873.38183320078</v>
      </c>
      <c r="G32">
        <f t="shared" si="47"/>
        <v>904.29718144428159</v>
      </c>
      <c r="H32">
        <f t="shared" si="48"/>
        <v>612.97431898166212</v>
      </c>
      <c r="I32">
        <f t="shared" si="49"/>
        <v>498.73381833200779</v>
      </c>
    </row>
    <row r="33" spans="1:12" x14ac:dyDescent="0.2">
      <c r="A33" t="s">
        <v>18</v>
      </c>
      <c r="B33">
        <v>1000</v>
      </c>
      <c r="C33">
        <f t="shared" ref="C33:E33" si="54">C21+C27</f>
        <v>558720.74037510436</v>
      </c>
      <c r="D33">
        <f t="shared" si="54"/>
        <v>382020.08406914858</v>
      </c>
      <c r="E33">
        <f t="shared" si="54"/>
        <v>313013.24755378091</v>
      </c>
      <c r="G33">
        <f t="shared" si="47"/>
        <v>558.72074037510436</v>
      </c>
      <c r="H33">
        <f t="shared" si="48"/>
        <v>382.0200840691486</v>
      </c>
      <c r="I33">
        <f t="shared" si="49"/>
        <v>313.0132475537809</v>
      </c>
    </row>
    <row r="34" spans="1:12" ht="15" thickBot="1" x14ac:dyDescent="0.25"/>
    <row r="35" spans="1:12" s="3" customFormat="1" ht="15" thickBot="1" x14ac:dyDescent="0.25">
      <c r="A35" s="2" t="s">
        <v>19</v>
      </c>
    </row>
    <row r="37" spans="1:12" x14ac:dyDescent="0.2">
      <c r="B37" t="s">
        <v>20</v>
      </c>
      <c r="G37" t="s">
        <v>21</v>
      </c>
      <c r="L37" t="s">
        <v>22</v>
      </c>
    </row>
    <row r="38" spans="1:12" x14ac:dyDescent="0.2">
      <c r="C38" t="s">
        <v>11</v>
      </c>
      <c r="H38">
        <v>10</v>
      </c>
      <c r="I38">
        <v>100</v>
      </c>
      <c r="J38">
        <v>1000</v>
      </c>
    </row>
    <row r="39" spans="1:12" x14ac:dyDescent="0.2">
      <c r="C39">
        <v>10</v>
      </c>
      <c r="D39">
        <v>100</v>
      </c>
      <c r="E39">
        <v>1000</v>
      </c>
      <c r="G39" t="s">
        <v>8</v>
      </c>
      <c r="H39">
        <f>C40/C39</f>
        <v>73.97999999999999</v>
      </c>
      <c r="I39">
        <f>D40/D39</f>
        <v>408</v>
      </c>
      <c r="J39">
        <f>E40/E39</f>
        <v>318</v>
      </c>
    </row>
    <row r="40" spans="1:12" x14ac:dyDescent="0.2">
      <c r="B40" t="s">
        <v>8</v>
      </c>
      <c r="C40">
        <v>739.8</v>
      </c>
      <c r="D40">
        <f>[2]STS!$BI$26</f>
        <v>40800</v>
      </c>
      <c r="E40">
        <f>[2]STS!$FE$40</f>
        <v>318000</v>
      </c>
      <c r="G40" t="s">
        <v>13</v>
      </c>
      <c r="H40">
        <f>C46/C39</f>
        <v>579</v>
      </c>
      <c r="I40">
        <f>D46/D39</f>
        <v>689</v>
      </c>
      <c r="J40">
        <f>E46/E39</f>
        <v>689</v>
      </c>
    </row>
    <row r="41" spans="1:12" x14ac:dyDescent="0.2">
      <c r="B41" t="s">
        <v>13</v>
      </c>
      <c r="C41">
        <v>5790</v>
      </c>
      <c r="D41">
        <v>68900</v>
      </c>
      <c r="E41">
        <f>D41*10</f>
        <v>689000</v>
      </c>
      <c r="G41" t="s">
        <v>17</v>
      </c>
      <c r="H41">
        <f>C47/C39</f>
        <v>362.8807526374689</v>
      </c>
      <c r="I41">
        <f t="shared" ref="I41:J41" si="55">D47/D39</f>
        <v>250.29464772641848</v>
      </c>
      <c r="J41">
        <f t="shared" si="55"/>
        <v>301.5638285688625</v>
      </c>
    </row>
    <row r="42" spans="1:12" x14ac:dyDescent="0.2">
      <c r="G42" t="s">
        <v>18</v>
      </c>
      <c r="H42">
        <f>C48/C39</f>
        <v>219.36075263746889</v>
      </c>
      <c r="I42">
        <f t="shared" ref="I42:J42" si="56">D48/D39</f>
        <v>103.40064772641847</v>
      </c>
      <c r="J42">
        <f t="shared" si="56"/>
        <v>58.45282856886255</v>
      </c>
    </row>
    <row r="43" spans="1:12" x14ac:dyDescent="0.2">
      <c r="B43" t="s">
        <v>15</v>
      </c>
      <c r="C43">
        <f>'[2]21-O'!$J$8</f>
        <v>1080.407526374689</v>
      </c>
      <c r="D43">
        <f>'[2]21-O'!$U$8</f>
        <v>3779.464772641847</v>
      </c>
      <c r="E43">
        <f>'[2]21-O'!$AF$8</f>
        <v>19023.828568862544</v>
      </c>
    </row>
    <row r="44" spans="1:12" x14ac:dyDescent="0.2">
      <c r="B44" t="s">
        <v>14</v>
      </c>
      <c r="C44">
        <f>'[2]21-O'!$J$12</f>
        <v>2548.4</v>
      </c>
      <c r="D44">
        <f>'[2]21-O'!$U$12</f>
        <v>21250</v>
      </c>
      <c r="E44">
        <f>'[2]21-O'!$AF$12</f>
        <v>282540</v>
      </c>
    </row>
    <row r="45" spans="1:12" x14ac:dyDescent="0.2">
      <c r="B45" t="s">
        <v>16</v>
      </c>
      <c r="C45">
        <f>'[2]21-O'!$J$15</f>
        <v>1113.2</v>
      </c>
      <c r="D45">
        <f>'[2]21-O'!$U$15</f>
        <v>6560.6</v>
      </c>
      <c r="E45">
        <f>'[2]21-O'!$AF$15</f>
        <v>39429</v>
      </c>
    </row>
    <row r="46" spans="1:12" x14ac:dyDescent="0.2">
      <c r="B46" t="s">
        <v>13</v>
      </c>
      <c r="C46">
        <f>C41</f>
        <v>5790</v>
      </c>
      <c r="D46">
        <f>D41</f>
        <v>68900</v>
      </c>
      <c r="E46">
        <f>E41</f>
        <v>689000</v>
      </c>
    </row>
    <row r="47" spans="1:12" x14ac:dyDescent="0.2">
      <c r="B47" t="s">
        <v>17</v>
      </c>
      <c r="C47">
        <f>C43+C44</f>
        <v>3628.8075263746891</v>
      </c>
      <c r="D47">
        <f t="shared" ref="D47:E47" si="57">D43+D44</f>
        <v>25029.464772641848</v>
      </c>
      <c r="E47">
        <f t="shared" si="57"/>
        <v>301563.82856886252</v>
      </c>
    </row>
    <row r="48" spans="1:12" x14ac:dyDescent="0.2">
      <c r="B48" t="s">
        <v>18</v>
      </c>
      <c r="C48">
        <f>C43+C45</f>
        <v>2193.6075263746889</v>
      </c>
      <c r="D48">
        <f t="shared" ref="D48:E48" si="58">D43+D45</f>
        <v>10340.064772641847</v>
      </c>
      <c r="E48">
        <f t="shared" si="58"/>
        <v>58452.828568862547</v>
      </c>
    </row>
    <row r="51" spans="2:16" x14ac:dyDescent="0.2">
      <c r="B51" t="s">
        <v>23</v>
      </c>
    </row>
    <row r="52" spans="2:16" x14ac:dyDescent="0.2">
      <c r="C52">
        <v>10</v>
      </c>
      <c r="D52">
        <v>100</v>
      </c>
      <c r="E52">
        <v>1000</v>
      </c>
      <c r="H52">
        <v>10</v>
      </c>
      <c r="I52">
        <v>100</v>
      </c>
      <c r="J52">
        <v>1000</v>
      </c>
      <c r="N52">
        <v>2069.8489900741024</v>
      </c>
      <c r="O52">
        <v>557.08040311969239</v>
      </c>
      <c r="P52">
        <v>653.64227858512072</v>
      </c>
    </row>
    <row r="53" spans="2:16" x14ac:dyDescent="0.2">
      <c r="B53" t="s">
        <v>8</v>
      </c>
      <c r="C53">
        <f>'[2]21-O'!C29</f>
        <v>41868.391185</v>
      </c>
      <c r="D53">
        <f>'[2]21-O'!O29</f>
        <v>388987.50644999999</v>
      </c>
      <c r="E53">
        <f>'[2]21-O'!$Z$29</f>
        <v>3895537.33776</v>
      </c>
      <c r="G53" t="s">
        <v>8</v>
      </c>
      <c r="H53">
        <f>C53/C52</f>
        <v>4186.8391185</v>
      </c>
      <c r="I53">
        <f t="shared" ref="I53:J53" si="59">D53/D52</f>
        <v>3889.8750645</v>
      </c>
      <c r="J53">
        <f t="shared" si="59"/>
        <v>3895.5373377599999</v>
      </c>
    </row>
    <row r="54" spans="2:16" x14ac:dyDescent="0.2">
      <c r="B54" t="s">
        <v>13</v>
      </c>
      <c r="C54">
        <f>'[2]21-O'!D29</f>
        <v>25669.89670815249</v>
      </c>
      <c r="D54">
        <f>'[2]21-O'!P29</f>
        <v>186767.47058387549</v>
      </c>
      <c r="E54">
        <f>'[2]21-O'!$AA$29</f>
        <v>1121917.1433852809</v>
      </c>
      <c r="G54" t="s">
        <v>13</v>
      </c>
      <c r="H54">
        <f>C54/C52</f>
        <v>2566.9896708152492</v>
      </c>
      <c r="I54">
        <f t="shared" ref="I54" si="60">D54/D52</f>
        <v>1867.6747058387548</v>
      </c>
      <c r="J54">
        <f>E54/E52</f>
        <v>1121.917143385281</v>
      </c>
    </row>
    <row r="55" spans="2:16" x14ac:dyDescent="0.2">
      <c r="B55" t="s">
        <v>17</v>
      </c>
      <c r="C55">
        <f>'[2]21-O'!E29</f>
        <v>13776.364972671672</v>
      </c>
      <c r="D55">
        <f>'[2]21-O'!Q29</f>
        <v>39383.875176308662</v>
      </c>
      <c r="E55">
        <f>'[2]21-O'!$AB$29</f>
        <v>298130.1122550224</v>
      </c>
      <c r="G55" t="s">
        <v>17</v>
      </c>
      <c r="H55">
        <f>C55/C52</f>
        <v>1377.6364972671672</v>
      </c>
      <c r="I55">
        <f t="shared" ref="I55" si="61">D55/D52</f>
        <v>393.83875176308663</v>
      </c>
      <c r="J55">
        <f>E55/E52</f>
        <v>298.13011225502237</v>
      </c>
    </row>
    <row r="56" spans="2:16" x14ac:dyDescent="0.2">
      <c r="B56" t="s">
        <v>18</v>
      </c>
      <c r="C56">
        <f>'[2]21-O'!F29</f>
        <v>16483.480851261822</v>
      </c>
      <c r="D56">
        <f>'[2]21-O'!R29</f>
        <v>55459.997181255967</v>
      </c>
      <c r="E56">
        <f>'[2]21-O'!$AC$29</f>
        <v>377508.43777032191</v>
      </c>
      <c r="G56" t="s">
        <v>18</v>
      </c>
      <c r="H56">
        <f>C56/C52</f>
        <v>1648.3480851261822</v>
      </c>
      <c r="I56">
        <f t="shared" ref="I56" si="62">D56/D52</f>
        <v>554.59997181255972</v>
      </c>
      <c r="J56">
        <f>E56/E52</f>
        <v>377.5084377703219</v>
      </c>
    </row>
    <row r="57" spans="2:16" x14ac:dyDescent="0.2">
      <c r="L57">
        <f>H60-H61</f>
        <v>1114.8294476847504</v>
      </c>
      <c r="M57">
        <v>2069.8489900741024</v>
      </c>
      <c r="N57">
        <f>L57/1000</f>
        <v>1.1148294476847505</v>
      </c>
      <c r="O57">
        <f>M57/N57</f>
        <v>1856.6508037374797</v>
      </c>
    </row>
    <row r="58" spans="2:16" x14ac:dyDescent="0.2">
      <c r="G58" t="s">
        <v>24</v>
      </c>
      <c r="L58">
        <f>H60-H63</f>
        <v>2393.1102807363486</v>
      </c>
      <c r="M58">
        <v>557.08040311969239</v>
      </c>
      <c r="N58">
        <f t="shared" ref="N58:N59" si="63">L58/1000</f>
        <v>2.3931102807363485</v>
      </c>
      <c r="O58">
        <f t="shared" ref="O58:O59" si="64">M58/N58</f>
        <v>232.78509461264002</v>
      </c>
    </row>
    <row r="59" spans="2:16" x14ac:dyDescent="0.2">
      <c r="H59">
        <v>10</v>
      </c>
      <c r="I59">
        <v>100</v>
      </c>
      <c r="J59">
        <v>1000</v>
      </c>
      <c r="L59">
        <f>H60-H62</f>
        <v>2520.3018685953634</v>
      </c>
      <c r="M59">
        <v>653.64227858512072</v>
      </c>
      <c r="N59">
        <f t="shared" si="63"/>
        <v>2.5203018685953635</v>
      </c>
      <c r="O59">
        <f t="shared" si="64"/>
        <v>259.3507891772561</v>
      </c>
    </row>
    <row r="60" spans="2:16" x14ac:dyDescent="0.2">
      <c r="E60">
        <f>(H60-H61)/H60</f>
        <v>0.26164674366116264</v>
      </c>
      <c r="G60" t="s">
        <v>8</v>
      </c>
      <c r="H60">
        <f>H39+H53</f>
        <v>4260.8191184999996</v>
      </c>
      <c r="I60">
        <f t="shared" ref="I60:J60" si="65">I39+I53</f>
        <v>4297.8750645</v>
      </c>
      <c r="J60">
        <f t="shared" si="65"/>
        <v>4213.5373377599999</v>
      </c>
    </row>
    <row r="61" spans="2:16" x14ac:dyDescent="0.2">
      <c r="E61">
        <f>(J60-J61)/J60</f>
        <v>0.57021452565363995</v>
      </c>
      <c r="G61" t="s">
        <v>13</v>
      </c>
      <c r="H61">
        <f t="shared" ref="H61:I61" si="66">H40+H54</f>
        <v>3145.9896708152492</v>
      </c>
      <c r="I61">
        <f t="shared" si="66"/>
        <v>2556.6747058387546</v>
      </c>
      <c r="J61">
        <f>J40+J54</f>
        <v>1810.917143385281</v>
      </c>
    </row>
    <row r="62" spans="2:16" x14ac:dyDescent="0.2">
      <c r="G62" t="s">
        <v>17</v>
      </c>
      <c r="H62">
        <f t="shared" ref="H62:J62" si="67">H41+H55</f>
        <v>1740.5172499046362</v>
      </c>
      <c r="I62">
        <f t="shared" si="67"/>
        <v>644.13339948950511</v>
      </c>
      <c r="J62">
        <f t="shared" si="67"/>
        <v>599.69394082388487</v>
      </c>
    </row>
    <row r="63" spans="2:16" x14ac:dyDescent="0.2">
      <c r="G63" t="s">
        <v>18</v>
      </c>
      <c r="H63">
        <f t="shared" ref="H63:J63" si="68">H42+H56</f>
        <v>1867.7088377636512</v>
      </c>
      <c r="I63">
        <f t="shared" si="68"/>
        <v>658.00061953897819</v>
      </c>
      <c r="J63">
        <f t="shared" si="68"/>
        <v>435.96126633918448</v>
      </c>
      <c r="L63">
        <f>J61-J63</f>
        <v>1374.9558770460965</v>
      </c>
    </row>
    <row r="64" spans="2:16" x14ac:dyDescent="0.2">
      <c r="E64">
        <f>4.2*30</f>
        <v>126</v>
      </c>
    </row>
    <row r="66" spans="2:25" x14ac:dyDescent="0.2">
      <c r="H66">
        <v>10</v>
      </c>
      <c r="I66">
        <v>100</v>
      </c>
      <c r="J66">
        <v>1000</v>
      </c>
    </row>
    <row r="67" spans="2:25" x14ac:dyDescent="0.2">
      <c r="G67" t="s">
        <v>8</v>
      </c>
      <c r="H67">
        <v>73.97999999999999</v>
      </c>
      <c r="I67">
        <v>408</v>
      </c>
      <c r="J67">
        <v>318</v>
      </c>
    </row>
    <row r="68" spans="2:25" x14ac:dyDescent="0.2">
      <c r="G68" t="s">
        <v>8</v>
      </c>
      <c r="H68">
        <v>4186.8391185</v>
      </c>
      <c r="I68">
        <v>3889.8750645</v>
      </c>
      <c r="J68">
        <v>3895.5373377599999</v>
      </c>
    </row>
    <row r="69" spans="2:25" x14ac:dyDescent="0.2">
      <c r="G69" t="s">
        <v>13</v>
      </c>
      <c r="H69">
        <v>579</v>
      </c>
      <c r="I69">
        <v>689</v>
      </c>
      <c r="J69">
        <v>396.8</v>
      </c>
      <c r="L69">
        <f>I63-I62</f>
        <v>13.867220049473076</v>
      </c>
      <c r="M69">
        <f>J63-J62</f>
        <v>-163.7326744847004</v>
      </c>
    </row>
    <row r="70" spans="2:25" x14ac:dyDescent="0.2">
      <c r="G70" t="s">
        <v>13</v>
      </c>
      <c r="H70">
        <v>2566.9896708152492</v>
      </c>
      <c r="I70">
        <v>1867.6747058387548</v>
      </c>
      <c r="J70">
        <v>817.621751021313</v>
      </c>
    </row>
    <row r="71" spans="2:25" x14ac:dyDescent="0.2">
      <c r="G71" t="s">
        <v>17</v>
      </c>
      <c r="H71">
        <v>362.8807526374689</v>
      </c>
      <c r="I71">
        <v>250.29464772641848</v>
      </c>
      <c r="J71">
        <v>301.5638285688625</v>
      </c>
      <c r="T71" s="7"/>
      <c r="U71" s="7"/>
      <c r="V71" s="7"/>
      <c r="W71" s="7"/>
      <c r="X71" s="7"/>
      <c r="Y71" s="7"/>
    </row>
    <row r="72" spans="2:25" x14ac:dyDescent="0.2">
      <c r="G72" t="s">
        <v>17</v>
      </c>
      <c r="H72">
        <v>1377.6364972671672</v>
      </c>
      <c r="I72">
        <v>393.83875176308663</v>
      </c>
      <c r="J72">
        <v>298.13011225502237</v>
      </c>
      <c r="T72" s="7"/>
      <c r="U72" s="7"/>
      <c r="V72" s="7"/>
      <c r="W72" s="7"/>
      <c r="X72" s="7"/>
      <c r="Y72" s="7"/>
    </row>
    <row r="73" spans="2:25" x14ac:dyDescent="0.2">
      <c r="G73" t="s">
        <v>18</v>
      </c>
      <c r="H73">
        <v>219.36075263746889</v>
      </c>
      <c r="I73">
        <v>103.40064772641847</v>
      </c>
      <c r="J73">
        <v>58.45282856886255</v>
      </c>
      <c r="T73" s="7"/>
      <c r="U73" s="7"/>
      <c r="V73" s="7"/>
      <c r="W73" s="7"/>
      <c r="X73" s="7"/>
      <c r="Y73" s="7"/>
    </row>
    <row r="74" spans="2:25" x14ac:dyDescent="0.2">
      <c r="G74" t="s">
        <v>18</v>
      </c>
      <c r="H74">
        <v>1648.3480851261822</v>
      </c>
      <c r="I74">
        <v>554.59997181255972</v>
      </c>
      <c r="J74">
        <v>377.5084377703219</v>
      </c>
      <c r="T74" s="7"/>
      <c r="U74" s="7"/>
      <c r="V74" s="7"/>
      <c r="W74" s="7"/>
      <c r="X74" s="7"/>
      <c r="Y74" s="7"/>
    </row>
    <row r="75" spans="2:25" x14ac:dyDescent="0.2">
      <c r="T75" s="7"/>
      <c r="U75" s="7">
        <v>78.768177857359049</v>
      </c>
      <c r="V75" s="7">
        <v>93.915344186673281</v>
      </c>
      <c r="W75" s="7"/>
      <c r="X75" s="7">
        <f>U75/10</f>
        <v>7.8768177857359047</v>
      </c>
      <c r="Y75" s="7">
        <f>V75/10</f>
        <v>9.3915344186673284</v>
      </c>
    </row>
    <row r="76" spans="2:25" x14ac:dyDescent="0.2">
      <c r="H76">
        <v>10</v>
      </c>
      <c r="T76" s="7"/>
      <c r="U76" s="7">
        <v>585.99558504559172</v>
      </c>
      <c r="V76" s="7">
        <v>643.89565156479057</v>
      </c>
      <c r="W76" s="7"/>
      <c r="X76" s="7">
        <f t="shared" ref="X76:X78" si="69">U76/10</f>
        <v>58.59955850455917</v>
      </c>
      <c r="Y76" s="7">
        <f t="shared" ref="Y76:Y78" si="70">V76/10</f>
        <v>64.389565156479051</v>
      </c>
    </row>
    <row r="77" spans="2:25" x14ac:dyDescent="0.2">
      <c r="H77" t="s">
        <v>20</v>
      </c>
      <c r="I77" t="s">
        <v>23</v>
      </c>
      <c r="J77" t="s">
        <v>20</v>
      </c>
      <c r="K77" t="s">
        <v>23</v>
      </c>
      <c r="L77" t="s">
        <v>20</v>
      </c>
      <c r="M77" t="s">
        <v>23</v>
      </c>
      <c r="T77" s="7"/>
      <c r="U77" s="7">
        <v>189.54038191503082</v>
      </c>
      <c r="V77" s="7">
        <v>366.93165075163415</v>
      </c>
      <c r="W77" s="7"/>
      <c r="X77" s="7">
        <f t="shared" si="69"/>
        <v>18.954038191503081</v>
      </c>
      <c r="Y77" s="7">
        <f t="shared" si="70"/>
        <v>36.693165075163414</v>
      </c>
    </row>
    <row r="78" spans="2:25" x14ac:dyDescent="0.2">
      <c r="F78" t="s">
        <v>8</v>
      </c>
      <c r="H78">
        <v>73.97999999999999</v>
      </c>
      <c r="I78">
        <v>4186.8391185</v>
      </c>
      <c r="T78" s="7"/>
      <c r="U78" s="7">
        <v>67.080938007427221</v>
      </c>
      <c r="V78" s="7">
        <v>98.371570305976547</v>
      </c>
      <c r="W78" s="7"/>
      <c r="X78" s="7">
        <f t="shared" si="69"/>
        <v>6.7080938007427218</v>
      </c>
      <c r="Y78" s="7">
        <f t="shared" si="70"/>
        <v>9.8371570305976554</v>
      </c>
    </row>
    <row r="79" spans="2:25" x14ac:dyDescent="0.2">
      <c r="F79" t="s">
        <v>13</v>
      </c>
      <c r="G79">
        <v>10</v>
      </c>
      <c r="H79">
        <v>579</v>
      </c>
      <c r="I79">
        <v>2566.9896708152492</v>
      </c>
      <c r="T79" s="7"/>
      <c r="U79" s="7"/>
      <c r="V79" s="7"/>
      <c r="W79" s="7"/>
      <c r="X79" s="7"/>
      <c r="Y79" s="7"/>
    </row>
    <row r="80" spans="2:25" x14ac:dyDescent="0.2">
      <c r="B80" s="7"/>
      <c r="C80" s="7"/>
      <c r="D80" s="7"/>
      <c r="E80" s="7">
        <f>I80/(H80+I80)</f>
        <v>0.79150982119978908</v>
      </c>
      <c r="F80" t="s">
        <v>13</v>
      </c>
      <c r="H80">
        <v>362.8807526374689</v>
      </c>
      <c r="I80">
        <v>1377.6364972671672</v>
      </c>
      <c r="T80" s="7"/>
      <c r="U80" s="7">
        <v>4344.0682030011485</v>
      </c>
      <c r="V80" s="7">
        <v>5179.4350403031494</v>
      </c>
      <c r="W80" s="7"/>
      <c r="X80" s="7">
        <f>U80/100</f>
        <v>43.440682030011487</v>
      </c>
      <c r="Y80" s="7">
        <f>V80/100</f>
        <v>51.794350403031494</v>
      </c>
    </row>
    <row r="81" spans="2:25" x14ac:dyDescent="0.2">
      <c r="B81" s="7"/>
      <c r="C81" s="7">
        <f>H81-L91</f>
        <v>160.90792406860635</v>
      </c>
      <c r="D81" s="7"/>
      <c r="E81" s="7">
        <f>I81/(H81+I81)</f>
        <v>0.88255088362695433</v>
      </c>
      <c r="F81" t="s">
        <v>17</v>
      </c>
      <c r="H81">
        <v>219.36075263746889</v>
      </c>
      <c r="I81">
        <v>1648.3480851261822</v>
      </c>
      <c r="T81" s="7"/>
      <c r="U81" s="7">
        <v>6321.05203154622</v>
      </c>
      <c r="V81" s="7">
        <v>7260.1138017708727</v>
      </c>
      <c r="W81" s="7"/>
      <c r="X81" s="7">
        <f t="shared" ref="X81:X83" si="71">U81/100</f>
        <v>63.210520315462198</v>
      </c>
      <c r="Y81" s="7">
        <f t="shared" ref="Y81:Y83" si="72">V81/100</f>
        <v>72.60113801770872</v>
      </c>
    </row>
    <row r="82" spans="2:25" x14ac:dyDescent="0.2">
      <c r="B82" s="7"/>
      <c r="C82" s="7"/>
      <c r="D82" s="7"/>
      <c r="E82" s="7"/>
      <c r="T82" s="7"/>
      <c r="U82" s="7">
        <v>1938.055345702036</v>
      </c>
      <c r="V82" s="7">
        <v>3545.8684678073332</v>
      </c>
      <c r="W82" s="7"/>
      <c r="X82" s="7">
        <f t="shared" si="71"/>
        <v>19.380553457020358</v>
      </c>
      <c r="Y82" s="7">
        <f t="shared" si="72"/>
        <v>35.458684678073332</v>
      </c>
    </row>
    <row r="83" spans="2:25" x14ac:dyDescent="0.2">
      <c r="B83" s="7"/>
      <c r="C83" s="7"/>
      <c r="D83" s="7"/>
      <c r="E83" s="7"/>
      <c r="F83" t="s">
        <v>8</v>
      </c>
      <c r="J83">
        <v>408</v>
      </c>
      <c r="K83">
        <v>3889.8750645</v>
      </c>
      <c r="T83" s="7"/>
      <c r="U83" s="7">
        <v>419.21211638789282</v>
      </c>
      <c r="V83" s="7">
        <v>499.53423765988737</v>
      </c>
      <c r="W83" s="7"/>
      <c r="X83" s="7">
        <f t="shared" si="71"/>
        <v>4.1921211638789284</v>
      </c>
      <c r="Y83" s="7">
        <f t="shared" si="72"/>
        <v>4.9953423765988738</v>
      </c>
    </row>
    <row r="84" spans="2:25" x14ac:dyDescent="0.2">
      <c r="B84" s="7">
        <f>I80-M90</f>
        <v>1079.5063850121448</v>
      </c>
      <c r="C84" s="7"/>
      <c r="D84" s="7"/>
      <c r="E84" s="7"/>
      <c r="F84" t="s">
        <v>13</v>
      </c>
      <c r="G84">
        <v>100</v>
      </c>
      <c r="J84">
        <v>689</v>
      </c>
      <c r="K84">
        <v>1867.6747058387548</v>
      </c>
      <c r="T84" s="7"/>
      <c r="U84" s="7"/>
      <c r="V84" s="7"/>
      <c r="W84" s="7"/>
      <c r="X84" s="7"/>
      <c r="Y84" s="7"/>
    </row>
    <row r="85" spans="2:25" x14ac:dyDescent="0.2">
      <c r="B85" s="7">
        <f>I81-M91</f>
        <v>1270.8396473558603</v>
      </c>
      <c r="C85" s="7"/>
      <c r="D85" s="7"/>
      <c r="E85" s="7">
        <f>K85/(J85+K85)</f>
        <v>0.6114242051028802</v>
      </c>
      <c r="F85" t="s">
        <v>13</v>
      </c>
      <c r="J85">
        <v>250.29464772641848</v>
      </c>
      <c r="K85">
        <v>393.83875176308663</v>
      </c>
      <c r="T85" s="7"/>
      <c r="U85" s="7">
        <v>34357.774196585524</v>
      </c>
      <c r="V85" s="7">
        <v>40623.33966409514</v>
      </c>
      <c r="W85" s="7"/>
      <c r="X85" s="7">
        <f>U85/1000</f>
        <v>34.357774196585524</v>
      </c>
      <c r="Y85" s="7">
        <f>V85/1000</f>
        <v>40.623339664095141</v>
      </c>
    </row>
    <row r="86" spans="2:25" x14ac:dyDescent="0.2">
      <c r="B86" s="7"/>
      <c r="C86" s="7"/>
      <c r="D86" s="7"/>
      <c r="E86" s="7">
        <f>K86/(J86+K86)</f>
        <v>0.84285630642891318</v>
      </c>
      <c r="F86" t="s">
        <v>17</v>
      </c>
      <c r="J86">
        <v>103.40064772641847</v>
      </c>
      <c r="K86">
        <v>554.59997181255972</v>
      </c>
      <c r="T86" s="7"/>
      <c r="U86" s="7">
        <v>63210.520315462141</v>
      </c>
      <c r="V86" s="7">
        <v>72601.138017708785</v>
      </c>
      <c r="W86" s="7"/>
      <c r="X86" s="7">
        <f t="shared" ref="X86:Y88" si="73">U86/1000</f>
        <v>63.210520315462141</v>
      </c>
      <c r="Y86" s="7">
        <f t="shared" si="73"/>
        <v>72.601138017708791</v>
      </c>
    </row>
    <row r="87" spans="2:25" x14ac:dyDescent="0.2">
      <c r="B87" s="7"/>
      <c r="C87" s="7"/>
      <c r="D87" s="7"/>
      <c r="E87" s="7"/>
      <c r="T87" s="7"/>
      <c r="U87" s="7">
        <v>26391.602630359732</v>
      </c>
      <c r="V87" s="7">
        <v>48235.234662784729</v>
      </c>
      <c r="W87" s="7"/>
      <c r="X87" s="7">
        <f t="shared" si="73"/>
        <v>26.391602630359731</v>
      </c>
      <c r="Y87" s="7">
        <f t="shared" si="73"/>
        <v>48.235234662784727</v>
      </c>
    </row>
    <row r="88" spans="2:25" x14ac:dyDescent="0.2">
      <c r="B88" s="7"/>
      <c r="C88" s="7"/>
      <c r="D88" s="7"/>
      <c r="E88" s="7"/>
      <c r="F88" t="s">
        <v>8</v>
      </c>
      <c r="L88">
        <v>318</v>
      </c>
      <c r="M88">
        <v>3895.5373377599999</v>
      </c>
      <c r="T88" s="7"/>
      <c r="U88" s="7">
        <v>3401.4698365442018</v>
      </c>
      <c r="V88" s="7">
        <v>3933.1319520807592</v>
      </c>
      <c r="W88" s="7"/>
      <c r="X88" s="7">
        <f t="shared" si="73"/>
        <v>3.401469836544202</v>
      </c>
      <c r="Y88" s="7">
        <f t="shared" si="73"/>
        <v>3.9331319520807591</v>
      </c>
    </row>
    <row r="89" spans="2:25" x14ac:dyDescent="0.2">
      <c r="B89" s="7"/>
      <c r="C89" s="7"/>
      <c r="D89" s="7"/>
      <c r="E89" s="7">
        <f>M89/(L89+M89)</f>
        <v>0.61952980426702375</v>
      </c>
      <c r="F89" t="s">
        <v>13</v>
      </c>
      <c r="G89">
        <v>1000</v>
      </c>
      <c r="L89">
        <f>J40</f>
        <v>689</v>
      </c>
      <c r="M89">
        <f>J54</f>
        <v>1121.917143385281</v>
      </c>
      <c r="T89" s="7"/>
      <c r="U89" s="7"/>
      <c r="V89" s="7"/>
      <c r="W89" s="7"/>
      <c r="X89" s="7"/>
      <c r="Y89" s="7"/>
    </row>
    <row r="90" spans="2:25" x14ac:dyDescent="0.2">
      <c r="B90" s="7"/>
      <c r="C90" s="7"/>
      <c r="D90" s="7"/>
      <c r="E90" s="7">
        <f t="shared" ref="E90:E91" si="74">M90/(L90+M90)</f>
        <v>0.49713710938189343</v>
      </c>
      <c r="F90" t="s">
        <v>13</v>
      </c>
      <c r="L90">
        <v>301.5638285688625</v>
      </c>
      <c r="M90">
        <v>298.13011225502237</v>
      </c>
      <c r="T90" s="7"/>
      <c r="U90" s="7"/>
      <c r="V90" s="7"/>
      <c r="W90" s="7"/>
      <c r="X90" s="7"/>
      <c r="Y90" s="7"/>
    </row>
    <row r="91" spans="2:25" x14ac:dyDescent="0.2">
      <c r="B91" s="7"/>
      <c r="C91" s="7"/>
      <c r="D91" s="7"/>
      <c r="E91" s="7">
        <f t="shared" si="74"/>
        <v>0.86592196811497146</v>
      </c>
      <c r="F91" t="s">
        <v>17</v>
      </c>
      <c r="L91">
        <v>58.45282856886255</v>
      </c>
      <c r="M91">
        <v>377.5084377703219</v>
      </c>
    </row>
    <row r="98" spans="8:11" x14ac:dyDescent="0.2">
      <c r="H98" s="7"/>
      <c r="I98" s="7">
        <v>1377.6364972671672</v>
      </c>
      <c r="J98" s="7">
        <v>393.83875176308663</v>
      </c>
      <c r="K98" s="7">
        <v>298.13011225502237</v>
      </c>
    </row>
    <row r="99" spans="8:11" x14ac:dyDescent="0.2">
      <c r="H99" s="7"/>
      <c r="I99" s="7">
        <v>1648.3480851261822</v>
      </c>
      <c r="J99" s="7">
        <v>554.59997181255972</v>
      </c>
      <c r="K99" s="7">
        <v>377.5084377703219</v>
      </c>
    </row>
    <row r="100" spans="8:11" x14ac:dyDescent="0.2">
      <c r="H100" s="7"/>
      <c r="I100" s="7"/>
      <c r="J100" s="7"/>
      <c r="K100" s="7"/>
    </row>
    <row r="101" spans="8:11" x14ac:dyDescent="0.2">
      <c r="H101" s="7"/>
      <c r="I101" s="7"/>
      <c r="J101" s="7"/>
      <c r="K101" s="7"/>
    </row>
    <row r="102" spans="8:11" x14ac:dyDescent="0.2">
      <c r="H102" s="7"/>
      <c r="I102" s="7">
        <f>I98/30</f>
        <v>45.921216575572238</v>
      </c>
      <c r="J102" s="7">
        <f t="shared" ref="J102:K103" si="75">J98/30</f>
        <v>13.127958392102888</v>
      </c>
      <c r="K102" s="7">
        <f t="shared" si="75"/>
        <v>9.937670408500745</v>
      </c>
    </row>
    <row r="103" spans="8:11" x14ac:dyDescent="0.2">
      <c r="H103" s="7"/>
      <c r="I103" s="7">
        <f>I99/30</f>
        <v>54.944936170872744</v>
      </c>
      <c r="J103" s="7">
        <f t="shared" si="75"/>
        <v>18.486665727085324</v>
      </c>
      <c r="K103" s="7">
        <f t="shared" si="75"/>
        <v>12.583614592344064</v>
      </c>
    </row>
    <row r="104" spans="8:11" x14ac:dyDescent="0.2">
      <c r="H104" s="7"/>
      <c r="I104" s="7"/>
      <c r="J104" s="7"/>
      <c r="K104" s="7"/>
    </row>
    <row r="105" spans="8:11" x14ac:dyDescent="0.2">
      <c r="H105" s="7"/>
      <c r="I105" s="7"/>
      <c r="J105" s="7"/>
      <c r="K105" s="7"/>
    </row>
    <row r="106" spans="8:11" x14ac:dyDescent="0.2">
      <c r="H106" s="7"/>
      <c r="I106" s="7"/>
      <c r="J106" s="7"/>
      <c r="K106" s="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3337C-51BA-47D4-B88E-706CDE602B50}">
  <dimension ref="A3:N15"/>
  <sheetViews>
    <sheetView workbookViewId="0">
      <selection activeCell="N18" sqref="N18"/>
    </sheetView>
  </sheetViews>
  <sheetFormatPr defaultRowHeight="14.25" x14ac:dyDescent="0.2"/>
  <cols>
    <col min="3" max="3" width="9.5" customWidth="1"/>
    <col min="5" max="5" width="10.875" bestFit="1" customWidth="1"/>
    <col min="11" max="11" width="11.875" bestFit="1" customWidth="1"/>
    <col min="13" max="14" width="11.875" bestFit="1" customWidth="1"/>
  </cols>
  <sheetData>
    <row r="3" spans="1:14" x14ac:dyDescent="0.2">
      <c r="B3" t="s">
        <v>35</v>
      </c>
      <c r="C3" t="s">
        <v>36</v>
      </c>
    </row>
    <row r="4" spans="1:14" x14ac:dyDescent="0.2">
      <c r="A4" s="8" t="s">
        <v>8</v>
      </c>
      <c r="B4">
        <v>10</v>
      </c>
      <c r="C4">
        <v>4135.2965400131798</v>
      </c>
      <c r="E4">
        <f>C4/B4</f>
        <v>413.52965400131797</v>
      </c>
    </row>
    <row r="5" spans="1:14" x14ac:dyDescent="0.2">
      <c r="A5" s="8"/>
      <c r="B5">
        <v>100</v>
      </c>
      <c r="C5">
        <v>9993.4062097093047</v>
      </c>
      <c r="E5">
        <f>C5/B5</f>
        <v>99.934062097093047</v>
      </c>
    </row>
    <row r="6" spans="1:14" x14ac:dyDescent="0.2">
      <c r="A6" s="8"/>
    </row>
    <row r="7" spans="1:14" x14ac:dyDescent="0.2">
      <c r="A7" s="8" t="s">
        <v>13</v>
      </c>
      <c r="B7">
        <v>10</v>
      </c>
      <c r="C7">
        <v>2271.352554200776</v>
      </c>
      <c r="E7">
        <f>C7/B7</f>
        <v>227.13525542007761</v>
      </c>
    </row>
    <row r="8" spans="1:14" x14ac:dyDescent="0.2">
      <c r="A8" s="8"/>
      <c r="B8">
        <v>100</v>
      </c>
      <c r="C8">
        <v>2653.0691396382344</v>
      </c>
      <c r="E8">
        <f>C8/B8</f>
        <v>26.530691396382345</v>
      </c>
      <c r="I8" t="s">
        <v>8</v>
      </c>
      <c r="J8">
        <v>46005.137346654024</v>
      </c>
      <c r="K8">
        <f>J8+C5</f>
        <v>55998.543556363329</v>
      </c>
      <c r="M8">
        <f>(K8-J8)/J8</f>
        <v>0.21722370122292722</v>
      </c>
      <c r="N8">
        <f>M8*100</f>
        <v>21.722370122292723</v>
      </c>
    </row>
    <row r="9" spans="1:14" x14ac:dyDescent="0.2">
      <c r="A9" s="8"/>
      <c r="I9" t="s">
        <v>13</v>
      </c>
      <c r="J9">
        <v>107962.30093913998</v>
      </c>
      <c r="K9">
        <f>J9+C8</f>
        <v>110615.37007877821</v>
      </c>
      <c r="M9">
        <f t="shared" ref="M9:M11" si="0">(K9-J9)/J9</f>
        <v>2.4574032940755938E-2</v>
      </c>
      <c r="N9">
        <f>M9*100</f>
        <v>2.4574032940755939</v>
      </c>
    </row>
    <row r="10" spans="1:14" x14ac:dyDescent="0.2">
      <c r="A10" s="8" t="s">
        <v>17</v>
      </c>
      <c r="B10">
        <v>10</v>
      </c>
      <c r="C10">
        <v>2803.9079787186051</v>
      </c>
      <c r="E10">
        <f>C10/B10</f>
        <v>280.39079787186051</v>
      </c>
      <c r="I10" t="s">
        <v>17</v>
      </c>
      <c r="J10">
        <v>78629.444626941389</v>
      </c>
      <c r="K10">
        <f>J10+C11</f>
        <v>84628.685152766964</v>
      </c>
      <c r="M10">
        <f t="shared" si="0"/>
        <v>7.6297633212202676E-2</v>
      </c>
      <c r="N10">
        <f>M10*100</f>
        <v>7.6297633212202678</v>
      </c>
    </row>
    <row r="11" spans="1:14" x14ac:dyDescent="0.2">
      <c r="A11" s="8"/>
      <c r="B11">
        <v>100</v>
      </c>
      <c r="C11">
        <v>5999.2405258255822</v>
      </c>
      <c r="E11">
        <f>C11/B11</f>
        <v>59.992405258255822</v>
      </c>
      <c r="I11" t="s">
        <v>18</v>
      </c>
      <c r="J11">
        <v>61297.431898166207</v>
      </c>
      <c r="K11">
        <f>J11+C14</f>
        <v>65432.728438179387</v>
      </c>
      <c r="M11">
        <f t="shared" si="0"/>
        <v>6.7462802469166611E-2</v>
      </c>
      <c r="N11">
        <f>M11*100</f>
        <v>6.7462802469166609</v>
      </c>
    </row>
    <row r="12" spans="1:14" x14ac:dyDescent="0.2">
      <c r="A12" s="8"/>
      <c r="B12">
        <v>1000</v>
      </c>
    </row>
    <row r="13" spans="1:14" x14ac:dyDescent="0.2">
      <c r="A13" s="8" t="s">
        <v>18</v>
      </c>
      <c r="B13">
        <v>10</v>
      </c>
      <c r="C13">
        <v>2537.630266459691</v>
      </c>
      <c r="E13">
        <f>C13/B13</f>
        <v>253.76302664596909</v>
      </c>
    </row>
    <row r="14" spans="1:14" x14ac:dyDescent="0.2">
      <c r="A14" s="8"/>
      <c r="B14">
        <v>100</v>
      </c>
      <c r="C14">
        <v>4135.2965400131798</v>
      </c>
      <c r="E14">
        <f>C14/B14</f>
        <v>41.352965400131801</v>
      </c>
    </row>
    <row r="15" spans="1:14" x14ac:dyDescent="0.2">
      <c r="A15" s="8"/>
      <c r="B15">
        <v>1000</v>
      </c>
      <c r="C15" s="5"/>
    </row>
  </sheetData>
  <mergeCells count="4">
    <mergeCell ref="A7:A9"/>
    <mergeCell ref="A4:A6"/>
    <mergeCell ref="A10:A12"/>
    <mergeCell ref="A13:A15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BB602-693A-4F80-997C-4B38402B61DB}">
  <dimension ref="B2:U35"/>
  <sheetViews>
    <sheetView topLeftCell="K1" workbookViewId="0">
      <selection activeCell="U10" sqref="U10"/>
    </sheetView>
  </sheetViews>
  <sheetFormatPr defaultRowHeight="14.25" x14ac:dyDescent="0.2"/>
  <cols>
    <col min="5" max="5" width="12.5" bestFit="1" customWidth="1"/>
    <col min="13" max="13" width="11.875" bestFit="1" customWidth="1"/>
  </cols>
  <sheetData>
    <row r="2" spans="2:21" x14ac:dyDescent="0.2">
      <c r="B2" t="s">
        <v>26</v>
      </c>
    </row>
    <row r="3" spans="2:21" x14ac:dyDescent="0.2">
      <c r="D3" t="s">
        <v>8</v>
      </c>
      <c r="E3" t="s">
        <v>13</v>
      </c>
      <c r="F3" t="s">
        <v>17</v>
      </c>
      <c r="G3" t="s">
        <v>18</v>
      </c>
    </row>
    <row r="4" spans="2:21" x14ac:dyDescent="0.2">
      <c r="C4">
        <v>10</v>
      </c>
      <c r="D4">
        <v>1092.7611929901864</v>
      </c>
      <c r="E4">
        <v>3162.6101830642888</v>
      </c>
      <c r="F4">
        <v>1649.8415961098788</v>
      </c>
      <c r="G4">
        <v>1746.4034715753071</v>
      </c>
    </row>
    <row r="5" spans="2:21" x14ac:dyDescent="0.2">
      <c r="C5">
        <v>100</v>
      </c>
      <c r="D5">
        <v>460.05137346653999</v>
      </c>
      <c r="E5">
        <v>1079.6230093913998</v>
      </c>
      <c r="F5">
        <v>786.29444626941392</v>
      </c>
      <c r="G5">
        <v>612.97431898166212</v>
      </c>
    </row>
    <row r="6" spans="2:21" x14ac:dyDescent="0.2">
      <c r="C6">
        <v>1000</v>
      </c>
      <c r="D6">
        <v>438.56853224391392</v>
      </c>
      <c r="E6">
        <v>716.13677704212466</v>
      </c>
      <c r="F6">
        <v>675.0876960505102</v>
      </c>
      <c r="G6">
        <v>372.83408927253441</v>
      </c>
      <c r="M6" t="s">
        <v>30</v>
      </c>
    </row>
    <row r="8" spans="2:21" x14ac:dyDescent="0.2">
      <c r="B8" t="s">
        <v>27</v>
      </c>
      <c r="E8">
        <f>E4-$D4</f>
        <v>2069.8489900741024</v>
      </c>
      <c r="F8">
        <f t="shared" ref="F8" si="0">F4-$D4</f>
        <v>557.08040311969239</v>
      </c>
      <c r="G8">
        <f>G4-$D4</f>
        <v>653.64227858512072</v>
      </c>
      <c r="L8" t="s">
        <v>31</v>
      </c>
      <c r="M8">
        <v>5</v>
      </c>
      <c r="N8">
        <v>10</v>
      </c>
      <c r="O8">
        <v>20</v>
      </c>
      <c r="P8">
        <v>30</v>
      </c>
      <c r="Q8">
        <v>50</v>
      </c>
      <c r="R8">
        <v>75</v>
      </c>
      <c r="S8">
        <v>100</v>
      </c>
    </row>
    <row r="9" spans="2:21" x14ac:dyDescent="0.2">
      <c r="E9">
        <f t="shared" ref="E9:G9" si="1">E5-$D5</f>
        <v>619.57163592485983</v>
      </c>
      <c r="F9">
        <f t="shared" si="1"/>
        <v>326.24307280287394</v>
      </c>
      <c r="G9">
        <f t="shared" si="1"/>
        <v>152.92294551512214</v>
      </c>
      <c r="L9" t="s">
        <v>33</v>
      </c>
      <c r="M9">
        <v>17.4333825</v>
      </c>
      <c r="N9">
        <v>34.866765000000001</v>
      </c>
      <c r="O9">
        <v>69.733530000000002</v>
      </c>
      <c r="P9">
        <v>104.600295</v>
      </c>
      <c r="Q9">
        <v>174.33382499999999</v>
      </c>
      <c r="R9">
        <v>261.50073750000001</v>
      </c>
      <c r="S9">
        <v>348.66764999999998</v>
      </c>
      <c r="U9">
        <f>333/64</f>
        <v>5.203125</v>
      </c>
    </row>
    <row r="10" spans="2:21" x14ac:dyDescent="0.2">
      <c r="E10">
        <f t="shared" ref="E10:G10" si="2">E6-$D6</f>
        <v>277.56824479821074</v>
      </c>
      <c r="F10">
        <f t="shared" si="2"/>
        <v>236.51916380659628</v>
      </c>
      <c r="G10">
        <f t="shared" si="2"/>
        <v>-65.734442971379508</v>
      </c>
    </row>
    <row r="11" spans="2:21" x14ac:dyDescent="0.2">
      <c r="L11" t="s">
        <v>32</v>
      </c>
      <c r="M11">
        <v>1.875</v>
      </c>
      <c r="N11">
        <v>3.75</v>
      </c>
      <c r="O11">
        <v>7.5</v>
      </c>
      <c r="P11">
        <v>11.25</v>
      </c>
      <c r="Q11">
        <v>18.75</v>
      </c>
      <c r="R11">
        <v>28.125</v>
      </c>
      <c r="S11">
        <v>37.5</v>
      </c>
    </row>
    <row r="12" spans="2:21" x14ac:dyDescent="0.2">
      <c r="L12" t="s">
        <v>34</v>
      </c>
      <c r="M12">
        <v>273.75</v>
      </c>
      <c r="N12">
        <v>547.5</v>
      </c>
      <c r="O12">
        <v>1095</v>
      </c>
      <c r="P12">
        <v>1642.5</v>
      </c>
      <c r="Q12">
        <v>2737.5</v>
      </c>
      <c r="R12">
        <v>4106.25</v>
      </c>
      <c r="S12">
        <v>5475</v>
      </c>
    </row>
    <row r="13" spans="2:21" x14ac:dyDescent="0.2">
      <c r="D13" t="s">
        <v>8</v>
      </c>
      <c r="E13" t="s">
        <v>13</v>
      </c>
      <c r="F13" t="s">
        <v>17</v>
      </c>
      <c r="G13" t="s">
        <v>18</v>
      </c>
    </row>
    <row r="14" spans="2:21" x14ac:dyDescent="0.2">
      <c r="C14">
        <v>10</v>
      </c>
      <c r="D14">
        <v>4260.8191184999996</v>
      </c>
      <c r="E14">
        <v>3145.9896708152492</v>
      </c>
      <c r="F14">
        <v>1740.5172499046362</v>
      </c>
      <c r="G14">
        <v>1867.7088377636512</v>
      </c>
      <c r="M14">
        <f>M9*1000/M12</f>
        <v>63.683589041095892</v>
      </c>
      <c r="N14">
        <f t="shared" ref="N14:S14" si="3">N9*1000/N12</f>
        <v>63.683589041095892</v>
      </c>
      <c r="O14">
        <f t="shared" si="3"/>
        <v>63.683589041095892</v>
      </c>
      <c r="P14">
        <f t="shared" si="3"/>
        <v>63.683589041095892</v>
      </c>
      <c r="Q14">
        <f t="shared" si="3"/>
        <v>63.683589041095885</v>
      </c>
      <c r="R14">
        <f t="shared" si="3"/>
        <v>63.683589041095892</v>
      </c>
      <c r="S14">
        <f t="shared" si="3"/>
        <v>63.683589041095885</v>
      </c>
    </row>
    <row r="15" spans="2:21" x14ac:dyDescent="0.2">
      <c r="C15">
        <v>100</v>
      </c>
      <c r="D15">
        <v>4297.8750645</v>
      </c>
      <c r="E15">
        <v>2556.6747058387546</v>
      </c>
      <c r="F15">
        <v>644.13339948950511</v>
      </c>
      <c r="G15">
        <v>658.00061953897819</v>
      </c>
    </row>
    <row r="16" spans="2:21" x14ac:dyDescent="0.2">
      <c r="C16">
        <v>1000</v>
      </c>
      <c r="D16">
        <v>4213.5373377599999</v>
      </c>
      <c r="E16">
        <v>1214.421751021313</v>
      </c>
      <c r="F16">
        <v>599.69394082388487</v>
      </c>
      <c r="G16">
        <v>435.96126633918448</v>
      </c>
      <c r="M16">
        <v>0.75</v>
      </c>
      <c r="N16">
        <v>1.5</v>
      </c>
      <c r="O16">
        <v>3</v>
      </c>
      <c r="P16">
        <v>4.5</v>
      </c>
      <c r="Q16">
        <v>7.5</v>
      </c>
      <c r="R16">
        <v>11.25</v>
      </c>
      <c r="S16">
        <v>15</v>
      </c>
    </row>
    <row r="17" spans="2:19" x14ac:dyDescent="0.2">
      <c r="M17">
        <f>M16*365</f>
        <v>273.75</v>
      </c>
      <c r="N17">
        <f t="shared" ref="N17:S17" si="4">N16*365</f>
        <v>547.5</v>
      </c>
      <c r="O17">
        <f t="shared" si="4"/>
        <v>1095</v>
      </c>
      <c r="P17">
        <f t="shared" si="4"/>
        <v>1642.5</v>
      </c>
      <c r="Q17">
        <f t="shared" si="4"/>
        <v>2737.5</v>
      </c>
      <c r="R17">
        <f t="shared" si="4"/>
        <v>4106.25</v>
      </c>
      <c r="S17">
        <f t="shared" si="4"/>
        <v>5475</v>
      </c>
    </row>
    <row r="18" spans="2:19" x14ac:dyDescent="0.2">
      <c r="B18" t="s">
        <v>27</v>
      </c>
      <c r="E18">
        <f>$D14-E14</f>
        <v>1114.8294476847504</v>
      </c>
      <c r="F18">
        <f t="shared" ref="F18:G18" si="5">$D14-F14</f>
        <v>2520.3018685953634</v>
      </c>
      <c r="G18">
        <f t="shared" si="5"/>
        <v>2393.1102807363486</v>
      </c>
    </row>
    <row r="19" spans="2:19" x14ac:dyDescent="0.2">
      <c r="E19">
        <f t="shared" ref="E19:G19" si="6">$D15-E15</f>
        <v>1741.2003586612454</v>
      </c>
      <c r="F19">
        <f t="shared" si="6"/>
        <v>3653.7416650104951</v>
      </c>
      <c r="G19">
        <f t="shared" si="6"/>
        <v>3639.8744449610217</v>
      </c>
    </row>
    <row r="20" spans="2:19" x14ac:dyDescent="0.2">
      <c r="E20">
        <f t="shared" ref="E20:G20" si="7">$D16-E16</f>
        <v>2999.1155867386869</v>
      </c>
      <c r="F20">
        <f t="shared" si="7"/>
        <v>3613.8433969361149</v>
      </c>
      <c r="G20">
        <f t="shared" si="7"/>
        <v>3777.5760714208154</v>
      </c>
    </row>
    <row r="23" spans="2:19" x14ac:dyDescent="0.2">
      <c r="B23" t="s">
        <v>28</v>
      </c>
      <c r="E23" t="s">
        <v>13</v>
      </c>
      <c r="F23" t="s">
        <v>17</v>
      </c>
      <c r="G23" t="s">
        <v>18</v>
      </c>
    </row>
    <row r="24" spans="2:19" x14ac:dyDescent="0.2">
      <c r="D24">
        <v>10</v>
      </c>
      <c r="E24">
        <f>E18/1000</f>
        <v>1.1148294476847505</v>
      </c>
      <c r="F24">
        <f t="shared" ref="F24:G24" si="8">F18/1000</f>
        <v>2.5203018685953635</v>
      </c>
      <c r="G24">
        <f t="shared" si="8"/>
        <v>2.3931102807363485</v>
      </c>
    </row>
    <row r="25" spans="2:19" x14ac:dyDescent="0.2">
      <c r="D25">
        <v>100</v>
      </c>
      <c r="E25">
        <f t="shared" ref="E25:G25" si="9">E19/1000</f>
        <v>1.7412003586612455</v>
      </c>
      <c r="F25">
        <f t="shared" si="9"/>
        <v>3.6537416650104952</v>
      </c>
      <c r="G25">
        <f t="shared" si="9"/>
        <v>3.6398744449610216</v>
      </c>
    </row>
    <row r="26" spans="2:19" x14ac:dyDescent="0.2">
      <c r="D26">
        <v>1000</v>
      </c>
      <c r="E26">
        <f t="shared" ref="E26:G26" si="10">E20/1000</f>
        <v>2.9991155867386867</v>
      </c>
      <c r="F26">
        <f t="shared" si="10"/>
        <v>3.6138433969361148</v>
      </c>
      <c r="G26">
        <f t="shared" si="10"/>
        <v>3.7775760714208153</v>
      </c>
    </row>
    <row r="28" spans="2:19" x14ac:dyDescent="0.2">
      <c r="E28">
        <f t="shared" ref="E28:G30" si="11">E8</f>
        <v>2069.8489900741024</v>
      </c>
      <c r="F28">
        <f t="shared" si="11"/>
        <v>557.08040311969239</v>
      </c>
      <c r="G28">
        <f t="shared" si="11"/>
        <v>653.64227858512072</v>
      </c>
    </row>
    <row r="29" spans="2:19" x14ac:dyDescent="0.2">
      <c r="E29">
        <f t="shared" si="11"/>
        <v>619.57163592485983</v>
      </c>
      <c r="F29">
        <f t="shared" si="11"/>
        <v>326.24307280287394</v>
      </c>
      <c r="G29">
        <f t="shared" si="11"/>
        <v>152.92294551512214</v>
      </c>
    </row>
    <row r="30" spans="2:19" x14ac:dyDescent="0.2">
      <c r="E30">
        <f t="shared" si="11"/>
        <v>277.56824479821074</v>
      </c>
      <c r="F30">
        <f t="shared" si="11"/>
        <v>236.51916380659628</v>
      </c>
      <c r="G30">
        <f t="shared" si="11"/>
        <v>-65.734442971379508</v>
      </c>
    </row>
    <row r="32" spans="2:19" x14ac:dyDescent="0.2">
      <c r="E32" t="s">
        <v>13</v>
      </c>
      <c r="F32" t="s">
        <v>17</v>
      </c>
      <c r="G32" t="s">
        <v>18</v>
      </c>
    </row>
    <row r="33" spans="2:7" x14ac:dyDescent="0.2">
      <c r="B33" t="s">
        <v>29</v>
      </c>
      <c r="D33">
        <v>10</v>
      </c>
      <c r="E33">
        <f>E28/E24</f>
        <v>1856.6508037374797</v>
      </c>
      <c r="F33">
        <f t="shared" ref="F33:G33" si="12">F28/F24</f>
        <v>221.03717418190436</v>
      </c>
      <c r="G33">
        <f t="shared" si="12"/>
        <v>273.13504264584003</v>
      </c>
    </row>
    <row r="34" spans="2:7" x14ac:dyDescent="0.2">
      <c r="D34">
        <v>100</v>
      </c>
      <c r="E34">
        <f t="shared" ref="E34:G34" si="13">E29/E25</f>
        <v>355.83017936042069</v>
      </c>
      <c r="F34">
        <f t="shared" si="13"/>
        <v>89.290131244661168</v>
      </c>
      <c r="G34">
        <f t="shared" si="13"/>
        <v>42.013247387372381</v>
      </c>
    </row>
    <row r="35" spans="2:7" x14ac:dyDescent="0.2">
      <c r="D35">
        <v>1000</v>
      </c>
      <c r="E35">
        <f t="shared" ref="E35:G35" si="14">E30/E26</f>
        <v>92.550032424740721</v>
      </c>
      <c r="F35">
        <f t="shared" si="14"/>
        <v>65.448094404733126</v>
      </c>
      <c r="G35">
        <f t="shared" si="14"/>
        <v>-17.401222828758439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5F597-8F2E-44C5-8EDE-4C87F3FEDC1F}">
  <dimension ref="A1"/>
  <sheetViews>
    <sheetView workbookViewId="0">
      <selection activeCell="E7" sqref="E7"/>
    </sheetView>
  </sheetViews>
  <sheetFormatPr defaultRowHeight="14.2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56180-EEDC-4BD9-B9E8-C5A6CD00C609}">
  <dimension ref="A3:S30"/>
  <sheetViews>
    <sheetView tabSelected="1" workbookViewId="0">
      <selection activeCell="O34" sqref="O34"/>
    </sheetView>
  </sheetViews>
  <sheetFormatPr defaultRowHeight="14.25" x14ac:dyDescent="0.2"/>
  <sheetData>
    <row r="3" spans="1:19" ht="15" x14ac:dyDescent="0.25">
      <c r="C3" s="6" t="s">
        <v>37</v>
      </c>
      <c r="D3" s="6" t="s">
        <v>38</v>
      </c>
      <c r="E3" s="6" t="s">
        <v>39</v>
      </c>
      <c r="F3" s="6" t="s">
        <v>40</v>
      </c>
      <c r="G3" s="6" t="s">
        <v>41</v>
      </c>
      <c r="H3" s="6" t="s">
        <v>42</v>
      </c>
      <c r="I3" s="6" t="s">
        <v>43</v>
      </c>
    </row>
    <row r="4" spans="1:19" x14ac:dyDescent="0.2">
      <c r="A4" t="s">
        <v>8</v>
      </c>
      <c r="B4">
        <v>10</v>
      </c>
      <c r="K4">
        <f>K5/(R5/Q5)</f>
        <v>78.768177857359049</v>
      </c>
      <c r="L4">
        <f>L5/(R5/Q5)</f>
        <v>93.915344186673281</v>
      </c>
      <c r="Q4">
        <v>10</v>
      </c>
      <c r="R4">
        <v>100</v>
      </c>
      <c r="S4">
        <v>1000</v>
      </c>
    </row>
    <row r="5" spans="1:19" x14ac:dyDescent="0.2">
      <c r="A5" t="s">
        <v>8</v>
      </c>
      <c r="B5">
        <v>100</v>
      </c>
      <c r="C5">
        <v>35677.393647471392</v>
      </c>
      <c r="D5">
        <v>2919.4739129895638</v>
      </c>
      <c r="E5">
        <v>27393.030527409239</v>
      </c>
      <c r="F5">
        <v>44802.670143385272</v>
      </c>
      <c r="G5">
        <v>35539.458425865312</v>
      </c>
      <c r="H5">
        <v>31195.390222864164</v>
      </c>
      <c r="I5">
        <v>40718.893466168462</v>
      </c>
      <c r="K5">
        <f t="shared" ref="K5:K6" si="0">G5-H5</f>
        <v>4344.0682030011485</v>
      </c>
      <c r="L5">
        <f t="shared" ref="L5:L6" si="1">I5-G5</f>
        <v>5179.4350403031494</v>
      </c>
      <c r="P5" t="s">
        <v>8</v>
      </c>
      <c r="Q5">
        <v>739.8</v>
      </c>
      <c r="R5">
        <v>40800</v>
      </c>
      <c r="S5">
        <v>318000</v>
      </c>
    </row>
    <row r="6" spans="1:19" x14ac:dyDescent="0.2">
      <c r="A6" t="s">
        <v>8</v>
      </c>
      <c r="B6">
        <v>1000</v>
      </c>
      <c r="C6">
        <v>293023.13175527105</v>
      </c>
      <c r="D6">
        <v>22602.191912351558</v>
      </c>
      <c r="E6">
        <v>226664.65671960768</v>
      </c>
      <c r="F6">
        <v>373522.8098291966</v>
      </c>
      <c r="G6">
        <v>291982.39909181115</v>
      </c>
      <c r="H6">
        <v>257624.62489522563</v>
      </c>
      <c r="I6">
        <v>332605.73875590629</v>
      </c>
      <c r="K6">
        <f t="shared" si="0"/>
        <v>34357.774196585524</v>
      </c>
      <c r="L6">
        <f t="shared" si="1"/>
        <v>40623.33966409514</v>
      </c>
      <c r="P6" t="s">
        <v>13</v>
      </c>
      <c r="Q6">
        <v>5790</v>
      </c>
      <c r="R6">
        <v>68900</v>
      </c>
      <c r="S6">
        <v>689000</v>
      </c>
    </row>
    <row r="7" spans="1:19" x14ac:dyDescent="0.2">
      <c r="P7" t="s">
        <v>17</v>
      </c>
      <c r="Q7">
        <v>3628.8075263746891</v>
      </c>
      <c r="R7">
        <v>25029.464772641848</v>
      </c>
      <c r="S7">
        <v>301563.82856886252</v>
      </c>
    </row>
    <row r="8" spans="1:19" x14ac:dyDescent="0.2">
      <c r="A8" t="s">
        <v>13</v>
      </c>
      <c r="B8">
        <v>10</v>
      </c>
      <c r="C8">
        <v>5206.907653826197</v>
      </c>
      <c r="D8">
        <v>367.75227007630895</v>
      </c>
      <c r="E8">
        <v>4169.3750919164495</v>
      </c>
      <c r="F8">
        <v>6394.148877123871</v>
      </c>
      <c r="G8">
        <v>5192.5330975211655</v>
      </c>
      <c r="H8">
        <v>4606.5375124755737</v>
      </c>
      <c r="I8">
        <v>5836.428749085956</v>
      </c>
      <c r="K8">
        <f>G8-H8</f>
        <v>585.99558504559172</v>
      </c>
      <c r="L8">
        <f>I8-G8</f>
        <v>643.89565156479057</v>
      </c>
      <c r="P8" t="s">
        <v>18</v>
      </c>
      <c r="Q8">
        <v>2193.6075263746889</v>
      </c>
      <c r="R8">
        <v>10340.064772641847</v>
      </c>
      <c r="S8">
        <v>58452.828568862547</v>
      </c>
    </row>
    <row r="9" spans="1:19" x14ac:dyDescent="0.2">
      <c r="A9" t="s">
        <v>13</v>
      </c>
      <c r="B9">
        <v>100</v>
      </c>
      <c r="C9">
        <v>66584.437616242954</v>
      </c>
      <c r="D9">
        <v>4167.0183541375591</v>
      </c>
      <c r="E9">
        <v>55255.441758092886</v>
      </c>
      <c r="F9">
        <v>82403.05825363427</v>
      </c>
      <c r="G9">
        <v>66294.208658531832</v>
      </c>
      <c r="H9">
        <v>59973.156626985612</v>
      </c>
      <c r="I9">
        <v>73554.322460302705</v>
      </c>
      <c r="K9">
        <f t="shared" ref="K9:K10" si="2">G9-H9</f>
        <v>6321.05203154622</v>
      </c>
      <c r="L9">
        <f t="shared" ref="L9:L10" si="3">I9-G9</f>
        <v>7260.1138017708727</v>
      </c>
    </row>
    <row r="10" spans="1:19" x14ac:dyDescent="0.2">
      <c r="A10" t="s">
        <v>13</v>
      </c>
      <c r="B10">
        <v>1000</v>
      </c>
      <c r="C10">
        <f>C9*10</f>
        <v>665844.37616242957</v>
      </c>
      <c r="D10">
        <f t="shared" ref="D10:I10" si="4">D9*10</f>
        <v>41670.183541375591</v>
      </c>
      <c r="E10">
        <f t="shared" si="4"/>
        <v>552554.41758092889</v>
      </c>
      <c r="F10">
        <f t="shared" si="4"/>
        <v>824030.58253634267</v>
      </c>
      <c r="G10">
        <f t="shared" si="4"/>
        <v>662942.08658531832</v>
      </c>
      <c r="H10">
        <f t="shared" si="4"/>
        <v>599731.56626985618</v>
      </c>
      <c r="I10">
        <f t="shared" si="4"/>
        <v>735543.22460302711</v>
      </c>
      <c r="K10">
        <f t="shared" si="2"/>
        <v>63210.520315462141</v>
      </c>
      <c r="L10">
        <f t="shared" si="3"/>
        <v>72601.138017708785</v>
      </c>
    </row>
    <row r="12" spans="1:19" x14ac:dyDescent="0.2">
      <c r="A12" t="s">
        <v>15</v>
      </c>
      <c r="B12">
        <v>10</v>
      </c>
      <c r="C12">
        <v>650.37993808241936</v>
      </c>
      <c r="D12">
        <v>34.055487839653232</v>
      </c>
      <c r="E12">
        <v>592.18595791208804</v>
      </c>
      <c r="F12">
        <v>928.26044759522983</v>
      </c>
      <c r="G12">
        <v>645.01966639051579</v>
      </c>
      <c r="H12">
        <v>612.48879420371964</v>
      </c>
      <c r="I12">
        <v>703.13303896562934</v>
      </c>
      <c r="K12">
        <f>G12-H12</f>
        <v>32.530872186796159</v>
      </c>
      <c r="L12">
        <f>I12-G12</f>
        <v>58.113372575113544</v>
      </c>
    </row>
    <row r="13" spans="1:19" x14ac:dyDescent="0.2">
      <c r="A13" t="s">
        <v>15</v>
      </c>
      <c r="B13">
        <v>100</v>
      </c>
      <c r="C13">
        <v>3050.4080362092791</v>
      </c>
      <c r="D13">
        <v>120.271155333134</v>
      </c>
      <c r="E13">
        <v>2786.7731718426221</v>
      </c>
      <c r="F13">
        <v>4538.3748814402843</v>
      </c>
      <c r="G13">
        <v>3042.3186351304039</v>
      </c>
      <c r="H13">
        <v>2902.030500769748</v>
      </c>
      <c r="I13">
        <v>3215.6013655018551</v>
      </c>
      <c r="K13">
        <f t="shared" ref="K13:K14" si="5">G13-H13</f>
        <v>140.28813436065593</v>
      </c>
      <c r="L13">
        <f t="shared" ref="L13:L14" si="6">I13-G13</f>
        <v>173.28273037145118</v>
      </c>
    </row>
    <row r="14" spans="1:19" x14ac:dyDescent="0.2">
      <c r="A14" t="s">
        <v>15</v>
      </c>
      <c r="B14">
        <v>1000</v>
      </c>
      <c r="C14">
        <v>28720.489219921154</v>
      </c>
      <c r="D14">
        <v>872.15239775715111</v>
      </c>
      <c r="E14">
        <v>26378.583484350253</v>
      </c>
      <c r="F14">
        <v>31846.187855382152</v>
      </c>
      <c r="G14">
        <v>28683.670787875635</v>
      </c>
      <c r="H14">
        <v>27363.599270088569</v>
      </c>
      <c r="I14">
        <v>30191.591123851489</v>
      </c>
      <c r="K14">
        <f t="shared" si="5"/>
        <v>1320.0715177870661</v>
      </c>
      <c r="L14">
        <f t="shared" si="6"/>
        <v>1507.920335975854</v>
      </c>
    </row>
    <row r="16" spans="1:19" x14ac:dyDescent="0.2">
      <c r="A16" t="s">
        <v>14</v>
      </c>
      <c r="B16">
        <v>10</v>
      </c>
      <c r="C16">
        <v>1482.9683114756676</v>
      </c>
      <c r="D16">
        <v>155.19381633402503</v>
      </c>
      <c r="E16">
        <v>1195.2809048018396</v>
      </c>
      <c r="F16">
        <v>2481.48535868813</v>
      </c>
      <c r="G16">
        <v>1451.941158897273</v>
      </c>
      <c r="H16">
        <v>1294.9316491690383</v>
      </c>
      <c r="I16">
        <v>1760.7594370737936</v>
      </c>
      <c r="K16">
        <f>G16-H16</f>
        <v>157.00950972823466</v>
      </c>
      <c r="L16">
        <f>I16-G16</f>
        <v>308.81827817652061</v>
      </c>
    </row>
    <row r="17" spans="1:12" x14ac:dyDescent="0.2">
      <c r="A17" t="s">
        <v>14</v>
      </c>
      <c r="B17">
        <v>100</v>
      </c>
      <c r="C17">
        <v>16875.704939276155</v>
      </c>
      <c r="D17">
        <v>1654.4757772274288</v>
      </c>
      <c r="E17">
        <v>13337.942230559689</v>
      </c>
      <c r="F17">
        <v>27684.245439017512</v>
      </c>
      <c r="G17">
        <v>16599.452271050293</v>
      </c>
      <c r="H17">
        <v>14801.685059708912</v>
      </c>
      <c r="I17">
        <v>19972.038008486175</v>
      </c>
      <c r="K17">
        <f t="shared" ref="K17:K18" si="7">G17-H17</f>
        <v>1797.767211341381</v>
      </c>
      <c r="L17">
        <f t="shared" ref="L17:L18" si="8">I17-G17</f>
        <v>3372.585737435882</v>
      </c>
    </row>
    <row r="18" spans="1:12" x14ac:dyDescent="0.2">
      <c r="A18" t="s">
        <v>14</v>
      </c>
      <c r="B18">
        <v>1000</v>
      </c>
      <c r="C18">
        <v>219772.31526736391</v>
      </c>
      <c r="D18">
        <v>23594.506011776029</v>
      </c>
      <c r="E18">
        <v>174629.50149952457</v>
      </c>
      <c r="F18">
        <v>345688.13362508634</v>
      </c>
      <c r="G18">
        <v>215539.07637017479</v>
      </c>
      <c r="H18">
        <v>190467.54525760212</v>
      </c>
      <c r="I18">
        <v>262266.39069698367</v>
      </c>
      <c r="K18">
        <f t="shared" si="7"/>
        <v>25071.531112572673</v>
      </c>
      <c r="L18">
        <f t="shared" si="8"/>
        <v>46727.314326808875</v>
      </c>
    </row>
    <row r="20" spans="1:12" x14ac:dyDescent="0.2">
      <c r="A20" t="s">
        <v>16</v>
      </c>
      <c r="B20">
        <v>10</v>
      </c>
      <c r="C20">
        <v>606.2233204803108</v>
      </c>
      <c r="D20">
        <v>22.233764574878805</v>
      </c>
      <c r="E20">
        <v>543.34201378589182</v>
      </c>
      <c r="F20">
        <v>705.39049239986184</v>
      </c>
      <c r="G20">
        <v>605.18350189163425</v>
      </c>
      <c r="H20">
        <v>570.63343607100319</v>
      </c>
      <c r="I20">
        <v>645.44169962249725</v>
      </c>
      <c r="K20">
        <f>G20-H20</f>
        <v>34.550065820631062</v>
      </c>
      <c r="L20">
        <f>I20-G20</f>
        <v>40.258197730863003</v>
      </c>
    </row>
    <row r="21" spans="1:12" x14ac:dyDescent="0.2">
      <c r="A21" t="s">
        <v>16</v>
      </c>
      <c r="B21">
        <v>100</v>
      </c>
      <c r="C21">
        <v>5465.6130697876924</v>
      </c>
      <c r="D21">
        <v>187.48657586876357</v>
      </c>
      <c r="E21">
        <v>4906.5850336896201</v>
      </c>
      <c r="F21">
        <v>6172.9456819873267</v>
      </c>
      <c r="G21">
        <v>5456.4479894449923</v>
      </c>
      <c r="H21">
        <v>5177.5240074177564</v>
      </c>
      <c r="I21">
        <v>5782.6994967334294</v>
      </c>
      <c r="K21">
        <f t="shared" ref="K21:K22" si="9">G21-H21</f>
        <v>278.92398202723598</v>
      </c>
      <c r="L21">
        <f t="shared" ref="L21:L22" si="10">I21-G21</f>
        <v>326.2515072884371</v>
      </c>
    </row>
    <row r="22" spans="1:12" x14ac:dyDescent="0.2">
      <c r="A22" t="s">
        <v>16</v>
      </c>
      <c r="B22">
        <v>1000</v>
      </c>
      <c r="C22">
        <v>41966.869931923895</v>
      </c>
      <c r="D22">
        <v>1369.4472715866361</v>
      </c>
      <c r="E22">
        <v>38272.840231788941</v>
      </c>
      <c r="F22">
        <v>46967.782000447129</v>
      </c>
      <c r="G22">
        <v>41905.133482559133</v>
      </c>
      <c r="H22">
        <v>39823.735163802005</v>
      </c>
      <c r="I22">
        <v>44330.345098664053</v>
      </c>
      <c r="K22">
        <f t="shared" si="9"/>
        <v>2081.3983187571284</v>
      </c>
      <c r="L22">
        <f t="shared" si="10"/>
        <v>2425.2116161049198</v>
      </c>
    </row>
    <row r="24" spans="1:12" x14ac:dyDescent="0.2">
      <c r="A24" t="s">
        <v>17</v>
      </c>
      <c r="B24">
        <v>10</v>
      </c>
      <c r="C24">
        <f>C16+C12</f>
        <v>2133.348249558087</v>
      </c>
      <c r="D24">
        <f t="shared" ref="D24:I24" si="11">D16+D12</f>
        <v>189.24930417367827</v>
      </c>
      <c r="E24">
        <f t="shared" si="11"/>
        <v>1787.4668627139276</v>
      </c>
      <c r="F24">
        <f t="shared" si="11"/>
        <v>3409.7458062833598</v>
      </c>
      <c r="G24">
        <f t="shared" si="11"/>
        <v>2096.9608252877888</v>
      </c>
      <c r="H24">
        <f t="shared" si="11"/>
        <v>1907.420443372758</v>
      </c>
      <c r="I24">
        <f t="shared" si="11"/>
        <v>2463.8924760394229</v>
      </c>
      <c r="K24">
        <f>G24-H24</f>
        <v>189.54038191503082</v>
      </c>
      <c r="L24">
        <f>I24-G24</f>
        <v>366.93165075163415</v>
      </c>
    </row>
    <row r="25" spans="1:12" x14ac:dyDescent="0.2">
      <c r="A25" t="s">
        <v>17</v>
      </c>
      <c r="B25">
        <v>100</v>
      </c>
      <c r="C25">
        <f t="shared" ref="C25:I26" si="12">C17+C13</f>
        <v>19926.112975485434</v>
      </c>
      <c r="D25">
        <f t="shared" si="12"/>
        <v>1774.7469325605628</v>
      </c>
      <c r="E25">
        <f t="shared" si="12"/>
        <v>16124.715402402311</v>
      </c>
      <c r="F25">
        <f t="shared" si="12"/>
        <v>32222.620320457798</v>
      </c>
      <c r="G25">
        <f t="shared" si="12"/>
        <v>19641.770906180696</v>
      </c>
      <c r="H25">
        <f t="shared" si="12"/>
        <v>17703.71556047866</v>
      </c>
      <c r="I25">
        <f t="shared" si="12"/>
        <v>23187.63937398803</v>
      </c>
      <c r="K25">
        <f t="shared" ref="K25:K26" si="13">G25-H25</f>
        <v>1938.055345702036</v>
      </c>
      <c r="L25">
        <f t="shared" ref="L25:L26" si="14">I25-G25</f>
        <v>3545.8684678073332</v>
      </c>
    </row>
    <row r="26" spans="1:12" x14ac:dyDescent="0.2">
      <c r="A26" t="s">
        <v>17</v>
      </c>
      <c r="B26">
        <v>1000</v>
      </c>
      <c r="C26">
        <f t="shared" si="12"/>
        <v>248492.80448728506</v>
      </c>
      <c r="D26">
        <f t="shared" si="12"/>
        <v>24466.658409533182</v>
      </c>
      <c r="E26">
        <f t="shared" si="12"/>
        <v>201008.08498387481</v>
      </c>
      <c r="F26">
        <f t="shared" si="12"/>
        <v>377534.3214804685</v>
      </c>
      <c r="G26">
        <f t="shared" si="12"/>
        <v>244222.74715805042</v>
      </c>
      <c r="H26">
        <f t="shared" si="12"/>
        <v>217831.14452769069</v>
      </c>
      <c r="I26">
        <f t="shared" si="12"/>
        <v>292457.98182083515</v>
      </c>
      <c r="K26">
        <f t="shared" si="13"/>
        <v>26391.602630359732</v>
      </c>
      <c r="L26">
        <f t="shared" si="14"/>
        <v>48235.234662784729</v>
      </c>
    </row>
    <row r="28" spans="1:12" x14ac:dyDescent="0.2">
      <c r="A28" t="s">
        <v>18</v>
      </c>
      <c r="B28">
        <v>10</v>
      </c>
      <c r="C28">
        <f>C20+C12</f>
        <v>1256.6032585627302</v>
      </c>
      <c r="D28">
        <f t="shared" ref="D28:I28" si="15">D20+D12</f>
        <v>56.289252414532037</v>
      </c>
      <c r="E28">
        <f t="shared" si="15"/>
        <v>1135.5279716979799</v>
      </c>
      <c r="F28">
        <f t="shared" si="15"/>
        <v>1633.6509399950917</v>
      </c>
      <c r="G28">
        <f t="shared" si="15"/>
        <v>1250.20316828215</v>
      </c>
      <c r="H28">
        <f t="shared" si="15"/>
        <v>1183.1222302747228</v>
      </c>
      <c r="I28">
        <f t="shared" si="15"/>
        <v>1348.5747385881266</v>
      </c>
      <c r="K28">
        <f>G28-H28</f>
        <v>67.080938007427221</v>
      </c>
      <c r="L28">
        <f>I28-G28</f>
        <v>98.371570305976547</v>
      </c>
    </row>
    <row r="29" spans="1:12" x14ac:dyDescent="0.2">
      <c r="A29" t="s">
        <v>18</v>
      </c>
      <c r="B29">
        <v>100</v>
      </c>
      <c r="C29">
        <f t="shared" ref="C29:I30" si="16">C21+C13</f>
        <v>8516.0211059969715</v>
      </c>
      <c r="D29">
        <f t="shared" si="16"/>
        <v>307.75773120189757</v>
      </c>
      <c r="E29">
        <f t="shared" si="16"/>
        <v>7693.3582055322422</v>
      </c>
      <c r="F29">
        <f t="shared" si="16"/>
        <v>10711.320563427611</v>
      </c>
      <c r="G29">
        <f t="shared" si="16"/>
        <v>8498.7666245753971</v>
      </c>
      <c r="H29">
        <f t="shared" si="16"/>
        <v>8079.5545081875043</v>
      </c>
      <c r="I29">
        <f t="shared" si="16"/>
        <v>8998.3008622352845</v>
      </c>
      <c r="K29">
        <f t="shared" ref="K29:K30" si="17">G29-H29</f>
        <v>419.21211638789282</v>
      </c>
      <c r="L29">
        <f t="shared" ref="L29:L30" si="18">I29-G29</f>
        <v>499.53423765988737</v>
      </c>
    </row>
    <row r="30" spans="1:12" x14ac:dyDescent="0.2">
      <c r="A30" t="s">
        <v>18</v>
      </c>
      <c r="B30">
        <v>1000</v>
      </c>
      <c r="C30">
        <f t="shared" si="16"/>
        <v>70687.359151845041</v>
      </c>
      <c r="D30">
        <f t="shared" si="16"/>
        <v>2241.5996693437874</v>
      </c>
      <c r="E30">
        <f t="shared" si="16"/>
        <v>64651.423716139194</v>
      </c>
      <c r="F30">
        <f t="shared" si="16"/>
        <v>78813.969855829288</v>
      </c>
      <c r="G30">
        <f t="shared" si="16"/>
        <v>70588.804270434775</v>
      </c>
      <c r="H30">
        <f t="shared" si="16"/>
        <v>67187.334433890574</v>
      </c>
      <c r="I30">
        <f t="shared" si="16"/>
        <v>74521.936222515535</v>
      </c>
      <c r="K30">
        <f t="shared" si="17"/>
        <v>3401.4698365442018</v>
      </c>
      <c r="L30">
        <f t="shared" si="18"/>
        <v>3933.1319520807592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Conditions</vt:lpstr>
      <vt:lpstr>Auxilaries</vt:lpstr>
      <vt:lpstr>Abatement Costs</vt:lpstr>
      <vt:lpstr>Results</vt:lpstr>
      <vt:lpstr>Uncertainity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"%username%"</dc:creator>
  <cp:lastModifiedBy>Gareth Brown</cp:lastModifiedBy>
  <dcterms:created xsi:type="dcterms:W3CDTF">2022-11-02T10:57:05Z</dcterms:created>
  <dcterms:modified xsi:type="dcterms:W3CDTF">2022-12-12T15:31:58Z</dcterms:modified>
</cp:coreProperties>
</file>