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field-my.sharepoint.com/personal/g_c_brown_cranfield_ac_uk/Documents/s294313/Experimental/Hydrolysis/Raw Data/"/>
    </mc:Choice>
  </mc:AlternateContent>
  <xr:revisionPtr revIDLastSave="221" documentId="8_{1BD67DAD-61DE-4AF7-94AA-1634D0E69485}" xr6:coauthVersionLast="47" xr6:coauthVersionMax="47" xr10:uidLastSave="{EED4969A-0DB6-44DC-8600-939E139227D9}"/>
  <bookViews>
    <workbookView xWindow="-120" yWindow="-120" windowWidth="29040" windowHeight="15720" firstSheet="16" activeTab="21" xr2:uid="{00000000-000D-0000-FFFF-FFFF00000000}"/>
  </bookViews>
  <sheets>
    <sheet name="T5 - Raw Datasets" sheetId="1" r:id="rId1"/>
    <sheet name="T5 - Processed Dataset" sheetId="4" r:id="rId2"/>
    <sheet name="T5-NLR" sheetId="9" r:id="rId3"/>
    <sheet name="T15 - Raw Datasets" sheetId="10" r:id="rId4"/>
    <sheet name="T15 - Processed Dataset" sheetId="11" r:id="rId5"/>
    <sheet name="T15-NLR" sheetId="12" r:id="rId6"/>
    <sheet name="T37 - Raw Datasets" sheetId="13" r:id="rId7"/>
    <sheet name="T37 - Processed Dataset" sheetId="14" r:id="rId8"/>
    <sheet name="T37-NLR" sheetId="15" r:id="rId9"/>
    <sheet name="T7 - Raw Dataset" sheetId="16" r:id="rId10"/>
    <sheet name="T7 - Processed Dataset" sheetId="17" r:id="rId11"/>
    <sheet name="T7-NLR" sheetId="18" r:id="rId12"/>
    <sheet name="T20- Raw Dataset" sheetId="19" r:id="rId13"/>
    <sheet name="T20 - Processed dataset" sheetId="20" r:id="rId14"/>
    <sheet name="T20 - NLR" sheetId="21" r:id="rId15"/>
    <sheet name="T10 - Raw Dataset" sheetId="22" r:id="rId16"/>
    <sheet name="T10 - Processed Dataset" sheetId="23" r:id="rId17"/>
    <sheet name="T10 - NLR" sheetId="24" r:id="rId18"/>
    <sheet name="T10 - 35rpm - Processed" sheetId="25" r:id="rId19"/>
    <sheet name="T10 - 35rpm - NLR" sheetId="26" r:id="rId20"/>
    <sheet name="T10 - 85 rpm - Processed " sheetId="27" r:id="rId21"/>
    <sheet name="T10 - 85 rpm - NLR" sheetId="2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solver_adj" localSheetId="2" hidden="1">'T5-NLR'!$AF$7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'T5-NLR'!$AF$8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10338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28" l="1"/>
  <c r="I72" i="28"/>
  <c r="H72" i="28"/>
  <c r="R56" i="28"/>
  <c r="R52" i="28"/>
  <c r="R50" i="28"/>
  <c r="R45" i="28"/>
  <c r="F44" i="28"/>
  <c r="R43" i="28"/>
  <c r="R37" i="28"/>
  <c r="N36" i="28"/>
  <c r="R35" i="28"/>
  <c r="S35" i="28" s="1"/>
  <c r="O35" i="28"/>
  <c r="N35" i="28"/>
  <c r="H35" i="28"/>
  <c r="B34" i="28"/>
  <c r="R27" i="28"/>
  <c r="R23" i="28"/>
  <c r="R21" i="28"/>
  <c r="R16" i="28"/>
  <c r="R14" i="28"/>
  <c r="R8" i="28"/>
  <c r="N7" i="28"/>
  <c r="O7" i="28" s="1"/>
  <c r="R6" i="28"/>
  <c r="S6" i="28" s="1"/>
  <c r="O6" i="28"/>
  <c r="N6" i="28"/>
  <c r="H6" i="28"/>
  <c r="B5" i="28"/>
  <c r="AD3" i="28"/>
  <c r="AB3" i="28"/>
  <c r="AA3" i="28"/>
  <c r="K53" i="27"/>
  <c r="K52" i="27"/>
  <c r="K51" i="27"/>
  <c r="K50" i="27"/>
  <c r="K49" i="27"/>
  <c r="K48" i="27"/>
  <c r="K47" i="27"/>
  <c r="K46" i="27"/>
  <c r="C43" i="27"/>
  <c r="X42" i="27"/>
  <c r="W42" i="27"/>
  <c r="C42" i="27"/>
  <c r="X41" i="27"/>
  <c r="W41" i="27"/>
  <c r="C41" i="27"/>
  <c r="X40" i="27"/>
  <c r="W40" i="27"/>
  <c r="C40" i="27"/>
  <c r="X39" i="27"/>
  <c r="W39" i="27"/>
  <c r="C39" i="27"/>
  <c r="X38" i="27"/>
  <c r="W38" i="27"/>
  <c r="C38" i="27"/>
  <c r="X37" i="27"/>
  <c r="W37" i="27"/>
  <c r="C37" i="27"/>
  <c r="X36" i="27"/>
  <c r="W36" i="27"/>
  <c r="M36" i="27"/>
  <c r="C36" i="27"/>
  <c r="I26" i="27"/>
  <c r="D26" i="27"/>
  <c r="I25" i="27"/>
  <c r="D25" i="27"/>
  <c r="I24" i="27"/>
  <c r="D24" i="27"/>
  <c r="N23" i="27"/>
  <c r="J23" i="27"/>
  <c r="K23" i="27" s="1"/>
  <c r="I23" i="27"/>
  <c r="D23" i="27"/>
  <c r="N22" i="27"/>
  <c r="K22" i="27"/>
  <c r="J22" i="27"/>
  <c r="I22" i="27"/>
  <c r="D22" i="27"/>
  <c r="N21" i="27"/>
  <c r="K21" i="27"/>
  <c r="J21" i="27"/>
  <c r="I21" i="27"/>
  <c r="D21" i="27"/>
  <c r="N20" i="27"/>
  <c r="J20" i="27"/>
  <c r="K20" i="27" s="1"/>
  <c r="I20" i="27"/>
  <c r="D20" i="27"/>
  <c r="N19" i="27"/>
  <c r="J19" i="27"/>
  <c r="K19" i="27" s="1"/>
  <c r="I19" i="27"/>
  <c r="D19" i="27"/>
  <c r="N18" i="27"/>
  <c r="K18" i="27"/>
  <c r="J18" i="27"/>
  <c r="I18" i="27"/>
  <c r="D18" i="27"/>
  <c r="N17" i="27"/>
  <c r="J17" i="27"/>
  <c r="K17" i="27" s="1"/>
  <c r="I17" i="27"/>
  <c r="D17" i="27"/>
  <c r="N16" i="27"/>
  <c r="J16" i="27"/>
  <c r="K16" i="27" s="1"/>
  <c r="I16" i="27"/>
  <c r="D16" i="27"/>
  <c r="N15" i="27"/>
  <c r="J15" i="27"/>
  <c r="K15" i="27" s="1"/>
  <c r="I15" i="27"/>
  <c r="D15" i="27"/>
  <c r="N14" i="27"/>
  <c r="J14" i="27"/>
  <c r="K14" i="27" s="1"/>
  <c r="I14" i="27"/>
  <c r="D14" i="27"/>
  <c r="N13" i="27"/>
  <c r="J13" i="27"/>
  <c r="K13" i="27" s="1"/>
  <c r="I13" i="27"/>
  <c r="D13" i="27"/>
  <c r="N12" i="27"/>
  <c r="J12" i="27"/>
  <c r="K12" i="27" s="1"/>
  <c r="I12" i="27"/>
  <c r="D12" i="27"/>
  <c r="N11" i="27"/>
  <c r="J11" i="27"/>
  <c r="K11" i="27" s="1"/>
  <c r="I11" i="27"/>
  <c r="D11" i="27"/>
  <c r="N10" i="27"/>
  <c r="K10" i="27"/>
  <c r="J10" i="27"/>
  <c r="I10" i="27"/>
  <c r="D10" i="27"/>
  <c r="N9" i="27"/>
  <c r="J9" i="27"/>
  <c r="K9" i="27" s="1"/>
  <c r="I9" i="27"/>
  <c r="D9" i="27"/>
  <c r="N8" i="27"/>
  <c r="J8" i="27"/>
  <c r="K8" i="27" s="1"/>
  <c r="I8" i="27"/>
  <c r="D8" i="27"/>
  <c r="N7" i="27"/>
  <c r="J7" i="27"/>
  <c r="K7" i="27" s="1"/>
  <c r="I7" i="27"/>
  <c r="D7" i="27"/>
  <c r="N6" i="27"/>
  <c r="J6" i="27"/>
  <c r="K6" i="27" s="1"/>
  <c r="I6" i="27"/>
  <c r="D6" i="27"/>
  <c r="N5" i="27"/>
  <c r="J5" i="27"/>
  <c r="K5" i="27" s="1"/>
  <c r="I5" i="27"/>
  <c r="N4" i="27"/>
  <c r="J4" i="27"/>
  <c r="K4" i="27" s="1"/>
  <c r="I4" i="27"/>
  <c r="N3" i="27"/>
  <c r="J3" i="27"/>
  <c r="K3" i="27" s="1"/>
  <c r="I3" i="27"/>
  <c r="J71" i="26"/>
  <c r="I71" i="26"/>
  <c r="H71" i="26"/>
  <c r="R58" i="26"/>
  <c r="R56" i="26"/>
  <c r="R52" i="26"/>
  <c r="R50" i="26"/>
  <c r="R45" i="26"/>
  <c r="R43" i="26"/>
  <c r="R37" i="26"/>
  <c r="N36" i="26"/>
  <c r="R35" i="26"/>
  <c r="S35" i="26" s="1"/>
  <c r="O35" i="26"/>
  <c r="N35" i="26"/>
  <c r="H35" i="26" s="1"/>
  <c r="R29" i="26"/>
  <c r="R27" i="26"/>
  <c r="R23" i="26"/>
  <c r="R21" i="26"/>
  <c r="G17" i="26"/>
  <c r="R16" i="26"/>
  <c r="R14" i="26"/>
  <c r="R8" i="26"/>
  <c r="N7" i="26"/>
  <c r="O7" i="26" s="1"/>
  <c r="R6" i="26"/>
  <c r="S6" i="26" s="1"/>
  <c r="O6" i="26"/>
  <c r="N6" i="26"/>
  <c r="H6" i="26"/>
  <c r="AC4" i="26"/>
  <c r="AE4" i="26" s="1"/>
  <c r="AB4" i="26"/>
  <c r="I46" i="25"/>
  <c r="I45" i="25"/>
  <c r="W40" i="25"/>
  <c r="S40" i="25"/>
  <c r="R40" i="25"/>
  <c r="I40" i="25"/>
  <c r="H40" i="25"/>
  <c r="D40" i="25"/>
  <c r="C40" i="25"/>
  <c r="W39" i="25"/>
  <c r="S39" i="25"/>
  <c r="R39" i="25"/>
  <c r="N39" i="25"/>
  <c r="M39" i="25"/>
  <c r="I39" i="25"/>
  <c r="H39" i="25"/>
  <c r="D39" i="25"/>
  <c r="C39" i="25"/>
  <c r="X38" i="25"/>
  <c r="W38" i="25"/>
  <c r="S38" i="25"/>
  <c r="R38" i="25"/>
  <c r="N38" i="25"/>
  <c r="M38" i="25"/>
  <c r="I38" i="25"/>
  <c r="H38" i="25"/>
  <c r="D38" i="25"/>
  <c r="C38" i="25"/>
  <c r="X37" i="25"/>
  <c r="W37" i="25"/>
  <c r="S37" i="25"/>
  <c r="R37" i="25"/>
  <c r="N37" i="25"/>
  <c r="M37" i="25"/>
  <c r="I37" i="25"/>
  <c r="H37" i="25"/>
  <c r="D37" i="25"/>
  <c r="C37" i="25"/>
  <c r="X36" i="25"/>
  <c r="W36" i="25"/>
  <c r="S36" i="25"/>
  <c r="R36" i="25"/>
  <c r="N36" i="25"/>
  <c r="M36" i="25"/>
  <c r="I36" i="25"/>
  <c r="H36" i="25"/>
  <c r="D36" i="25"/>
  <c r="C36" i="25"/>
  <c r="X35" i="25"/>
  <c r="W35" i="25"/>
  <c r="S35" i="25"/>
  <c r="R35" i="25"/>
  <c r="N35" i="25"/>
  <c r="M35" i="25"/>
  <c r="I35" i="25"/>
  <c r="H35" i="25"/>
  <c r="D35" i="25"/>
  <c r="C35" i="25"/>
  <c r="X34" i="25"/>
  <c r="W34" i="25"/>
  <c r="S34" i="25"/>
  <c r="R34" i="25"/>
  <c r="N34" i="25"/>
  <c r="M34" i="25"/>
  <c r="I34" i="25"/>
  <c r="H34" i="25"/>
  <c r="D34" i="25"/>
  <c r="C34" i="25"/>
  <c r="X33" i="25"/>
  <c r="W33" i="25"/>
  <c r="S33" i="25"/>
  <c r="R33" i="25"/>
  <c r="N33" i="25"/>
  <c r="M33" i="25"/>
  <c r="I33" i="25"/>
  <c r="H33" i="25"/>
  <c r="D33" i="25"/>
  <c r="C33" i="25"/>
  <c r="I26" i="25"/>
  <c r="D26" i="25"/>
  <c r="N25" i="25"/>
  <c r="I25" i="25"/>
  <c r="D25" i="25"/>
  <c r="I24" i="25"/>
  <c r="D24" i="25"/>
  <c r="J23" i="25"/>
  <c r="K23" i="25" s="1"/>
  <c r="I23" i="25"/>
  <c r="D23" i="25"/>
  <c r="J22" i="25"/>
  <c r="K22" i="25" s="1"/>
  <c r="I22" i="25"/>
  <c r="D22" i="25"/>
  <c r="N21" i="25"/>
  <c r="J21" i="25"/>
  <c r="K21" i="25" s="1"/>
  <c r="I21" i="25"/>
  <c r="D21" i="25"/>
  <c r="N20" i="25"/>
  <c r="J20" i="25"/>
  <c r="K20" i="25" s="1"/>
  <c r="I20" i="25"/>
  <c r="D20" i="25"/>
  <c r="N19" i="25"/>
  <c r="J19" i="25"/>
  <c r="K19" i="25" s="1"/>
  <c r="I19" i="25"/>
  <c r="D19" i="25"/>
  <c r="N18" i="25"/>
  <c r="J18" i="25"/>
  <c r="K18" i="25" s="1"/>
  <c r="I18" i="25"/>
  <c r="D18" i="25"/>
  <c r="N17" i="25"/>
  <c r="K17" i="25"/>
  <c r="J17" i="25"/>
  <c r="I17" i="25"/>
  <c r="D17" i="25"/>
  <c r="N16" i="25"/>
  <c r="J16" i="25"/>
  <c r="K16" i="25" s="1"/>
  <c r="I16" i="25"/>
  <c r="D16" i="25"/>
  <c r="N15" i="25"/>
  <c r="K15" i="25"/>
  <c r="J15" i="25"/>
  <c r="I15" i="25"/>
  <c r="D15" i="25"/>
  <c r="N14" i="25"/>
  <c r="J14" i="25"/>
  <c r="K14" i="25" s="1"/>
  <c r="I14" i="25"/>
  <c r="D14" i="25"/>
  <c r="N13" i="25"/>
  <c r="J13" i="25"/>
  <c r="K13" i="25" s="1"/>
  <c r="I13" i="25"/>
  <c r="D13" i="25"/>
  <c r="N12" i="25"/>
  <c r="J12" i="25"/>
  <c r="K12" i="25" s="1"/>
  <c r="I12" i="25"/>
  <c r="D12" i="25"/>
  <c r="N11" i="25"/>
  <c r="J11" i="25"/>
  <c r="K11" i="25" s="1"/>
  <c r="I11" i="25"/>
  <c r="D11" i="25"/>
  <c r="N10" i="25"/>
  <c r="J10" i="25"/>
  <c r="K10" i="25" s="1"/>
  <c r="I10" i="25"/>
  <c r="D10" i="25"/>
  <c r="N9" i="25"/>
  <c r="K9" i="25"/>
  <c r="J9" i="25"/>
  <c r="I9" i="25"/>
  <c r="D9" i="25"/>
  <c r="N8" i="25"/>
  <c r="J8" i="25"/>
  <c r="K8" i="25" s="1"/>
  <c r="I8" i="25"/>
  <c r="D8" i="25"/>
  <c r="N7" i="25"/>
  <c r="K7" i="25"/>
  <c r="J7" i="25"/>
  <c r="I7" i="25"/>
  <c r="D7" i="25"/>
  <c r="N6" i="25"/>
  <c r="J6" i="25"/>
  <c r="K6" i="25" s="1"/>
  <c r="I6" i="25"/>
  <c r="D6" i="25"/>
  <c r="N5" i="25"/>
  <c r="J5" i="25"/>
  <c r="K5" i="25" s="1"/>
  <c r="I5" i="25"/>
  <c r="N4" i="25"/>
  <c r="K4" i="25"/>
  <c r="J4" i="25"/>
  <c r="I4" i="25"/>
  <c r="N3" i="25"/>
  <c r="J3" i="25"/>
  <c r="K3" i="25" s="1"/>
  <c r="I3" i="25"/>
  <c r="H74" i="24"/>
  <c r="G74" i="24"/>
  <c r="F74" i="24"/>
  <c r="R56" i="24"/>
  <c r="R52" i="24"/>
  <c r="R50" i="24"/>
  <c r="AC49" i="24"/>
  <c r="AB49" i="24"/>
  <c r="AE49" i="24" s="1"/>
  <c r="R45" i="24"/>
  <c r="R43" i="24"/>
  <c r="R37" i="24"/>
  <c r="N36" i="24"/>
  <c r="S35" i="24"/>
  <c r="R35" i="24"/>
  <c r="O35" i="24"/>
  <c r="N35" i="24"/>
  <c r="H35" i="24"/>
  <c r="R27" i="24"/>
  <c r="R23" i="24"/>
  <c r="R21" i="24"/>
  <c r="R16" i="24"/>
  <c r="R14" i="24"/>
  <c r="K13" i="24"/>
  <c r="R8" i="24"/>
  <c r="O7" i="24"/>
  <c r="N7" i="24"/>
  <c r="R6" i="24"/>
  <c r="S6" i="24" s="1"/>
  <c r="O6" i="24"/>
  <c r="N6" i="24"/>
  <c r="H6" i="24"/>
  <c r="AC4" i="24"/>
  <c r="AB4" i="24"/>
  <c r="I45" i="22"/>
  <c r="I44" i="22"/>
  <c r="I41" i="22"/>
  <c r="I36" i="22"/>
  <c r="I20" i="22"/>
  <c r="P7" i="28" l="1"/>
  <c r="N8" i="28" s="1"/>
  <c r="O36" i="28"/>
  <c r="P7" i="26"/>
  <c r="N8" i="26" s="1"/>
  <c r="O8" i="26" s="1"/>
  <c r="O36" i="26"/>
  <c r="P7" i="24"/>
  <c r="N8" i="24" s="1"/>
  <c r="O36" i="24"/>
  <c r="P36" i="28" l="1"/>
  <c r="N37" i="28" s="1"/>
  <c r="H7" i="28"/>
  <c r="O8" i="28"/>
  <c r="P8" i="28" s="1"/>
  <c r="N9" i="28" s="1"/>
  <c r="S8" i="28"/>
  <c r="S8" i="26"/>
  <c r="P8" i="26"/>
  <c r="N9" i="26" s="1"/>
  <c r="H7" i="26"/>
  <c r="P36" i="26"/>
  <c r="N37" i="26" s="1"/>
  <c r="H7" i="24"/>
  <c r="S8" i="24"/>
  <c r="O8" i="24"/>
  <c r="P36" i="24"/>
  <c r="N37" i="24" s="1"/>
  <c r="O37" i="24" s="1"/>
  <c r="O9" i="28" l="1"/>
  <c r="H36" i="28"/>
  <c r="S37" i="28"/>
  <c r="O37" i="28"/>
  <c r="H36" i="26"/>
  <c r="S37" i="26"/>
  <c r="O37" i="26"/>
  <c r="O9" i="26"/>
  <c r="P9" i="26" s="1"/>
  <c r="N10" i="26" s="1"/>
  <c r="P37" i="24"/>
  <c r="N38" i="24" s="1"/>
  <c r="H36" i="24"/>
  <c r="S37" i="24"/>
  <c r="P8" i="24"/>
  <c r="N9" i="24" s="1"/>
  <c r="O9" i="24" s="1"/>
  <c r="P37" i="28" l="1"/>
  <c r="N38" i="28" s="1"/>
  <c r="P9" i="28"/>
  <c r="N10" i="28" s="1"/>
  <c r="O10" i="26"/>
  <c r="P37" i="26"/>
  <c r="N38" i="26" s="1"/>
  <c r="O38" i="26" s="1"/>
  <c r="O10" i="24"/>
  <c r="P9" i="24"/>
  <c r="N10" i="24" s="1"/>
  <c r="O38" i="24"/>
  <c r="P38" i="24" s="1"/>
  <c r="N39" i="24" s="1"/>
  <c r="O10" i="28" l="1"/>
  <c r="O38" i="28"/>
  <c r="P38" i="26"/>
  <c r="N39" i="26" s="1"/>
  <c r="P10" i="26"/>
  <c r="N11" i="26" s="1"/>
  <c r="P39" i="24"/>
  <c r="N40" i="24" s="1"/>
  <c r="O39" i="24"/>
  <c r="P10" i="24"/>
  <c r="N11" i="24" s="1"/>
  <c r="P38" i="28" l="1"/>
  <c r="N39" i="28" s="1"/>
  <c r="P10" i="28"/>
  <c r="N11" i="28" s="1"/>
  <c r="O11" i="28" s="1"/>
  <c r="O11" i="26"/>
  <c r="O39" i="26"/>
  <c r="O40" i="24"/>
  <c r="O11" i="24"/>
  <c r="P40" i="24"/>
  <c r="N41" i="24" s="1"/>
  <c r="P11" i="28" l="1"/>
  <c r="N12" i="28" s="1"/>
  <c r="O39" i="28"/>
  <c r="P11" i="26"/>
  <c r="N12" i="26" s="1"/>
  <c r="P39" i="26"/>
  <c r="N40" i="26" s="1"/>
  <c r="O12" i="24"/>
  <c r="O41" i="24"/>
  <c r="P41" i="24" s="1"/>
  <c r="N42" i="24" s="1"/>
  <c r="P11" i="24"/>
  <c r="N12" i="24" s="1"/>
  <c r="P39" i="28" l="1"/>
  <c r="N40" i="28" s="1"/>
  <c r="O12" i="28"/>
  <c r="O40" i="26"/>
  <c r="O12" i="26"/>
  <c r="P12" i="24"/>
  <c r="N13" i="24" s="1"/>
  <c r="O42" i="24"/>
  <c r="P12" i="28" l="1"/>
  <c r="N13" i="28" s="1"/>
  <c r="O40" i="28"/>
  <c r="P12" i="26"/>
  <c r="N13" i="26" s="1"/>
  <c r="P40" i="26"/>
  <c r="N41" i="26" s="1"/>
  <c r="O13" i="24"/>
  <c r="P42" i="24"/>
  <c r="N43" i="24" s="1"/>
  <c r="P40" i="28" l="1"/>
  <c r="N41" i="28" s="1"/>
  <c r="O13" i="28"/>
  <c r="O41" i="26"/>
  <c r="O13" i="26"/>
  <c r="H37" i="24"/>
  <c r="S43" i="24"/>
  <c r="P13" i="24"/>
  <c r="N14" i="24" s="1"/>
  <c r="O43" i="24"/>
  <c r="P13" i="28" l="1"/>
  <c r="N14" i="28" s="1"/>
  <c r="O41" i="28"/>
  <c r="P13" i="26"/>
  <c r="N14" i="26" s="1"/>
  <c r="P41" i="26"/>
  <c r="N42" i="26" s="1"/>
  <c r="H8" i="24"/>
  <c r="S14" i="24"/>
  <c r="O14" i="24"/>
  <c r="P43" i="24"/>
  <c r="N44" i="24" s="1"/>
  <c r="H8" i="28" l="1"/>
  <c r="S14" i="28"/>
  <c r="P41" i="28"/>
  <c r="N42" i="28" s="1"/>
  <c r="O14" i="28"/>
  <c r="O42" i="26"/>
  <c r="H8" i="26"/>
  <c r="S14" i="26"/>
  <c r="O14" i="26"/>
  <c r="P14" i="26" s="1"/>
  <c r="N15" i="26" s="1"/>
  <c r="O44" i="24"/>
  <c r="P14" i="24"/>
  <c r="N15" i="24" s="1"/>
  <c r="O15" i="24" s="1"/>
  <c r="P14" i="28" l="1"/>
  <c r="N15" i="28" s="1"/>
  <c r="O42" i="28"/>
  <c r="O15" i="26"/>
  <c r="P42" i="26"/>
  <c r="N43" i="26" s="1"/>
  <c r="P15" i="24"/>
  <c r="N16" i="24" s="1"/>
  <c r="P44" i="24"/>
  <c r="N45" i="24" s="1"/>
  <c r="O15" i="28" l="1"/>
  <c r="P42" i="28"/>
  <c r="N43" i="28" s="1"/>
  <c r="S43" i="26"/>
  <c r="H37" i="26"/>
  <c r="O43" i="26"/>
  <c r="P15" i="26"/>
  <c r="N16" i="26" s="1"/>
  <c r="H38" i="24"/>
  <c r="S45" i="24"/>
  <c r="O45" i="24"/>
  <c r="H9" i="24"/>
  <c r="S16" i="24"/>
  <c r="O16" i="24"/>
  <c r="H37" i="28" l="1"/>
  <c r="S43" i="28"/>
  <c r="P15" i="28"/>
  <c r="N16" i="28" s="1"/>
  <c r="O43" i="28"/>
  <c r="H9" i="26"/>
  <c r="S16" i="26"/>
  <c r="O16" i="26"/>
  <c r="P43" i="26"/>
  <c r="N44" i="26" s="1"/>
  <c r="O44" i="26" s="1"/>
  <c r="P16" i="24"/>
  <c r="N17" i="24" s="1"/>
  <c r="P45" i="24"/>
  <c r="N46" i="24" s="1"/>
  <c r="H9" i="28" l="1"/>
  <c r="S16" i="28"/>
  <c r="O16" i="28"/>
  <c r="P43" i="28"/>
  <c r="N44" i="28" s="1"/>
  <c r="P44" i="26"/>
  <c r="N45" i="26" s="1"/>
  <c r="P16" i="26"/>
  <c r="N17" i="26" s="1"/>
  <c r="O17" i="24"/>
  <c r="O46" i="24"/>
  <c r="O44" i="28" l="1"/>
  <c r="P16" i="28"/>
  <c r="N17" i="28" s="1"/>
  <c r="H38" i="26"/>
  <c r="S45" i="26"/>
  <c r="O17" i="26"/>
  <c r="O45" i="26"/>
  <c r="P46" i="24"/>
  <c r="N47" i="24" s="1"/>
  <c r="P17" i="24"/>
  <c r="N18" i="24" s="1"/>
  <c r="O17" i="28" l="1"/>
  <c r="P44" i="28"/>
  <c r="N45" i="28" s="1"/>
  <c r="P17" i="26"/>
  <c r="N18" i="26" s="1"/>
  <c r="O18" i="26" s="1"/>
  <c r="P45" i="26"/>
  <c r="N46" i="26" s="1"/>
  <c r="O18" i="24"/>
  <c r="O47" i="24"/>
  <c r="S45" i="28" l="1"/>
  <c r="H38" i="28"/>
  <c r="O45" i="28"/>
  <c r="P45" i="28" s="1"/>
  <c r="N46" i="28" s="1"/>
  <c r="P17" i="28"/>
  <c r="N18" i="28" s="1"/>
  <c r="P18" i="26"/>
  <c r="N19" i="26" s="1"/>
  <c r="O46" i="26"/>
  <c r="P46" i="26" s="1"/>
  <c r="N47" i="26" s="1"/>
  <c r="P47" i="24"/>
  <c r="N48" i="24" s="1"/>
  <c r="P18" i="24"/>
  <c r="N19" i="24" s="1"/>
  <c r="O19" i="24" s="1"/>
  <c r="O18" i="28" l="1"/>
  <c r="O46" i="28"/>
  <c r="O47" i="26"/>
  <c r="O19" i="26"/>
  <c r="P19" i="24"/>
  <c r="N20" i="24" s="1"/>
  <c r="O48" i="24"/>
  <c r="P18" i="28" l="1"/>
  <c r="N19" i="28" s="1"/>
  <c r="P46" i="28"/>
  <c r="N47" i="28" s="1"/>
  <c r="P19" i="26"/>
  <c r="N20" i="26" s="1"/>
  <c r="P47" i="26"/>
  <c r="N48" i="26" s="1"/>
  <c r="P48" i="24"/>
  <c r="N49" i="24" s="1"/>
  <c r="O20" i="24"/>
  <c r="O19" i="28" l="1"/>
  <c r="O47" i="28"/>
  <c r="O20" i="26"/>
  <c r="O48" i="26"/>
  <c r="P20" i="24"/>
  <c r="N21" i="24" s="1"/>
  <c r="O49" i="24"/>
  <c r="P19" i="28" l="1"/>
  <c r="N20" i="28" s="1"/>
  <c r="P47" i="28"/>
  <c r="N48" i="28" s="1"/>
  <c r="P20" i="26"/>
  <c r="N21" i="26" s="1"/>
  <c r="P48" i="26"/>
  <c r="N49" i="26" s="1"/>
  <c r="O49" i="26" s="1"/>
  <c r="P49" i="24"/>
  <c r="N50" i="24" s="1"/>
  <c r="H10" i="24"/>
  <c r="S21" i="24"/>
  <c r="O21" i="24"/>
  <c r="O20" i="28" l="1"/>
  <c r="O48" i="28"/>
  <c r="H10" i="26"/>
  <c r="S21" i="26"/>
  <c r="P49" i="26"/>
  <c r="N50" i="26" s="1"/>
  <c r="O21" i="26"/>
  <c r="P21" i="24"/>
  <c r="N22" i="24" s="1"/>
  <c r="H39" i="24"/>
  <c r="S50" i="24"/>
  <c r="O50" i="24"/>
  <c r="P48" i="28" l="1"/>
  <c r="N49" i="28" s="1"/>
  <c r="P20" i="28"/>
  <c r="N21" i="28" s="1"/>
  <c r="H39" i="26"/>
  <c r="S50" i="26"/>
  <c r="P21" i="26"/>
  <c r="N22" i="26" s="1"/>
  <c r="O50" i="26"/>
  <c r="P50" i="24"/>
  <c r="N51" i="24" s="1"/>
  <c r="O22" i="24"/>
  <c r="H10" i="28" l="1"/>
  <c r="S21" i="28"/>
  <c r="O49" i="28"/>
  <c r="O21" i="28"/>
  <c r="P21" i="28" s="1"/>
  <c r="N22" i="28" s="1"/>
  <c r="P50" i="26"/>
  <c r="N51" i="26" s="1"/>
  <c r="O22" i="26"/>
  <c r="O23" i="24"/>
  <c r="O51" i="24"/>
  <c r="P22" i="24"/>
  <c r="N23" i="24" s="1"/>
  <c r="O22" i="28" l="1"/>
  <c r="P49" i="28"/>
  <c r="N50" i="28" s="1"/>
  <c r="P22" i="26"/>
  <c r="N23" i="26" s="1"/>
  <c r="O51" i="26"/>
  <c r="O24" i="24"/>
  <c r="P23" i="24"/>
  <c r="N24" i="24" s="1"/>
  <c r="H11" i="24"/>
  <c r="S23" i="24"/>
  <c r="P51" i="24"/>
  <c r="N52" i="24" s="1"/>
  <c r="S50" i="28" l="1"/>
  <c r="H39" i="28"/>
  <c r="O50" i="28"/>
  <c r="P22" i="28"/>
  <c r="N23" i="28" s="1"/>
  <c r="P51" i="26"/>
  <c r="N52" i="26" s="1"/>
  <c r="H11" i="26"/>
  <c r="S23" i="26"/>
  <c r="O23" i="26"/>
  <c r="H40" i="24"/>
  <c r="S52" i="24"/>
  <c r="O52" i="24"/>
  <c r="P24" i="24"/>
  <c r="N25" i="24" s="1"/>
  <c r="O25" i="24"/>
  <c r="H11" i="28" l="1"/>
  <c r="S23" i="28"/>
  <c r="P50" i="28"/>
  <c r="N51" i="28" s="1"/>
  <c r="O23" i="28"/>
  <c r="P23" i="26"/>
  <c r="N24" i="26" s="1"/>
  <c r="H40" i="26"/>
  <c r="S52" i="26"/>
  <c r="O52" i="26"/>
  <c r="P52" i="26" s="1"/>
  <c r="N53" i="26" s="1"/>
  <c r="P25" i="24"/>
  <c r="N26" i="24" s="1"/>
  <c r="P52" i="24"/>
  <c r="N53" i="24" s="1"/>
  <c r="P23" i="28" l="1"/>
  <c r="N24" i="28" s="1"/>
  <c r="O51" i="28"/>
  <c r="O53" i="26"/>
  <c r="O24" i="26"/>
  <c r="O26" i="24"/>
  <c r="P26" i="24" s="1"/>
  <c r="N27" i="24" s="1"/>
  <c r="O53" i="24"/>
  <c r="P51" i="28" l="1"/>
  <c r="N52" i="28" s="1"/>
  <c r="O24" i="28"/>
  <c r="P24" i="26"/>
  <c r="N25" i="26" s="1"/>
  <c r="P53" i="26"/>
  <c r="N54" i="26" s="1"/>
  <c r="H12" i="24"/>
  <c r="S27" i="24"/>
  <c r="S29" i="24" s="1"/>
  <c r="B8" i="24" s="1"/>
  <c r="P53" i="24"/>
  <c r="N54" i="24" s="1"/>
  <c r="O27" i="24"/>
  <c r="P27" i="24" s="1"/>
  <c r="S52" i="28" l="1"/>
  <c r="H40" i="28"/>
  <c r="P24" i="28"/>
  <c r="N25" i="28" s="1"/>
  <c r="O52" i="28"/>
  <c r="O54" i="26"/>
  <c r="O25" i="26"/>
  <c r="O54" i="24"/>
  <c r="B10" i="24"/>
  <c r="B13" i="24" s="1"/>
  <c r="P52" i="28" l="1"/>
  <c r="N53" i="28" s="1"/>
  <c r="O25" i="28"/>
  <c r="P25" i="26"/>
  <c r="N26" i="26" s="1"/>
  <c r="P54" i="26"/>
  <c r="N55" i="26" s="1"/>
  <c r="O55" i="26" s="1"/>
  <c r="P54" i="24"/>
  <c r="N55" i="24" s="1"/>
  <c r="P25" i="28" l="1"/>
  <c r="N26" i="28" s="1"/>
  <c r="O53" i="28"/>
  <c r="P55" i="26"/>
  <c r="N56" i="26" s="1"/>
  <c r="O26" i="26"/>
  <c r="O55" i="24"/>
  <c r="P53" i="28" l="1"/>
  <c r="N54" i="28" s="1"/>
  <c r="O26" i="28"/>
  <c r="O27" i="26"/>
  <c r="P26" i="26"/>
  <c r="N27" i="26" s="1"/>
  <c r="S56" i="26"/>
  <c r="H41" i="26"/>
  <c r="O56" i="26"/>
  <c r="O56" i="24"/>
  <c r="P55" i="24"/>
  <c r="N56" i="24" s="1"/>
  <c r="P26" i="28" l="1"/>
  <c r="N27" i="28" s="1"/>
  <c r="O54" i="28"/>
  <c r="P56" i="26"/>
  <c r="N57" i="26" s="1"/>
  <c r="H12" i="26"/>
  <c r="P27" i="26"/>
  <c r="N28" i="26" s="1"/>
  <c r="O28" i="26" s="1"/>
  <c r="S27" i="26"/>
  <c r="P56" i="24"/>
  <c r="H41" i="24"/>
  <c r="S56" i="24"/>
  <c r="S58" i="24" s="1"/>
  <c r="B37" i="24" s="1"/>
  <c r="H12" i="28" l="1"/>
  <c r="S27" i="28"/>
  <c r="S31" i="28" s="1"/>
  <c r="B8" i="28" s="1"/>
  <c r="P54" i="28"/>
  <c r="N55" i="28" s="1"/>
  <c r="O27" i="28"/>
  <c r="P27" i="28" s="1"/>
  <c r="P28" i="26"/>
  <c r="N29" i="26" s="1"/>
  <c r="O57" i="26"/>
  <c r="P57" i="26" s="1"/>
  <c r="N58" i="26" s="1"/>
  <c r="B39" i="24"/>
  <c r="B42" i="24" s="1"/>
  <c r="B10" i="28" l="1"/>
  <c r="B13" i="28" s="1"/>
  <c r="O55" i="28"/>
  <c r="H42" i="26"/>
  <c r="S58" i="26"/>
  <c r="S60" i="26" s="1"/>
  <c r="B37" i="26" s="1"/>
  <c r="H13" i="26"/>
  <c r="S29" i="26"/>
  <c r="S31" i="26" s="1"/>
  <c r="B8" i="26" s="1"/>
  <c r="O58" i="26"/>
  <c r="P58" i="26" s="1"/>
  <c r="O29" i="26"/>
  <c r="P29" i="26" s="1"/>
  <c r="P55" i="28" l="1"/>
  <c r="N56" i="28" s="1"/>
  <c r="B39" i="26"/>
  <c r="B42" i="26" s="1"/>
  <c r="B10" i="26"/>
  <c r="B13" i="26" s="1"/>
  <c r="H41" i="28" l="1"/>
  <c r="S56" i="28"/>
  <c r="S60" i="28" s="1"/>
  <c r="B37" i="28" s="1"/>
  <c r="O56" i="28"/>
  <c r="P56" i="28" s="1"/>
  <c r="B39" i="28" l="1"/>
  <c r="B42" i="28" s="1"/>
  <c r="J53" i="21" l="1"/>
  <c r="I53" i="21"/>
  <c r="AB46" i="21"/>
  <c r="AA46" i="21"/>
  <c r="N43" i="21"/>
  <c r="AB42" i="21"/>
  <c r="AA42" i="21"/>
  <c r="R42" i="21"/>
  <c r="S42" i="21" s="1"/>
  <c r="O42" i="21"/>
  <c r="N42" i="21"/>
  <c r="H42" i="21"/>
  <c r="AB41" i="21"/>
  <c r="AA41" i="21"/>
  <c r="AD41" i="21" s="1"/>
  <c r="B41" i="21"/>
  <c r="I17" i="21"/>
  <c r="AB8" i="21"/>
  <c r="AA8" i="21"/>
  <c r="N7" i="21"/>
  <c r="O7" i="21" s="1"/>
  <c r="R6" i="21"/>
  <c r="S6" i="21" s="1"/>
  <c r="O6" i="21"/>
  <c r="N6" i="21"/>
  <c r="H6" i="21" s="1"/>
  <c r="B5" i="21"/>
  <c r="AB4" i="21"/>
  <c r="AA4" i="21"/>
  <c r="AB3" i="21"/>
  <c r="AD3" i="21" s="1"/>
  <c r="AA3" i="21"/>
  <c r="P7" i="21" l="1"/>
  <c r="N8" i="21" s="1"/>
  <c r="O43" i="21"/>
  <c r="S8" i="21" l="1"/>
  <c r="H7" i="21"/>
  <c r="O8" i="21"/>
  <c r="P43" i="21"/>
  <c r="N44" i="21" s="1"/>
  <c r="H43" i="21" l="1"/>
  <c r="S44" i="21"/>
  <c r="P8" i="21"/>
  <c r="N9" i="21" s="1"/>
  <c r="O44" i="21"/>
  <c r="P44" i="21" s="1"/>
  <c r="N45" i="21" s="1"/>
  <c r="O9" i="21" l="1"/>
  <c r="O45" i="21"/>
  <c r="P9" i="21" l="1"/>
  <c r="N10" i="21" s="1"/>
  <c r="P45" i="21"/>
  <c r="N46" i="21" s="1"/>
  <c r="O10" i="21" l="1"/>
  <c r="O46" i="21"/>
  <c r="P10" i="21" l="1"/>
  <c r="N11" i="21" s="1"/>
  <c r="P46" i="21"/>
  <c r="N47" i="21" s="1"/>
  <c r="O11" i="21" l="1"/>
  <c r="O47" i="21"/>
  <c r="P11" i="21" l="1"/>
  <c r="N12" i="21" s="1"/>
  <c r="P47" i="21"/>
  <c r="N48" i="21" s="1"/>
  <c r="S48" i="21" l="1"/>
  <c r="H44" i="21"/>
  <c r="S12" i="21"/>
  <c r="H8" i="21"/>
  <c r="O12" i="21"/>
  <c r="O48" i="21"/>
  <c r="P12" i="21" l="1"/>
  <c r="N13" i="21" s="1"/>
  <c r="P48" i="21"/>
  <c r="N49" i="21" s="1"/>
  <c r="O49" i="21" s="1"/>
  <c r="P49" i="21" l="1"/>
  <c r="N50" i="21" s="1"/>
  <c r="O13" i="21"/>
  <c r="P13" i="21" l="1"/>
  <c r="N14" i="21" s="1"/>
  <c r="O50" i="21"/>
  <c r="P50" i="21" s="1"/>
  <c r="N51" i="21" s="1"/>
  <c r="P51" i="21" l="1"/>
  <c r="N52" i="21" s="1"/>
  <c r="O51" i="21"/>
  <c r="P14" i="21"/>
  <c r="N15" i="21" s="1"/>
  <c r="O14" i="21"/>
  <c r="S52" i="21" l="1"/>
  <c r="H45" i="21"/>
  <c r="O15" i="21"/>
  <c r="P15" i="21" s="1"/>
  <c r="N16" i="21" s="1"/>
  <c r="O52" i="21"/>
  <c r="H9" i="21" l="1"/>
  <c r="S16" i="21"/>
  <c r="P52" i="21"/>
  <c r="N53" i="21" s="1"/>
  <c r="O16" i="21"/>
  <c r="O53" i="21" l="1"/>
  <c r="P16" i="21"/>
  <c r="N17" i="21" s="1"/>
  <c r="O17" i="21" l="1"/>
  <c r="P53" i="21"/>
  <c r="N54" i="21" s="1"/>
  <c r="O54" i="21" l="1"/>
  <c r="P17" i="21"/>
  <c r="N18" i="21" s="1"/>
  <c r="O18" i="21" l="1"/>
  <c r="P54" i="21"/>
  <c r="N55" i="21" s="1"/>
  <c r="H46" i="21" l="1"/>
  <c r="S55" i="21"/>
  <c r="O55" i="21"/>
  <c r="P55" i="21" s="1"/>
  <c r="N56" i="21" s="1"/>
  <c r="P18" i="21"/>
  <c r="N19" i="21" s="1"/>
  <c r="P56" i="21" l="1"/>
  <c r="N57" i="21" s="1"/>
  <c r="H10" i="21"/>
  <c r="S19" i="21"/>
  <c r="O19" i="21"/>
  <c r="O56" i="21"/>
  <c r="O57" i="21" l="1"/>
  <c r="P19" i="21"/>
  <c r="N20" i="21" s="1"/>
  <c r="P20" i="21" l="1"/>
  <c r="N21" i="21" s="1"/>
  <c r="O20" i="21"/>
  <c r="P57" i="21"/>
  <c r="N58" i="21" s="1"/>
  <c r="O21" i="21" l="1"/>
  <c r="S58" i="21"/>
  <c r="H47" i="21"/>
  <c r="O58" i="21"/>
  <c r="O59" i="21" l="1"/>
  <c r="P58" i="21"/>
  <c r="N59" i="21" s="1"/>
  <c r="P21" i="21"/>
  <c r="N22" i="21" s="1"/>
  <c r="O60" i="21" l="1"/>
  <c r="H11" i="21"/>
  <c r="S22" i="21"/>
  <c r="O22" i="21"/>
  <c r="P22" i="21" s="1"/>
  <c r="N23" i="21" s="1"/>
  <c r="H48" i="21"/>
  <c r="P59" i="21"/>
  <c r="N60" i="21" s="1"/>
  <c r="S59" i="21"/>
  <c r="S23" i="21" l="1"/>
  <c r="H12" i="21"/>
  <c r="P60" i="21"/>
  <c r="N61" i="21" s="1"/>
  <c r="O23" i="21"/>
  <c r="O61" i="21" l="1"/>
  <c r="P23" i="21"/>
  <c r="N24" i="21" s="1"/>
  <c r="O24" i="21" s="1"/>
  <c r="P24" i="21" l="1"/>
  <c r="N25" i="21" s="1"/>
  <c r="P61" i="21"/>
  <c r="N62" i="21" s="1"/>
  <c r="O62" i="21" l="1"/>
  <c r="O25" i="21"/>
  <c r="P25" i="21" s="1"/>
  <c r="N26" i="21" s="1"/>
  <c r="O26" i="21" l="1"/>
  <c r="P62" i="21"/>
  <c r="N63" i="21" s="1"/>
  <c r="H49" i="21" l="1"/>
  <c r="S63" i="21"/>
  <c r="O63" i="21"/>
  <c r="P26" i="21"/>
  <c r="N27" i="21" s="1"/>
  <c r="S27" i="21" l="1"/>
  <c r="H13" i="21"/>
  <c r="P63" i="21"/>
  <c r="N64" i="21" s="1"/>
  <c r="O27" i="21"/>
  <c r="P27" i="21" l="1"/>
  <c r="N28" i="21" s="1"/>
  <c r="O64" i="21"/>
  <c r="P64" i="21" s="1"/>
  <c r="N65" i="21" s="1"/>
  <c r="S65" i="21" l="1"/>
  <c r="H50" i="21"/>
  <c r="O65" i="21"/>
  <c r="O28" i="21"/>
  <c r="P28" i="21" l="1"/>
  <c r="N29" i="21" s="1"/>
  <c r="P65" i="21"/>
  <c r="N66" i="21" s="1"/>
  <c r="S29" i="21" l="1"/>
  <c r="H14" i="21"/>
  <c r="O66" i="21"/>
  <c r="O29" i="21"/>
  <c r="P29" i="21" l="1"/>
  <c r="N30" i="21" s="1"/>
  <c r="P66" i="21"/>
  <c r="N67" i="21" s="1"/>
  <c r="O67" i="21" l="1"/>
  <c r="O30" i="21"/>
  <c r="P30" i="21" l="1"/>
  <c r="N31" i="21" s="1"/>
  <c r="P67" i="21"/>
  <c r="N68" i="21" s="1"/>
  <c r="O68" i="21" l="1"/>
  <c r="O31" i="21"/>
  <c r="P31" i="21" l="1"/>
  <c r="N32" i="21" s="1"/>
  <c r="P68" i="21"/>
  <c r="N69" i="21" s="1"/>
  <c r="H51" i="21" l="1"/>
  <c r="H53" i="21" s="1"/>
  <c r="S69" i="21"/>
  <c r="S71" i="21" s="1"/>
  <c r="B44" i="21" s="1"/>
  <c r="O69" i="21"/>
  <c r="P69" i="21" s="1"/>
  <c r="O32" i="21"/>
  <c r="P32" i="21" l="1"/>
  <c r="N33" i="21" s="1"/>
  <c r="B46" i="21"/>
  <c r="B49" i="21" s="1"/>
  <c r="H15" i="21" l="1"/>
  <c r="H17" i="21" s="1"/>
  <c r="S33" i="21"/>
  <c r="S35" i="21" s="1"/>
  <c r="B8" i="21" s="1"/>
  <c r="O33" i="21"/>
  <c r="P33" i="21" s="1"/>
  <c r="B10" i="21" l="1"/>
  <c r="B13" i="21"/>
  <c r="J90" i="18" l="1"/>
  <c r="I90" i="18"/>
  <c r="H90" i="18"/>
  <c r="L79" i="18"/>
  <c r="I53" i="18"/>
  <c r="L51" i="18"/>
  <c r="L50" i="18"/>
  <c r="L49" i="18"/>
  <c r="L48" i="18"/>
  <c r="L47" i="18"/>
  <c r="L46" i="18"/>
  <c r="L45" i="18"/>
  <c r="L44" i="18"/>
  <c r="O43" i="18"/>
  <c r="N43" i="18"/>
  <c r="L43" i="18"/>
  <c r="R42" i="18"/>
  <c r="O42" i="18"/>
  <c r="N42" i="18"/>
  <c r="L42" i="18"/>
  <c r="L53" i="18" s="1"/>
  <c r="H42" i="18"/>
  <c r="K42" i="18" s="1"/>
  <c r="B41" i="18"/>
  <c r="I17" i="18"/>
  <c r="N7" i="18"/>
  <c r="R6" i="18"/>
  <c r="O6" i="18"/>
  <c r="N6" i="18"/>
  <c r="O7" i="18" s="1"/>
  <c r="B5" i="18"/>
  <c r="P7" i="18" l="1"/>
  <c r="N8" i="18" s="1"/>
  <c r="O8" i="18" s="1"/>
  <c r="P43" i="18"/>
  <c r="N44" i="18" s="1"/>
  <c r="H6" i="18"/>
  <c r="K6" i="18" l="1"/>
  <c r="H43" i="18"/>
  <c r="O44" i="18"/>
  <c r="P44" i="18" s="1"/>
  <c r="N45" i="18" s="1"/>
  <c r="P8" i="18"/>
  <c r="N9" i="18" s="1"/>
  <c r="H7" i="18"/>
  <c r="K7" i="18" s="1"/>
  <c r="O45" i="18" l="1"/>
  <c r="K43" i="18"/>
  <c r="O9" i="18"/>
  <c r="P9" i="18" l="1"/>
  <c r="N10" i="18" s="1"/>
  <c r="O10" i="18" s="1"/>
  <c r="P45" i="18"/>
  <c r="N46" i="18" s="1"/>
  <c r="O46" i="18" s="1"/>
  <c r="P10" i="18" l="1"/>
  <c r="N11" i="18" s="1"/>
  <c r="P46" i="18"/>
  <c r="N47" i="18" s="1"/>
  <c r="O11" i="18" l="1"/>
  <c r="O47" i="18"/>
  <c r="P11" i="18" l="1"/>
  <c r="N12" i="18" s="1"/>
  <c r="P47" i="18"/>
  <c r="N48" i="18" s="1"/>
  <c r="H44" i="18" l="1"/>
  <c r="O48" i="18"/>
  <c r="H8" i="18"/>
  <c r="O12" i="18"/>
  <c r="K8" i="18" l="1"/>
  <c r="P12" i="18"/>
  <c r="N13" i="18" s="1"/>
  <c r="O13" i="18" s="1"/>
  <c r="P48" i="18"/>
  <c r="N49" i="18" s="1"/>
  <c r="K44" i="18"/>
  <c r="O49" i="18" l="1"/>
  <c r="P13" i="18"/>
  <c r="N14" i="18" s="1"/>
  <c r="P49" i="18" l="1"/>
  <c r="N50" i="18" s="1"/>
  <c r="O14" i="18"/>
  <c r="O50" i="18" l="1"/>
  <c r="P14" i="18"/>
  <c r="N15" i="18" s="1"/>
  <c r="P50" i="18" l="1"/>
  <c r="N51" i="18" s="1"/>
  <c r="O15" i="18"/>
  <c r="O51" i="18" l="1"/>
  <c r="P15" i="18"/>
  <c r="N16" i="18" s="1"/>
  <c r="H9" i="18" l="1"/>
  <c r="P51" i="18"/>
  <c r="N52" i="18" s="1"/>
  <c r="O16" i="18"/>
  <c r="P16" i="18" l="1"/>
  <c r="N17" i="18" s="1"/>
  <c r="H45" i="18"/>
  <c r="K9" i="18"/>
  <c r="O52" i="18"/>
  <c r="K45" i="18" l="1"/>
  <c r="P52" i="18"/>
  <c r="N53" i="18" s="1"/>
  <c r="O17" i="18"/>
  <c r="P17" i="18" l="1"/>
  <c r="N18" i="18" s="1"/>
  <c r="O53" i="18"/>
  <c r="P53" i="18" l="1"/>
  <c r="N54" i="18" s="1"/>
  <c r="O54" i="18" s="1"/>
  <c r="O18" i="18"/>
  <c r="P54" i="18" l="1"/>
  <c r="N55" i="18" s="1"/>
  <c r="P18" i="18"/>
  <c r="N19" i="18" s="1"/>
  <c r="H10" i="18" l="1"/>
  <c r="H46" i="18"/>
  <c r="O19" i="18"/>
  <c r="O55" i="18"/>
  <c r="P55" i="18" l="1"/>
  <c r="N56" i="18" s="1"/>
  <c r="K46" i="18"/>
  <c r="K10" i="18"/>
  <c r="P19" i="18"/>
  <c r="N20" i="18" s="1"/>
  <c r="O20" i="18" l="1"/>
  <c r="O56" i="18"/>
  <c r="P56" i="18" l="1"/>
  <c r="N57" i="18" s="1"/>
  <c r="P20" i="18"/>
  <c r="N21" i="18" s="1"/>
  <c r="O57" i="18" l="1"/>
  <c r="O21" i="18"/>
  <c r="P57" i="18" l="1"/>
  <c r="N58" i="18" s="1"/>
  <c r="P21" i="18"/>
  <c r="N22" i="18" s="1"/>
  <c r="H11" i="18" l="1"/>
  <c r="K11" i="18" s="1"/>
  <c r="H47" i="18"/>
  <c r="O58" i="18"/>
  <c r="O22" i="18"/>
  <c r="P58" i="18" l="1"/>
  <c r="N59" i="18" s="1"/>
  <c r="O59" i="18" s="1"/>
  <c r="K47" i="18"/>
  <c r="P22" i="18"/>
  <c r="N23" i="18" s="1"/>
  <c r="H12" i="18" l="1"/>
  <c r="K12" i="18" s="1"/>
  <c r="P59" i="18"/>
  <c r="N60" i="18" s="1"/>
  <c r="H48" i="18"/>
  <c r="K48" i="18" s="1"/>
  <c r="O23" i="18"/>
  <c r="P23" i="18" l="1"/>
  <c r="N24" i="18" s="1"/>
  <c r="O60" i="18"/>
  <c r="P60" i="18" l="1"/>
  <c r="N61" i="18" s="1"/>
  <c r="O24" i="18"/>
  <c r="P24" i="18" l="1"/>
  <c r="N25" i="18" s="1"/>
  <c r="O61" i="18"/>
  <c r="P61" i="18" l="1"/>
  <c r="N62" i="18" s="1"/>
  <c r="O25" i="18"/>
  <c r="P25" i="18" l="1"/>
  <c r="N26" i="18" s="1"/>
  <c r="O62" i="18"/>
  <c r="P62" i="18" l="1"/>
  <c r="N63" i="18" s="1"/>
  <c r="O26" i="18"/>
  <c r="H49" i="18" l="1"/>
  <c r="K49" i="18" s="1"/>
  <c r="O63" i="18"/>
  <c r="P26" i="18"/>
  <c r="N27" i="18" s="1"/>
  <c r="H13" i="18" l="1"/>
  <c r="K13" i="18" s="1"/>
  <c r="O27" i="18"/>
  <c r="P27" i="18" s="1"/>
  <c r="N28" i="18" s="1"/>
  <c r="P63" i="18"/>
  <c r="N64" i="18" s="1"/>
  <c r="O64" i="18" l="1"/>
  <c r="O28" i="18"/>
  <c r="P64" i="18" l="1"/>
  <c r="N65" i="18" s="1"/>
  <c r="O65" i="18" s="1"/>
  <c r="P28" i="18"/>
  <c r="N29" i="18" s="1"/>
  <c r="H14" i="18" l="1"/>
  <c r="K14" i="18" s="1"/>
  <c r="P65" i="18"/>
  <c r="N66" i="18" s="1"/>
  <c r="H50" i="18"/>
  <c r="K50" i="18" s="1"/>
  <c r="O29" i="18"/>
  <c r="P29" i="18" l="1"/>
  <c r="N30" i="18" s="1"/>
  <c r="O66" i="18"/>
  <c r="O30" i="18" l="1"/>
  <c r="P66" i="18"/>
  <c r="N67" i="18" s="1"/>
  <c r="AV88" i="15"/>
  <c r="R88" i="15"/>
  <c r="AV65" i="15"/>
  <c r="R65" i="15"/>
  <c r="AV55" i="15"/>
  <c r="R55" i="15"/>
  <c r="AV49" i="15"/>
  <c r="R49" i="15"/>
  <c r="AV36" i="15"/>
  <c r="R36" i="15"/>
  <c r="AV31" i="15"/>
  <c r="R31" i="15"/>
  <c r="AV29" i="15"/>
  <c r="R29" i="15"/>
  <c r="AV27" i="15"/>
  <c r="R27" i="15"/>
  <c r="AV24" i="15"/>
  <c r="R24" i="15"/>
  <c r="AA22" i="15"/>
  <c r="AC22" i="15" s="1"/>
  <c r="BH21" i="15"/>
  <c r="AC21" i="15"/>
  <c r="AA21" i="15"/>
  <c r="BH20" i="15"/>
  <c r="AV20" i="15"/>
  <c r="AC20" i="15"/>
  <c r="AA20" i="15"/>
  <c r="R20" i="15"/>
  <c r="BH19" i="15"/>
  <c r="AC19" i="15"/>
  <c r="AA19" i="15"/>
  <c r="BH18" i="15"/>
  <c r="AC18" i="15"/>
  <c r="AA18" i="15"/>
  <c r="BH17" i="15"/>
  <c r="AV17" i="15"/>
  <c r="AC17" i="15"/>
  <c r="AA17" i="15"/>
  <c r="R17" i="15"/>
  <c r="BH16" i="15"/>
  <c r="AC16" i="15"/>
  <c r="AA16" i="15"/>
  <c r="BH15" i="15"/>
  <c r="AA15" i="15"/>
  <c r="AC15" i="15" s="1"/>
  <c r="BH14" i="15"/>
  <c r="AA14" i="15"/>
  <c r="AC14" i="15" s="1"/>
  <c r="BH13" i="15"/>
  <c r="AV13" i="15"/>
  <c r="AC13" i="15"/>
  <c r="AA13" i="15"/>
  <c r="R13" i="15"/>
  <c r="BH12" i="15"/>
  <c r="AA12" i="15"/>
  <c r="AC12" i="15" s="1"/>
  <c r="BH11" i="15"/>
  <c r="AA11" i="15"/>
  <c r="AC11" i="15" s="1"/>
  <c r="BN10" i="15"/>
  <c r="BN11" i="15" s="1"/>
  <c r="BN12" i="15" s="1"/>
  <c r="BN13" i="15" s="1"/>
  <c r="BN14" i="15" s="1"/>
  <c r="BN15" i="15" s="1"/>
  <c r="BN16" i="15" s="1"/>
  <c r="BN17" i="15" s="1"/>
  <c r="BN18" i="15" s="1"/>
  <c r="BN19" i="15" s="1"/>
  <c r="BN20" i="15" s="1"/>
  <c r="BN21" i="15" s="1"/>
  <c r="BH10" i="15"/>
  <c r="AV10" i="15"/>
  <c r="AC10" i="15"/>
  <c r="AA10" i="15"/>
  <c r="R10" i="15"/>
  <c r="BH9" i="15"/>
  <c r="AA9" i="15"/>
  <c r="AC9" i="15" s="1"/>
  <c r="BH8" i="15"/>
  <c r="AV8" i="15"/>
  <c r="AA8" i="15"/>
  <c r="AC8" i="15" s="1"/>
  <c r="R8" i="15"/>
  <c r="BN7" i="15"/>
  <c r="BN8" i="15" s="1"/>
  <c r="BN9" i="15" s="1"/>
  <c r="BI7" i="15"/>
  <c r="BH7" i="15"/>
  <c r="AR7" i="15"/>
  <c r="AC7" i="15"/>
  <c r="AA7" i="15"/>
  <c r="N7" i="15"/>
  <c r="BN6" i="15"/>
  <c r="BI6" i="15"/>
  <c r="BK6" i="15" s="1"/>
  <c r="BH6" i="15"/>
  <c r="AW6" i="15"/>
  <c r="AV6" i="15"/>
  <c r="AS6" i="15"/>
  <c r="AR6" i="15"/>
  <c r="AS7" i="15" s="1"/>
  <c r="S6" i="15"/>
  <c r="R6" i="15"/>
  <c r="O6" i="15"/>
  <c r="N6" i="15"/>
  <c r="BD4" i="15"/>
  <c r="Q59" i="13"/>
  <c r="N59" i="13"/>
  <c r="J59" i="13"/>
  <c r="K59" i="13" s="1"/>
  <c r="I59" i="13"/>
  <c r="G59" i="13"/>
  <c r="F59" i="13"/>
  <c r="N58" i="13"/>
  <c r="N57" i="13"/>
  <c r="I57" i="13"/>
  <c r="F57" i="13"/>
  <c r="J57" i="13" s="1"/>
  <c r="K57" i="13" s="1"/>
  <c r="T56" i="13"/>
  <c r="Q56" i="13"/>
  <c r="N56" i="13"/>
  <c r="I56" i="13"/>
  <c r="F56" i="13"/>
  <c r="J56" i="13" s="1"/>
  <c r="K56" i="13" s="1"/>
  <c r="Q55" i="13"/>
  <c r="N55" i="13"/>
  <c r="Q54" i="13"/>
  <c r="N54" i="13"/>
  <c r="J54" i="13"/>
  <c r="K54" i="13" s="1"/>
  <c r="I54" i="13"/>
  <c r="G54" i="13"/>
  <c r="F54" i="13"/>
  <c r="Q53" i="13"/>
  <c r="N53" i="13"/>
  <c r="I53" i="13"/>
  <c r="F53" i="13"/>
  <c r="J53" i="13" s="1"/>
  <c r="K53" i="13" s="1"/>
  <c r="Q52" i="13"/>
  <c r="N52" i="13"/>
  <c r="I52" i="13"/>
  <c r="G52" i="13"/>
  <c r="F52" i="13"/>
  <c r="J52" i="13" s="1"/>
  <c r="K52" i="13" s="1"/>
  <c r="Q51" i="13"/>
  <c r="N51" i="13"/>
  <c r="J51" i="13"/>
  <c r="K51" i="13" s="1"/>
  <c r="I51" i="13"/>
  <c r="F51" i="13"/>
  <c r="G51" i="13" s="1"/>
  <c r="Q50" i="13"/>
  <c r="N50" i="13"/>
  <c r="I50" i="13"/>
  <c r="J50" i="13" s="1"/>
  <c r="K50" i="13" s="1"/>
  <c r="F50" i="13"/>
  <c r="G50" i="13" s="1"/>
  <c r="Q49" i="13"/>
  <c r="N49" i="13"/>
  <c r="I49" i="13"/>
  <c r="G49" i="13"/>
  <c r="F49" i="13"/>
  <c r="J49" i="13" s="1"/>
  <c r="K49" i="13" s="1"/>
  <c r="Q48" i="13"/>
  <c r="N48" i="13"/>
  <c r="I48" i="13"/>
  <c r="F48" i="13"/>
  <c r="J48" i="13" s="1"/>
  <c r="K48" i="13" s="1"/>
  <c r="Q47" i="13"/>
  <c r="N47" i="13"/>
  <c r="I47" i="13"/>
  <c r="F47" i="13"/>
  <c r="J47" i="13" s="1"/>
  <c r="K47" i="13" s="1"/>
  <c r="Q46" i="13"/>
  <c r="N46" i="13"/>
  <c r="J46" i="13"/>
  <c r="K46" i="13" s="1"/>
  <c r="I46" i="13"/>
  <c r="G46" i="13"/>
  <c r="F46" i="13"/>
  <c r="Q45" i="13"/>
  <c r="N45" i="13"/>
  <c r="I45" i="13"/>
  <c r="F45" i="13"/>
  <c r="J45" i="13" s="1"/>
  <c r="K45" i="13" s="1"/>
  <c r="Q44" i="13"/>
  <c r="N44" i="13"/>
  <c r="I44" i="13"/>
  <c r="G44" i="13"/>
  <c r="F44" i="13"/>
  <c r="J44" i="13" s="1"/>
  <c r="K44" i="13" s="1"/>
  <c r="Q40" i="13"/>
  <c r="N40" i="13"/>
  <c r="I40" i="13"/>
  <c r="F40" i="13"/>
  <c r="J40" i="13" s="1"/>
  <c r="K40" i="13" s="1"/>
  <c r="N39" i="13"/>
  <c r="N38" i="13"/>
  <c r="I38" i="13"/>
  <c r="F38" i="13"/>
  <c r="J38" i="13" s="1"/>
  <c r="K38" i="13" s="1"/>
  <c r="T37" i="13"/>
  <c r="Q37" i="13"/>
  <c r="N37" i="13"/>
  <c r="I37" i="13"/>
  <c r="F37" i="13"/>
  <c r="J37" i="13" s="1"/>
  <c r="K37" i="13" s="1"/>
  <c r="Q36" i="13"/>
  <c r="N36" i="13"/>
  <c r="Q35" i="13"/>
  <c r="N35" i="13"/>
  <c r="I35" i="13"/>
  <c r="F35" i="13"/>
  <c r="G35" i="13" s="1"/>
  <c r="Q34" i="13"/>
  <c r="N34" i="13"/>
  <c r="I34" i="13"/>
  <c r="F34" i="13"/>
  <c r="J34" i="13" s="1"/>
  <c r="K34" i="13" s="1"/>
  <c r="Q33" i="13"/>
  <c r="N33" i="13"/>
  <c r="K33" i="13"/>
  <c r="J33" i="13"/>
  <c r="I33" i="13"/>
  <c r="F33" i="13"/>
  <c r="G33" i="13" s="1"/>
  <c r="Q32" i="13"/>
  <c r="N32" i="13"/>
  <c r="J32" i="13"/>
  <c r="K32" i="13" s="1"/>
  <c r="I32" i="13"/>
  <c r="G32" i="13"/>
  <c r="F32" i="13"/>
  <c r="Q31" i="13"/>
  <c r="N31" i="13"/>
  <c r="I31" i="13"/>
  <c r="J31" i="13" s="1"/>
  <c r="K31" i="13" s="1"/>
  <c r="F31" i="13"/>
  <c r="G31" i="13" s="1"/>
  <c r="Q30" i="13"/>
  <c r="N30" i="13"/>
  <c r="I30" i="13"/>
  <c r="J30" i="13" s="1"/>
  <c r="K30" i="13" s="1"/>
  <c r="G30" i="13"/>
  <c r="F30" i="13"/>
  <c r="Q29" i="13"/>
  <c r="N29" i="13"/>
  <c r="I29" i="13"/>
  <c r="F29" i="13"/>
  <c r="G29" i="13" s="1"/>
  <c r="Q28" i="13"/>
  <c r="N28" i="13"/>
  <c r="I28" i="13"/>
  <c r="F28" i="13"/>
  <c r="J28" i="13" s="1"/>
  <c r="K28" i="13" s="1"/>
  <c r="Q27" i="13"/>
  <c r="N27" i="13"/>
  <c r="I27" i="13"/>
  <c r="F27" i="13"/>
  <c r="G27" i="13" s="1"/>
  <c r="Q26" i="13"/>
  <c r="N26" i="13"/>
  <c r="I26" i="13"/>
  <c r="F26" i="13"/>
  <c r="J26" i="13" s="1"/>
  <c r="K26" i="13" s="1"/>
  <c r="Q25" i="13"/>
  <c r="N25" i="13"/>
  <c r="K25" i="13"/>
  <c r="J25" i="13"/>
  <c r="I25" i="13"/>
  <c r="F25" i="13"/>
  <c r="G25" i="13" s="1"/>
  <c r="R21" i="13"/>
  <c r="O21" i="13"/>
  <c r="L21" i="13"/>
  <c r="K21" i="13"/>
  <c r="J21" i="13"/>
  <c r="G21" i="13"/>
  <c r="H21" i="13" s="1"/>
  <c r="O20" i="13"/>
  <c r="L20" i="13"/>
  <c r="K20" i="13"/>
  <c r="J20" i="13"/>
  <c r="H20" i="13"/>
  <c r="G20" i="13"/>
  <c r="O19" i="13"/>
  <c r="J19" i="13"/>
  <c r="K19" i="13" s="1"/>
  <c r="L19" i="13" s="1"/>
  <c r="H19" i="13"/>
  <c r="G19" i="13"/>
  <c r="A19" i="13"/>
  <c r="U18" i="13"/>
  <c r="R18" i="13"/>
  <c r="O18" i="13"/>
  <c r="L18" i="13"/>
  <c r="K18" i="13"/>
  <c r="J18" i="13"/>
  <c r="G18" i="13"/>
  <c r="H18" i="13" s="1"/>
  <c r="R17" i="13"/>
  <c r="O17" i="13"/>
  <c r="L17" i="13"/>
  <c r="K17" i="13"/>
  <c r="J17" i="13"/>
  <c r="G17" i="13"/>
  <c r="H17" i="13" s="1"/>
  <c r="R16" i="13"/>
  <c r="O16" i="13"/>
  <c r="L16" i="13"/>
  <c r="K16" i="13"/>
  <c r="J16" i="13"/>
  <c r="H16" i="13"/>
  <c r="G16" i="13"/>
  <c r="R15" i="13"/>
  <c r="O15" i="13"/>
  <c r="J15" i="13"/>
  <c r="K15" i="13" s="1"/>
  <c r="L15" i="13" s="1"/>
  <c r="G15" i="13"/>
  <c r="H15" i="13" s="1"/>
  <c r="A15" i="13"/>
  <c r="R14" i="13"/>
  <c r="O14" i="13"/>
  <c r="J14" i="13"/>
  <c r="G14" i="13"/>
  <c r="K14" i="13" s="1"/>
  <c r="L14" i="13" s="1"/>
  <c r="R13" i="13"/>
  <c r="O13" i="13"/>
  <c r="J13" i="13"/>
  <c r="G13" i="13"/>
  <c r="K13" i="13" s="1"/>
  <c r="L13" i="13" s="1"/>
  <c r="A13" i="13"/>
  <c r="R12" i="13"/>
  <c r="O12" i="13"/>
  <c r="J12" i="13"/>
  <c r="G12" i="13"/>
  <c r="H12" i="13" s="1"/>
  <c r="A12" i="13"/>
  <c r="R11" i="13"/>
  <c r="O11" i="13"/>
  <c r="J11" i="13"/>
  <c r="H11" i="13"/>
  <c r="G11" i="13"/>
  <c r="K11" i="13" s="1"/>
  <c r="L11" i="13" s="1"/>
  <c r="O10" i="13"/>
  <c r="J10" i="13"/>
  <c r="G10" i="13"/>
  <c r="H10" i="13" s="1"/>
  <c r="C10" i="13"/>
  <c r="C11" i="13" s="1"/>
  <c r="C12" i="13" s="1"/>
  <c r="C13" i="13" s="1"/>
  <c r="C14" i="13" s="1"/>
  <c r="O9" i="13"/>
  <c r="J9" i="13"/>
  <c r="G9" i="13"/>
  <c r="K9" i="13" s="1"/>
  <c r="L9" i="13" s="1"/>
  <c r="R8" i="13"/>
  <c r="O8" i="13"/>
  <c r="J8" i="13"/>
  <c r="K8" i="13" s="1"/>
  <c r="L8" i="13" s="1"/>
  <c r="G8" i="13"/>
  <c r="H8" i="13" s="1"/>
  <c r="R7" i="13"/>
  <c r="O7" i="13"/>
  <c r="L7" i="13"/>
  <c r="K7" i="13"/>
  <c r="J7" i="13"/>
  <c r="H7" i="13"/>
  <c r="G7" i="13"/>
  <c r="C7" i="13"/>
  <c r="R6" i="13"/>
  <c r="O6" i="13"/>
  <c r="L6" i="13"/>
  <c r="K6" i="13"/>
  <c r="J6" i="13"/>
  <c r="H6" i="13"/>
  <c r="G6" i="13"/>
  <c r="C6" i="13"/>
  <c r="O67" i="18" l="1"/>
  <c r="P30" i="18"/>
  <c r="N31" i="18" s="1"/>
  <c r="O31" i="18" s="1"/>
  <c r="BI8" i="15"/>
  <c r="BK7" i="15"/>
  <c r="AC24" i="15"/>
  <c r="W5" i="15" s="1"/>
  <c r="O7" i="15"/>
  <c r="H6" i="15"/>
  <c r="AT7" i="15"/>
  <c r="AR8" i="15" s="1"/>
  <c r="AL6" i="15"/>
  <c r="G48" i="13"/>
  <c r="G47" i="13"/>
  <c r="G45" i="13"/>
  <c r="G53" i="13"/>
  <c r="G56" i="13"/>
  <c r="G57" i="13"/>
  <c r="G28" i="13"/>
  <c r="J29" i="13"/>
  <c r="K29" i="13" s="1"/>
  <c r="G40" i="13"/>
  <c r="G26" i="13"/>
  <c r="G34" i="13"/>
  <c r="G37" i="13"/>
  <c r="G38" i="13"/>
  <c r="J27" i="13"/>
  <c r="K27" i="13" s="1"/>
  <c r="J35" i="13"/>
  <c r="K35" i="13" s="1"/>
  <c r="C15" i="13"/>
  <c r="H9" i="13"/>
  <c r="H13" i="13"/>
  <c r="H14" i="13"/>
  <c r="K10" i="13"/>
  <c r="L10" i="13" s="1"/>
  <c r="K12" i="13"/>
  <c r="L12" i="13" s="1"/>
  <c r="A16" i="13"/>
  <c r="P31" i="18" l="1"/>
  <c r="N32" i="18" s="1"/>
  <c r="P67" i="18"/>
  <c r="N68" i="18" s="1"/>
  <c r="P7" i="15"/>
  <c r="N8" i="15" s="1"/>
  <c r="BK8" i="15"/>
  <c r="BI9" i="15"/>
  <c r="AT8" i="15"/>
  <c r="AR9" i="15" s="1"/>
  <c r="AL7" i="15"/>
  <c r="AW8" i="15"/>
  <c r="AS8" i="15"/>
  <c r="A17" i="13"/>
  <c r="C16" i="13"/>
  <c r="O68" i="18" l="1"/>
  <c r="O32" i="18"/>
  <c r="H7" i="15"/>
  <c r="S8" i="15"/>
  <c r="BI10" i="15"/>
  <c r="BK9" i="15"/>
  <c r="O8" i="15"/>
  <c r="AS9" i="15"/>
  <c r="C17" i="13"/>
  <c r="C18" i="13" s="1"/>
  <c r="C19" i="13" s="1"/>
  <c r="C20" i="13" s="1"/>
  <c r="C21" i="13" s="1"/>
  <c r="P32" i="18" l="1"/>
  <c r="N33" i="18" s="1"/>
  <c r="P68" i="18"/>
  <c r="N69" i="18" s="1"/>
  <c r="BK10" i="15"/>
  <c r="BI11" i="15"/>
  <c r="P8" i="15"/>
  <c r="N9" i="15" s="1"/>
  <c r="AT9" i="15"/>
  <c r="AR10" i="15" s="1"/>
  <c r="AS10" i="15" s="1"/>
  <c r="H51" i="18" l="1"/>
  <c r="O69" i="18"/>
  <c r="P69" i="18" s="1"/>
  <c r="H15" i="18"/>
  <c r="O33" i="18"/>
  <c r="P33" i="18" s="1"/>
  <c r="BK11" i="15"/>
  <c r="BI12" i="15"/>
  <c r="AL8" i="15"/>
  <c r="AT10" i="15"/>
  <c r="AR11" i="15" s="1"/>
  <c r="AW10" i="15"/>
  <c r="O9" i="15"/>
  <c r="K15" i="18" l="1"/>
  <c r="K17" i="18" s="1"/>
  <c r="B8" i="18" s="1"/>
  <c r="H17" i="18"/>
  <c r="K51" i="18"/>
  <c r="K53" i="18" s="1"/>
  <c r="B44" i="18" s="1"/>
  <c r="H53" i="18"/>
  <c r="BI13" i="15"/>
  <c r="BK12" i="15"/>
  <c r="P9" i="15"/>
  <c r="N10" i="15" s="1"/>
  <c r="AS11" i="15"/>
  <c r="B46" i="18" l="1"/>
  <c r="B49" i="18" s="1"/>
  <c r="B10" i="18"/>
  <c r="B13" i="18" s="1"/>
  <c r="H8" i="15"/>
  <c r="S10" i="15"/>
  <c r="BK13" i="15"/>
  <c r="BI14" i="15"/>
  <c r="O10" i="15"/>
  <c r="AT11" i="15"/>
  <c r="AR12" i="15" s="1"/>
  <c r="BK14" i="15" l="1"/>
  <c r="BI15" i="15"/>
  <c r="AS12" i="15"/>
  <c r="P10" i="15"/>
  <c r="N11" i="15" s="1"/>
  <c r="BK15" i="15" l="1"/>
  <c r="BI16" i="15"/>
  <c r="AT12" i="15"/>
  <c r="AR13" i="15" s="1"/>
  <c r="O11" i="15"/>
  <c r="BK16" i="15" l="1"/>
  <c r="BI17" i="15"/>
  <c r="AL9" i="15"/>
  <c r="AW13" i="15"/>
  <c r="P11" i="15"/>
  <c r="N12" i="15" s="1"/>
  <c r="AS13" i="15"/>
  <c r="BI18" i="15" l="1"/>
  <c r="BK17" i="15"/>
  <c r="AT13" i="15"/>
  <c r="AR14" i="15" s="1"/>
  <c r="O12" i="15"/>
  <c r="P12" i="15" s="1"/>
  <c r="N13" i="15" s="1"/>
  <c r="H9" i="15" l="1"/>
  <c r="S13" i="15"/>
  <c r="O13" i="15"/>
  <c r="BI19" i="15"/>
  <c r="BK18" i="15"/>
  <c r="AS14" i="15"/>
  <c r="BK19" i="15" l="1"/>
  <c r="BI20" i="15"/>
  <c r="AT14" i="15"/>
  <c r="AR15" i="15" s="1"/>
  <c r="P13" i="15"/>
  <c r="N14" i="15" s="1"/>
  <c r="O14" i="15" s="1"/>
  <c r="BI21" i="15" l="1"/>
  <c r="BK21" i="15" s="1"/>
  <c r="BK23" i="15" s="1"/>
  <c r="BD5" i="15" s="1"/>
  <c r="BK20" i="15"/>
  <c r="P14" i="15"/>
  <c r="N15" i="15" s="1"/>
  <c r="AS15" i="15"/>
  <c r="AT15" i="15" l="1"/>
  <c r="AR16" i="15" s="1"/>
  <c r="O15" i="15"/>
  <c r="AS16" i="15" l="1"/>
  <c r="P15" i="15"/>
  <c r="N16" i="15" s="1"/>
  <c r="AT16" i="15" l="1"/>
  <c r="AR17" i="15" s="1"/>
  <c r="O16" i="15"/>
  <c r="AL10" i="15" l="1"/>
  <c r="AW17" i="15"/>
  <c r="AS17" i="15"/>
  <c r="P16" i="15"/>
  <c r="N17" i="15" s="1"/>
  <c r="H10" i="15" l="1"/>
  <c r="S17" i="15"/>
  <c r="AT17" i="15"/>
  <c r="AR18" i="15" s="1"/>
  <c r="O17" i="15"/>
  <c r="P17" i="15" l="1"/>
  <c r="N18" i="15" s="1"/>
  <c r="AS18" i="15"/>
  <c r="AT18" i="15" l="1"/>
  <c r="AR19" i="15" s="1"/>
  <c r="O18" i="15"/>
  <c r="AS19" i="15" l="1"/>
  <c r="P18" i="15"/>
  <c r="N19" i="15" s="1"/>
  <c r="AT19" i="15" l="1"/>
  <c r="AR20" i="15" s="1"/>
  <c r="O19" i="15"/>
  <c r="AL11" i="15" l="1"/>
  <c r="AS20" i="15"/>
  <c r="P19" i="15"/>
  <c r="N20" i="15" s="1"/>
  <c r="H11" i="15" l="1"/>
  <c r="O20" i="15"/>
  <c r="AT20" i="15"/>
  <c r="AR21" i="15" s="1"/>
  <c r="AW20" i="15" l="1"/>
  <c r="AS21" i="15"/>
  <c r="P20" i="15"/>
  <c r="N21" i="15" s="1"/>
  <c r="S20" i="15" l="1"/>
  <c r="O21" i="15"/>
  <c r="AT21" i="15"/>
  <c r="AR22" i="15" s="1"/>
  <c r="AS22" i="15" s="1"/>
  <c r="AL12" i="15" l="1"/>
  <c r="AT22" i="15"/>
  <c r="AR23" i="15" s="1"/>
  <c r="P21" i="15"/>
  <c r="N22" i="15" s="1"/>
  <c r="H12" i="15" l="1"/>
  <c r="O22" i="15"/>
  <c r="AS23" i="15"/>
  <c r="AT23" i="15" l="1"/>
  <c r="AR24" i="15" s="1"/>
  <c r="P22" i="15"/>
  <c r="N23" i="15" s="1"/>
  <c r="AL13" i="15" l="1"/>
  <c r="AW24" i="15"/>
  <c r="O23" i="15"/>
  <c r="AS24" i="15"/>
  <c r="AT24" i="15" l="1"/>
  <c r="AR25" i="15" s="1"/>
  <c r="P23" i="15"/>
  <c r="N24" i="15" s="1"/>
  <c r="O24" i="15" s="1"/>
  <c r="H13" i="15" l="1"/>
  <c r="P24" i="15"/>
  <c r="N25" i="15" s="1"/>
  <c r="S24" i="15"/>
  <c r="AS25" i="15"/>
  <c r="AT25" i="15" l="1"/>
  <c r="AR26" i="15" s="1"/>
  <c r="O25" i="15"/>
  <c r="P25" i="15" s="1"/>
  <c r="N26" i="15" s="1"/>
  <c r="O26" i="15" l="1"/>
  <c r="AS26" i="15"/>
  <c r="AT26" i="15" s="1"/>
  <c r="AR27" i="15" s="1"/>
  <c r="AL14" i="15" l="1"/>
  <c r="AW27" i="15"/>
  <c r="AS27" i="15"/>
  <c r="P26" i="15"/>
  <c r="N27" i="15" s="1"/>
  <c r="O27" i="15" s="1"/>
  <c r="P27" i="15" l="1"/>
  <c r="N28" i="15" s="1"/>
  <c r="H14" i="15"/>
  <c r="S27" i="15"/>
  <c r="AT27" i="15"/>
  <c r="AR28" i="15" s="1"/>
  <c r="AS28" i="15" l="1"/>
  <c r="O28" i="15"/>
  <c r="P28" i="15" l="1"/>
  <c r="N29" i="15" s="1"/>
  <c r="AT28" i="15"/>
  <c r="AR29" i="15" s="1"/>
  <c r="AL15" i="15" l="1"/>
  <c r="AW29" i="15"/>
  <c r="AS29" i="15"/>
  <c r="H15" i="15"/>
  <c r="S29" i="15"/>
  <c r="O29" i="15"/>
  <c r="P29" i="15" l="1"/>
  <c r="N30" i="15" s="1"/>
  <c r="AT29" i="15"/>
  <c r="AR30" i="15" s="1"/>
  <c r="AS30" i="15" s="1"/>
  <c r="AT30" i="15" l="1"/>
  <c r="AR31" i="15" s="1"/>
  <c r="O30" i="15"/>
  <c r="P30" i="15" l="1"/>
  <c r="N31" i="15" s="1"/>
  <c r="AL16" i="15"/>
  <c r="AW31" i="15"/>
  <c r="AS31" i="15"/>
  <c r="AT31" i="15" l="1"/>
  <c r="AR32" i="15" s="1"/>
  <c r="H16" i="15"/>
  <c r="S31" i="15"/>
  <c r="O31" i="15"/>
  <c r="P31" i="15" s="1"/>
  <c r="N32" i="15" s="1"/>
  <c r="O32" i="15" l="1"/>
  <c r="AS32" i="15"/>
  <c r="AT32" i="15" s="1"/>
  <c r="AR33" i="15" s="1"/>
  <c r="AS33" i="15" l="1"/>
  <c r="P32" i="15"/>
  <c r="N33" i="15" s="1"/>
  <c r="O33" i="15" s="1"/>
  <c r="P33" i="15" l="1"/>
  <c r="N34" i="15" s="1"/>
  <c r="AT33" i="15"/>
  <c r="AR34" i="15" s="1"/>
  <c r="AS34" i="15" l="1"/>
  <c r="O34" i="15"/>
  <c r="P34" i="15" s="1"/>
  <c r="N35" i="15" s="1"/>
  <c r="O35" i="15" l="1"/>
  <c r="AT34" i="15"/>
  <c r="AR35" i="15" s="1"/>
  <c r="AS35" i="15" l="1"/>
  <c r="P35" i="15"/>
  <c r="N36" i="15" s="1"/>
  <c r="O36" i="15" s="1"/>
  <c r="P36" i="15" l="1"/>
  <c r="N37" i="15" s="1"/>
  <c r="H17" i="15"/>
  <c r="S36" i="15"/>
  <c r="AT35" i="15"/>
  <c r="AR36" i="15" s="1"/>
  <c r="AW36" i="15" l="1"/>
  <c r="AL17" i="15"/>
  <c r="AS36" i="15"/>
  <c r="O37" i="15"/>
  <c r="P37" i="15" s="1"/>
  <c r="N38" i="15" s="1"/>
  <c r="O38" i="15" l="1"/>
  <c r="AT36" i="15"/>
  <c r="AR37" i="15" s="1"/>
  <c r="AS37" i="15" s="1"/>
  <c r="AT37" i="15" l="1"/>
  <c r="AR38" i="15" s="1"/>
  <c r="P38" i="15"/>
  <c r="N39" i="15" s="1"/>
  <c r="O39" i="15" s="1"/>
  <c r="P39" i="15" l="1"/>
  <c r="N40" i="15" s="1"/>
  <c r="AS38" i="15"/>
  <c r="P40" i="15" l="1"/>
  <c r="N41" i="15" s="1"/>
  <c r="AT38" i="15"/>
  <c r="AR39" i="15" s="1"/>
  <c r="O40" i="15"/>
  <c r="O41" i="15" l="1"/>
  <c r="AS39" i="15"/>
  <c r="AT39" i="15" l="1"/>
  <c r="AR40" i="15" s="1"/>
  <c r="P41" i="15"/>
  <c r="N42" i="15" s="1"/>
  <c r="O42" i="15" l="1"/>
  <c r="AS40" i="15"/>
  <c r="AT40" i="15" l="1"/>
  <c r="AR41" i="15" s="1"/>
  <c r="P42" i="15"/>
  <c r="N43" i="15" s="1"/>
  <c r="AS41" i="15" l="1"/>
  <c r="O43" i="15"/>
  <c r="AT41" i="15" l="1"/>
  <c r="AR42" i="15" s="1"/>
  <c r="P43" i="15"/>
  <c r="N44" i="15" s="1"/>
  <c r="AS42" i="15" l="1"/>
  <c r="O44" i="15"/>
  <c r="P44" i="15" l="1"/>
  <c r="N45" i="15" s="1"/>
  <c r="AT42" i="15"/>
  <c r="AR43" i="15" s="1"/>
  <c r="AS43" i="15" l="1"/>
  <c r="O45" i="15"/>
  <c r="P45" i="15" l="1"/>
  <c r="N46" i="15" s="1"/>
  <c r="AT43" i="15"/>
  <c r="AR44" i="15" s="1"/>
  <c r="O46" i="15" l="1"/>
  <c r="AS44" i="15"/>
  <c r="P46" i="15" l="1"/>
  <c r="N47" i="15" s="1"/>
  <c r="AT44" i="15"/>
  <c r="AR45" i="15" s="1"/>
  <c r="O47" i="15" l="1"/>
  <c r="AS45" i="15"/>
  <c r="P47" i="15" l="1"/>
  <c r="N48" i="15" s="1"/>
  <c r="AT45" i="15"/>
  <c r="AR46" i="15" s="1"/>
  <c r="O48" i="15" l="1"/>
  <c r="AS46" i="15"/>
  <c r="P48" i="15" l="1"/>
  <c r="N49" i="15" s="1"/>
  <c r="AT46" i="15"/>
  <c r="AR47" i="15" s="1"/>
  <c r="S49" i="15" l="1"/>
  <c r="H18" i="15"/>
  <c r="AS47" i="15"/>
  <c r="AT47" i="15" s="1"/>
  <c r="AR48" i="15" s="1"/>
  <c r="O49" i="15"/>
  <c r="AS48" i="15" l="1"/>
  <c r="P49" i="15"/>
  <c r="N50" i="15" s="1"/>
  <c r="S55" i="15"/>
  <c r="AW55" i="15"/>
  <c r="O50" i="15" l="1"/>
  <c r="AT48" i="15"/>
  <c r="AR49" i="15" s="1"/>
  <c r="AL18" i="15" l="1"/>
  <c r="AW49" i="15"/>
  <c r="AS49" i="15"/>
  <c r="P50" i="15"/>
  <c r="N51" i="15" s="1"/>
  <c r="O51" i="15" l="1"/>
  <c r="AT49" i="15"/>
  <c r="AR50" i="15" s="1"/>
  <c r="AS50" i="15" l="1"/>
  <c r="P51" i="15"/>
  <c r="N52" i="15" s="1"/>
  <c r="O52" i="15" l="1"/>
  <c r="AT50" i="15"/>
  <c r="AR51" i="15" s="1"/>
  <c r="AS51" i="15" l="1"/>
  <c r="P52" i="15"/>
  <c r="N53" i="15" s="1"/>
  <c r="O53" i="15" l="1"/>
  <c r="AT51" i="15"/>
  <c r="AR52" i="15" s="1"/>
  <c r="AS52" i="15" l="1"/>
  <c r="P53" i="15"/>
  <c r="N54" i="15" s="1"/>
  <c r="O54" i="15" l="1"/>
  <c r="AT52" i="15"/>
  <c r="AR53" i="15" s="1"/>
  <c r="AS53" i="15" l="1"/>
  <c r="P54" i="15"/>
  <c r="N55" i="15" s="1"/>
  <c r="H19" i="15" l="1"/>
  <c r="O55" i="15"/>
  <c r="AT53" i="15"/>
  <c r="AR54" i="15" s="1"/>
  <c r="AS54" i="15" l="1"/>
  <c r="P55" i="15"/>
  <c r="N56" i="15" s="1"/>
  <c r="O56" i="15" l="1"/>
  <c r="AT54" i="15"/>
  <c r="AR55" i="15" s="1"/>
  <c r="AL19" i="15" l="1"/>
  <c r="P56" i="15"/>
  <c r="N57" i="15" s="1"/>
  <c r="AS55" i="15"/>
  <c r="O57" i="15" l="1"/>
  <c r="AT55" i="15"/>
  <c r="AR56" i="15" s="1"/>
  <c r="P57" i="15" l="1"/>
  <c r="N58" i="15" s="1"/>
  <c r="AS56" i="15"/>
  <c r="O58" i="15" l="1"/>
  <c r="AT56" i="15"/>
  <c r="AR57" i="15" s="1"/>
  <c r="P58" i="15" l="1"/>
  <c r="N59" i="15" s="1"/>
  <c r="AS57" i="15"/>
  <c r="O59" i="15" l="1"/>
  <c r="AT57" i="15"/>
  <c r="AR58" i="15" s="1"/>
  <c r="AS58" i="15" s="1"/>
  <c r="AT58" i="15" l="1"/>
  <c r="AR59" i="15" s="1"/>
  <c r="P59" i="15"/>
  <c r="N60" i="15" s="1"/>
  <c r="O60" i="15" l="1"/>
  <c r="AS59" i="15"/>
  <c r="AT59" i="15" l="1"/>
  <c r="AR60" i="15" s="1"/>
  <c r="P60" i="15"/>
  <c r="N61" i="15" s="1"/>
  <c r="O61" i="15" l="1"/>
  <c r="AS60" i="15"/>
  <c r="AT60" i="15" l="1"/>
  <c r="AR61" i="15" s="1"/>
  <c r="P61" i="15"/>
  <c r="N62" i="15" s="1"/>
  <c r="O62" i="15" l="1"/>
  <c r="AS61" i="15"/>
  <c r="AT61" i="15" l="1"/>
  <c r="AR62" i="15" s="1"/>
  <c r="P62" i="15"/>
  <c r="N63" i="15" s="1"/>
  <c r="O63" i="15" l="1"/>
  <c r="AS62" i="15"/>
  <c r="AT62" i="15" l="1"/>
  <c r="AR63" i="15" s="1"/>
  <c r="P63" i="15"/>
  <c r="N64" i="15" s="1"/>
  <c r="O64" i="15" l="1"/>
  <c r="AS63" i="15"/>
  <c r="P64" i="15" l="1"/>
  <c r="N65" i="15" s="1"/>
  <c r="AT63" i="15"/>
  <c r="AR64" i="15" s="1"/>
  <c r="S65" i="15" l="1"/>
  <c r="H20" i="15"/>
  <c r="O65" i="15"/>
  <c r="P65" i="15" s="1"/>
  <c r="N66" i="15" s="1"/>
  <c r="AS64" i="15"/>
  <c r="O66" i="15" l="1"/>
  <c r="AT64" i="15"/>
  <c r="AR65" i="15" s="1"/>
  <c r="AL20" i="15" l="1"/>
  <c r="AW65" i="15"/>
  <c r="AS65" i="15"/>
  <c r="P66" i="15"/>
  <c r="N67" i="15" s="1"/>
  <c r="AT65" i="15" l="1"/>
  <c r="AR66" i="15" s="1"/>
  <c r="O67" i="15"/>
  <c r="P67" i="15" s="1"/>
  <c r="N68" i="15" s="1"/>
  <c r="O68" i="15" l="1"/>
  <c r="AS66" i="15"/>
  <c r="AT66" i="15" l="1"/>
  <c r="AR67" i="15" s="1"/>
  <c r="P68" i="15"/>
  <c r="N69" i="15" s="1"/>
  <c r="O69" i="15" l="1"/>
  <c r="AS67" i="15"/>
  <c r="AT67" i="15" l="1"/>
  <c r="AR68" i="15" s="1"/>
  <c r="P69" i="15"/>
  <c r="N70" i="15" s="1"/>
  <c r="O70" i="15" l="1"/>
  <c r="AS68" i="15"/>
  <c r="AT68" i="15" l="1"/>
  <c r="AR69" i="15" s="1"/>
  <c r="P70" i="15"/>
  <c r="N71" i="15" s="1"/>
  <c r="O71" i="15" s="1"/>
  <c r="P71" i="15" l="1"/>
  <c r="N72" i="15" s="1"/>
  <c r="AS69" i="15"/>
  <c r="AT69" i="15" l="1"/>
  <c r="AR70" i="15" s="1"/>
  <c r="O72" i="15"/>
  <c r="P72" i="15" s="1"/>
  <c r="N73" i="15" s="1"/>
  <c r="O73" i="15" l="1"/>
  <c r="AS70" i="15"/>
  <c r="AT70" i="15" s="1"/>
  <c r="AR71" i="15" s="1"/>
  <c r="AS71" i="15" l="1"/>
  <c r="P73" i="15"/>
  <c r="N74" i="15" s="1"/>
  <c r="O74" i="15" l="1"/>
  <c r="AT71" i="15"/>
  <c r="AR72" i="15" s="1"/>
  <c r="AS72" i="15" s="1"/>
  <c r="AT72" i="15" l="1"/>
  <c r="AR73" i="15" s="1"/>
  <c r="P74" i="15"/>
  <c r="N75" i="15" s="1"/>
  <c r="O75" i="15" l="1"/>
  <c r="AS73" i="15"/>
  <c r="AT73" i="15" l="1"/>
  <c r="AR74" i="15" s="1"/>
  <c r="P75" i="15"/>
  <c r="N76" i="15" s="1"/>
  <c r="O76" i="15" l="1"/>
  <c r="AS74" i="15"/>
  <c r="AT74" i="15" l="1"/>
  <c r="AR75" i="15" s="1"/>
  <c r="P76" i="15"/>
  <c r="N77" i="15" s="1"/>
  <c r="O77" i="15" s="1"/>
  <c r="P77" i="15" l="1"/>
  <c r="N78" i="15" s="1"/>
  <c r="AS75" i="15"/>
  <c r="AT75" i="15" l="1"/>
  <c r="AR76" i="15" s="1"/>
  <c r="O78" i="15"/>
  <c r="P78" i="15" l="1"/>
  <c r="N79" i="15" s="1"/>
  <c r="AS76" i="15"/>
  <c r="AT76" i="15" l="1"/>
  <c r="AR77" i="15" s="1"/>
  <c r="O79" i="15"/>
  <c r="P79" i="15" s="1"/>
  <c r="N80" i="15" s="1"/>
  <c r="O80" i="15" l="1"/>
  <c r="AS77" i="15"/>
  <c r="AT77" i="15" s="1"/>
  <c r="AR78" i="15" s="1"/>
  <c r="AS78" i="15" l="1"/>
  <c r="P80" i="15"/>
  <c r="N81" i="15" s="1"/>
  <c r="O81" i="15" s="1"/>
  <c r="P81" i="15" l="1"/>
  <c r="N82" i="15" s="1"/>
  <c r="AT78" i="15"/>
  <c r="AR79" i="15" s="1"/>
  <c r="AS79" i="15" l="1"/>
  <c r="O82" i="15"/>
  <c r="AT79" i="15" l="1"/>
  <c r="AR80" i="15" s="1"/>
  <c r="P82" i="15"/>
  <c r="N83" i="15" s="1"/>
  <c r="AS80" i="15" l="1"/>
  <c r="O83" i="15"/>
  <c r="AT80" i="15" l="1"/>
  <c r="AR81" i="15" s="1"/>
  <c r="P83" i="15"/>
  <c r="N84" i="15" s="1"/>
  <c r="O84" i="15" l="1"/>
  <c r="AS81" i="15"/>
  <c r="AT81" i="15" l="1"/>
  <c r="AR82" i="15" s="1"/>
  <c r="P84" i="15"/>
  <c r="N85" i="15" s="1"/>
  <c r="O85" i="15" l="1"/>
  <c r="AS82" i="15"/>
  <c r="AT82" i="15" l="1"/>
  <c r="AR83" i="15" s="1"/>
  <c r="P85" i="15"/>
  <c r="N86" i="15" s="1"/>
  <c r="O86" i="15" s="1"/>
  <c r="P86" i="15" l="1"/>
  <c r="N87" i="15" s="1"/>
  <c r="AS83" i="15"/>
  <c r="AT83" i="15" l="1"/>
  <c r="AR84" i="15" s="1"/>
  <c r="O87" i="15"/>
  <c r="P87" i="15" s="1"/>
  <c r="N88" i="15" s="1"/>
  <c r="S88" i="15" l="1"/>
  <c r="S92" i="15" s="1"/>
  <c r="B8" i="15" s="1"/>
  <c r="H21" i="15"/>
  <c r="O88" i="15"/>
  <c r="P88" i="15" s="1"/>
  <c r="AS84" i="15"/>
  <c r="AT84" i="15" s="1"/>
  <c r="AR85" i="15" s="1"/>
  <c r="AS85" i="15" l="1"/>
  <c r="B10" i="15"/>
  <c r="B13" i="15" s="1"/>
  <c r="AT85" i="15" l="1"/>
  <c r="AR86" i="15" s="1"/>
  <c r="AS86" i="15" l="1"/>
  <c r="AT86" i="15" l="1"/>
  <c r="AR87" i="15" s="1"/>
  <c r="AS87" i="15" l="1"/>
  <c r="AT87" i="15" l="1"/>
  <c r="AR88" i="15" s="1"/>
  <c r="AL21" i="15" l="1"/>
  <c r="AW88" i="15"/>
  <c r="AW92" i="15" s="1"/>
  <c r="AF8" i="15" s="1"/>
  <c r="AS88" i="15"/>
  <c r="AT88" i="15" s="1"/>
  <c r="AF10" i="15" l="1"/>
  <c r="AF13" i="15" s="1"/>
  <c r="AY36" i="12" l="1"/>
  <c r="AX36" i="12"/>
  <c r="AW36" i="12"/>
  <c r="AM7" i="12"/>
  <c r="AN7" i="12" s="1"/>
  <c r="AO7" i="12" s="1"/>
  <c r="AM8" i="12" s="1"/>
  <c r="N7" i="12"/>
  <c r="AQ6" i="12"/>
  <c r="AR6" i="12" s="1"/>
  <c r="AN6" i="12"/>
  <c r="AM6" i="12"/>
  <c r="AG6" i="12"/>
  <c r="R6" i="12"/>
  <c r="O6" i="12"/>
  <c r="N6" i="12"/>
  <c r="H6" i="12"/>
  <c r="AA5" i="12"/>
  <c r="B5" i="12"/>
  <c r="Q48" i="10"/>
  <c r="N48" i="10"/>
  <c r="N47" i="10"/>
  <c r="N46" i="10"/>
  <c r="I46" i="10"/>
  <c r="F46" i="10"/>
  <c r="J46" i="10" s="1"/>
  <c r="K46" i="10" s="1"/>
  <c r="N45" i="10"/>
  <c r="J45" i="10"/>
  <c r="K45" i="10" s="1"/>
  <c r="I45" i="10"/>
  <c r="F45" i="10"/>
  <c r="G45" i="10" s="1"/>
  <c r="T44" i="10"/>
  <c r="Q44" i="10"/>
  <c r="N44" i="10"/>
  <c r="J44" i="10"/>
  <c r="K44" i="10" s="1"/>
  <c r="I44" i="10"/>
  <c r="F44" i="10"/>
  <c r="G44" i="10" s="1"/>
  <c r="Q43" i="10"/>
  <c r="N43" i="10"/>
  <c r="I43" i="10"/>
  <c r="J43" i="10" s="1"/>
  <c r="K43" i="10" s="1"/>
  <c r="F43" i="10"/>
  <c r="G43" i="10" s="1"/>
  <c r="Q42" i="10"/>
  <c r="N42" i="10"/>
  <c r="I42" i="10"/>
  <c r="G42" i="10"/>
  <c r="F42" i="10"/>
  <c r="J42" i="10" s="1"/>
  <c r="K42" i="10" s="1"/>
  <c r="Q41" i="10"/>
  <c r="N41" i="10"/>
  <c r="J41" i="10"/>
  <c r="K41" i="10" s="1"/>
  <c r="I41" i="10"/>
  <c r="F41" i="10"/>
  <c r="G41" i="10" s="1"/>
  <c r="Q40" i="10"/>
  <c r="N40" i="10"/>
  <c r="I40" i="10"/>
  <c r="J40" i="10" s="1"/>
  <c r="K40" i="10" s="1"/>
  <c r="F40" i="10"/>
  <c r="G40" i="10" s="1"/>
  <c r="Q39" i="10"/>
  <c r="N39" i="10"/>
  <c r="I39" i="10"/>
  <c r="J39" i="10" s="1"/>
  <c r="K39" i="10" s="1"/>
  <c r="G39" i="10"/>
  <c r="F39" i="10"/>
  <c r="Q38" i="10"/>
  <c r="N38" i="10"/>
  <c r="I38" i="10"/>
  <c r="F38" i="10"/>
  <c r="G38" i="10" s="1"/>
  <c r="T37" i="10"/>
  <c r="Q37" i="10"/>
  <c r="N37" i="10"/>
  <c r="I37" i="10"/>
  <c r="F37" i="10"/>
  <c r="G37" i="10" s="1"/>
  <c r="B37" i="10"/>
  <c r="A37" i="10"/>
  <c r="Q33" i="10"/>
  <c r="N33" i="10"/>
  <c r="N32" i="10"/>
  <c r="N31" i="10"/>
  <c r="J31" i="10"/>
  <c r="K31" i="10" s="1"/>
  <c r="I31" i="10"/>
  <c r="F31" i="10"/>
  <c r="G31" i="10" s="1"/>
  <c r="Q30" i="10"/>
  <c r="N30" i="10"/>
  <c r="I30" i="10"/>
  <c r="J30" i="10" s="1"/>
  <c r="K30" i="10" s="1"/>
  <c r="F30" i="10"/>
  <c r="G30" i="10" s="1"/>
  <c r="T29" i="10"/>
  <c r="Q29" i="10"/>
  <c r="N29" i="10"/>
  <c r="I29" i="10"/>
  <c r="J29" i="10" s="1"/>
  <c r="K29" i="10" s="1"/>
  <c r="F29" i="10"/>
  <c r="G29" i="10" s="1"/>
  <c r="Q28" i="10"/>
  <c r="N28" i="10"/>
  <c r="I28" i="10"/>
  <c r="J28" i="10" s="1"/>
  <c r="K28" i="10" s="1"/>
  <c r="G28" i="10"/>
  <c r="F28" i="10"/>
  <c r="Q27" i="10"/>
  <c r="N27" i="10"/>
  <c r="I27" i="10"/>
  <c r="F27" i="10"/>
  <c r="J27" i="10" s="1"/>
  <c r="K27" i="10" s="1"/>
  <c r="Q26" i="10"/>
  <c r="N26" i="10"/>
  <c r="I26" i="10"/>
  <c r="F26" i="10"/>
  <c r="J26" i="10" s="1"/>
  <c r="K26" i="10" s="1"/>
  <c r="Q25" i="10"/>
  <c r="N25" i="10"/>
  <c r="J25" i="10"/>
  <c r="K25" i="10" s="1"/>
  <c r="I25" i="10"/>
  <c r="F25" i="10"/>
  <c r="G25" i="10" s="1"/>
  <c r="Q24" i="10"/>
  <c r="N24" i="10"/>
  <c r="I24" i="10"/>
  <c r="J24" i="10" s="1"/>
  <c r="K24" i="10" s="1"/>
  <c r="G24" i="10"/>
  <c r="F24" i="10"/>
  <c r="Q23" i="10"/>
  <c r="N23" i="10"/>
  <c r="I23" i="10"/>
  <c r="G23" i="10"/>
  <c r="F23" i="10"/>
  <c r="J23" i="10" s="1"/>
  <c r="K23" i="10" s="1"/>
  <c r="T22" i="10"/>
  <c r="Q22" i="10"/>
  <c r="N22" i="10"/>
  <c r="I22" i="10"/>
  <c r="G22" i="10"/>
  <c r="F22" i="10"/>
  <c r="J22" i="10" s="1"/>
  <c r="K22" i="10" s="1"/>
  <c r="B22" i="10"/>
  <c r="A22" i="10"/>
  <c r="R17" i="10"/>
  <c r="O17" i="10"/>
  <c r="O16" i="10"/>
  <c r="O15" i="10"/>
  <c r="J15" i="10"/>
  <c r="G15" i="10"/>
  <c r="K15" i="10" s="1"/>
  <c r="L15" i="10" s="1"/>
  <c r="A15" i="10"/>
  <c r="R14" i="10"/>
  <c r="O14" i="10"/>
  <c r="J14" i="10"/>
  <c r="K14" i="10" s="1"/>
  <c r="L14" i="10" s="1"/>
  <c r="H14" i="10"/>
  <c r="G14" i="10"/>
  <c r="A14" i="10"/>
  <c r="U13" i="10"/>
  <c r="R13" i="10"/>
  <c r="O13" i="10"/>
  <c r="K13" i="10"/>
  <c r="L13" i="10" s="1"/>
  <c r="J13" i="10"/>
  <c r="G13" i="10"/>
  <c r="H13" i="10" s="1"/>
  <c r="R12" i="10"/>
  <c r="O12" i="10"/>
  <c r="K12" i="10"/>
  <c r="L12" i="10" s="1"/>
  <c r="J12" i="10"/>
  <c r="G12" i="10"/>
  <c r="H12" i="10" s="1"/>
  <c r="R11" i="10"/>
  <c r="O11" i="10"/>
  <c r="K11" i="10"/>
  <c r="L11" i="10" s="1"/>
  <c r="J11" i="10"/>
  <c r="G11" i="10"/>
  <c r="H11" i="10" s="1"/>
  <c r="R10" i="10"/>
  <c r="O10" i="10"/>
  <c r="K10" i="10"/>
  <c r="L10" i="10" s="1"/>
  <c r="J10" i="10"/>
  <c r="G10" i="10"/>
  <c r="H10" i="10" s="1"/>
  <c r="O9" i="10"/>
  <c r="J9" i="10"/>
  <c r="K9" i="10" s="1"/>
  <c r="L9" i="10" s="1"/>
  <c r="G9" i="10"/>
  <c r="H9" i="10" s="1"/>
  <c r="C9" i="10"/>
  <c r="C10" i="10" s="1"/>
  <c r="C11" i="10" s="1"/>
  <c r="C12" i="10" s="1"/>
  <c r="C13" i="10" s="1"/>
  <c r="C14" i="10" s="1"/>
  <c r="C15" i="10" s="1"/>
  <c r="C16" i="10" s="1"/>
  <c r="C17" i="10" s="1"/>
  <c r="R8" i="10"/>
  <c r="O8" i="10"/>
  <c r="J8" i="10"/>
  <c r="K8" i="10" s="1"/>
  <c r="L8" i="10" s="1"/>
  <c r="G8" i="10"/>
  <c r="H8" i="10" s="1"/>
  <c r="A8" i="10"/>
  <c r="R7" i="10"/>
  <c r="O7" i="10"/>
  <c r="J7" i="10"/>
  <c r="K7" i="10" s="1"/>
  <c r="L7" i="10" s="1"/>
  <c r="G7" i="10"/>
  <c r="H7" i="10" s="1"/>
  <c r="U6" i="10"/>
  <c r="R6" i="10"/>
  <c r="O6" i="10"/>
  <c r="J6" i="10"/>
  <c r="K6" i="10" s="1"/>
  <c r="L6" i="10" s="1"/>
  <c r="G6" i="10"/>
  <c r="H6" i="10" s="1"/>
  <c r="AG7" i="12" l="1"/>
  <c r="AR8" i="12"/>
  <c r="O7" i="12"/>
  <c r="S6" i="12"/>
  <c r="AN8" i="12"/>
  <c r="G46" i="10"/>
  <c r="J37" i="10"/>
  <c r="K37" i="10" s="1"/>
  <c r="J38" i="10"/>
  <c r="K38" i="10" s="1"/>
  <c r="G27" i="10"/>
  <c r="G26" i="10"/>
  <c r="H15" i="10"/>
  <c r="P7" i="12" l="1"/>
  <c r="N8" i="12" s="1"/>
  <c r="O8" i="12" s="1"/>
  <c r="AO8" i="12"/>
  <c r="AM9" i="12" s="1"/>
  <c r="S8" i="12" l="1"/>
  <c r="P8" i="12"/>
  <c r="N9" i="12" s="1"/>
  <c r="O9" i="12" s="1"/>
  <c r="H7" i="12"/>
  <c r="AN9" i="12"/>
  <c r="AO9" i="12" s="1"/>
  <c r="AM10" i="12" s="1"/>
  <c r="AR10" i="12" l="1"/>
  <c r="AG8" i="12"/>
  <c r="P9" i="12"/>
  <c r="N10" i="12" s="1"/>
  <c r="O10" i="12" s="1"/>
  <c r="AN10" i="12"/>
  <c r="S10" i="12" l="1"/>
  <c r="H8" i="12"/>
  <c r="P10" i="12"/>
  <c r="N11" i="12" s="1"/>
  <c r="AO10" i="12"/>
  <c r="AM11" i="12" s="1"/>
  <c r="AO11" i="12" l="1"/>
  <c r="AM12" i="12" s="1"/>
  <c r="AN11" i="12"/>
  <c r="O11" i="12"/>
  <c r="P11" i="12" s="1"/>
  <c r="N12" i="12" s="1"/>
  <c r="P12" i="12" l="1"/>
  <c r="N13" i="12" s="1"/>
  <c r="O12" i="12"/>
  <c r="AN12" i="12"/>
  <c r="AO12" i="12" s="1"/>
  <c r="AM13" i="12" s="1"/>
  <c r="AR13" i="12" l="1"/>
  <c r="AG9" i="12"/>
  <c r="AN13" i="12"/>
  <c r="O13" i="12"/>
  <c r="P13" i="12" s="1"/>
  <c r="N14" i="12" s="1"/>
  <c r="S13" i="12"/>
  <c r="H9" i="12"/>
  <c r="O14" i="12" l="1"/>
  <c r="P14" i="12" s="1"/>
  <c r="N15" i="12" s="1"/>
  <c r="AO13" i="12"/>
  <c r="AM14" i="12" s="1"/>
  <c r="H10" i="12" l="1"/>
  <c r="S15" i="12"/>
  <c r="AN14" i="12"/>
  <c r="AO14" i="12" s="1"/>
  <c r="AM15" i="12" s="1"/>
  <c r="O15" i="12"/>
  <c r="AR15" i="12" l="1"/>
  <c r="AG10" i="12"/>
  <c r="P15" i="12"/>
  <c r="N16" i="12" s="1"/>
  <c r="AN15" i="12"/>
  <c r="AO15" i="12" s="1"/>
  <c r="AM16" i="12" s="1"/>
  <c r="O16" i="12" l="1"/>
  <c r="AN16" i="12"/>
  <c r="P16" i="12" l="1"/>
  <c r="N17" i="12" s="1"/>
  <c r="AO16" i="12"/>
  <c r="AM17" i="12" s="1"/>
  <c r="AG11" i="12" l="1"/>
  <c r="AR17" i="12"/>
  <c r="S17" i="12"/>
  <c r="H11" i="12"/>
  <c r="O17" i="12"/>
  <c r="AN17" i="12"/>
  <c r="P17" i="12" l="1"/>
  <c r="N18" i="12" s="1"/>
  <c r="AO17" i="12"/>
  <c r="AM18" i="12" s="1"/>
  <c r="AN18" i="12" l="1"/>
  <c r="O18" i="12"/>
  <c r="P18" i="12" l="1"/>
  <c r="N19" i="12" s="1"/>
  <c r="AO18" i="12"/>
  <c r="AM19" i="12" s="1"/>
  <c r="AN19" i="12" l="1"/>
  <c r="O19" i="12"/>
  <c r="P19" i="12" l="1"/>
  <c r="N20" i="12" s="1"/>
  <c r="AO19" i="12"/>
  <c r="AM20" i="12" s="1"/>
  <c r="AN20" i="12" s="1"/>
  <c r="AO20" i="12" l="1"/>
  <c r="AM21" i="12" s="1"/>
  <c r="AN21" i="12" s="1"/>
  <c r="O20" i="12"/>
  <c r="P20" i="12" l="1"/>
  <c r="N21" i="12" s="1"/>
  <c r="AG12" i="12"/>
  <c r="AR21" i="12"/>
  <c r="AO21" i="12"/>
  <c r="AM22" i="12" s="1"/>
  <c r="AN22" i="12" s="1"/>
  <c r="AO22" i="12" l="1"/>
  <c r="AM23" i="12" s="1"/>
  <c r="S21" i="12"/>
  <c r="H12" i="12"/>
  <c r="O21" i="12"/>
  <c r="P21" i="12" l="1"/>
  <c r="N22" i="12" s="1"/>
  <c r="AN23" i="12"/>
  <c r="AO23" i="12" l="1"/>
  <c r="AM24" i="12" s="1"/>
  <c r="O22" i="12"/>
  <c r="P22" i="12" l="1"/>
  <c r="N23" i="12" s="1"/>
  <c r="AN24" i="12"/>
  <c r="AO24" i="12" l="1"/>
  <c r="AM25" i="12" s="1"/>
  <c r="O23" i="12"/>
  <c r="P23" i="12" l="1"/>
  <c r="N24" i="12" s="1"/>
  <c r="AN25" i="12"/>
  <c r="AO25" i="12" l="1"/>
  <c r="AM26" i="12" s="1"/>
  <c r="O24" i="12"/>
  <c r="P24" i="12" l="1"/>
  <c r="N25" i="12" s="1"/>
  <c r="AN26" i="12"/>
  <c r="AO26" i="12" s="1"/>
  <c r="AM27" i="12" s="1"/>
  <c r="AN27" i="12" l="1"/>
  <c r="O25" i="12"/>
  <c r="P25" i="12" l="1"/>
  <c r="N26" i="12" s="1"/>
  <c r="AO27" i="12"/>
  <c r="AM28" i="12" s="1"/>
  <c r="AN28" i="12" l="1"/>
  <c r="O26" i="12"/>
  <c r="P26" i="12" l="1"/>
  <c r="N27" i="12" s="1"/>
  <c r="AO28" i="12"/>
  <c r="AM29" i="12" s="1"/>
  <c r="AN29" i="12" l="1"/>
  <c r="O27" i="12"/>
  <c r="P27" i="12" s="1"/>
  <c r="N28" i="12" s="1"/>
  <c r="O28" i="12" l="1"/>
  <c r="AO29" i="12"/>
  <c r="AM30" i="12" s="1"/>
  <c r="AN30" i="12" s="1"/>
  <c r="AO30" i="12" l="1"/>
  <c r="AM31" i="12" s="1"/>
  <c r="P28" i="12"/>
  <c r="N29" i="12" s="1"/>
  <c r="O29" i="12" s="1"/>
  <c r="P29" i="12" l="1"/>
  <c r="N30" i="12" s="1"/>
  <c r="AN31" i="12"/>
  <c r="AO31" i="12" l="1"/>
  <c r="AM32" i="12" s="1"/>
  <c r="O30" i="12"/>
  <c r="P30" i="12" l="1"/>
  <c r="N31" i="12" s="1"/>
  <c r="AN32" i="12"/>
  <c r="AO32" i="12" l="1"/>
  <c r="AM33" i="12" s="1"/>
  <c r="O31" i="12"/>
  <c r="P31" i="12" l="1"/>
  <c r="N32" i="12" s="1"/>
  <c r="AN33" i="12"/>
  <c r="AO33" i="12" s="1"/>
  <c r="AM34" i="12" s="1"/>
  <c r="AN34" i="12" l="1"/>
  <c r="O32" i="12"/>
  <c r="P32" i="12" l="1"/>
  <c r="N33" i="12" s="1"/>
  <c r="AO34" i="12"/>
  <c r="AM35" i="12" s="1"/>
  <c r="AN35" i="12" s="1"/>
  <c r="AR35" i="12" l="1"/>
  <c r="AO35" i="12"/>
  <c r="AM36" i="12" s="1"/>
  <c r="AG13" i="12"/>
  <c r="O33" i="12"/>
  <c r="P33" i="12" l="1"/>
  <c r="N34" i="12" s="1"/>
  <c r="AN36" i="12"/>
  <c r="AO36" i="12" l="1"/>
  <c r="AM37" i="12" s="1"/>
  <c r="O34" i="12"/>
  <c r="AR37" i="12" l="1"/>
  <c r="AG14" i="12"/>
  <c r="P34" i="12"/>
  <c r="N35" i="12" s="1"/>
  <c r="AN37" i="12"/>
  <c r="S35" i="12" l="1"/>
  <c r="H13" i="12"/>
  <c r="AO37" i="12"/>
  <c r="AM38" i="12" s="1"/>
  <c r="O35" i="12"/>
  <c r="P35" i="12" l="1"/>
  <c r="N36" i="12" s="1"/>
  <c r="AN38" i="12"/>
  <c r="O36" i="12" l="1"/>
  <c r="AO38" i="12"/>
  <c r="AM39" i="12" s="1"/>
  <c r="P36" i="12" l="1"/>
  <c r="N37" i="12" s="1"/>
  <c r="AN39" i="12"/>
  <c r="S37" i="12" l="1"/>
  <c r="H14" i="12"/>
  <c r="O37" i="12"/>
  <c r="AO39" i="12"/>
  <c r="AM40" i="12" s="1"/>
  <c r="P37" i="12" l="1"/>
  <c r="N38" i="12" s="1"/>
  <c r="AN40" i="12"/>
  <c r="O38" i="12" l="1"/>
  <c r="AO40" i="12"/>
  <c r="AM41" i="12" s="1"/>
  <c r="AR41" i="12" l="1"/>
  <c r="AG15" i="12"/>
  <c r="P38" i="12"/>
  <c r="N39" i="12" s="1"/>
  <c r="O39" i="12" s="1"/>
  <c r="AN41" i="12"/>
  <c r="P39" i="12" l="1"/>
  <c r="N40" i="12" s="1"/>
  <c r="AO41" i="12"/>
  <c r="AM42" i="12" s="1"/>
  <c r="AN42" i="12" l="1"/>
  <c r="O40" i="12"/>
  <c r="P40" i="12" l="1"/>
  <c r="N41" i="12" s="1"/>
  <c r="AO42" i="12"/>
  <c r="AM43" i="12" s="1"/>
  <c r="H15" i="12" l="1"/>
  <c r="S41" i="12"/>
  <c r="AN43" i="12"/>
  <c r="O41" i="12"/>
  <c r="P41" i="12" l="1"/>
  <c r="N42" i="12" s="1"/>
  <c r="AO43" i="12"/>
  <c r="AM44" i="12" s="1"/>
  <c r="O42" i="12" l="1"/>
  <c r="AN44" i="12"/>
  <c r="P42" i="12" l="1"/>
  <c r="N43" i="12" s="1"/>
  <c r="AO44" i="12"/>
  <c r="AM45" i="12" s="1"/>
  <c r="O43" i="12" l="1"/>
  <c r="AN45" i="12"/>
  <c r="P43" i="12" l="1"/>
  <c r="N44" i="12" s="1"/>
  <c r="AO45" i="12"/>
  <c r="AM46" i="12" s="1"/>
  <c r="O44" i="12" l="1"/>
  <c r="AN46" i="12"/>
  <c r="P44" i="12" l="1"/>
  <c r="N45" i="12" s="1"/>
  <c r="AO46" i="12"/>
  <c r="AM47" i="12" s="1"/>
  <c r="O45" i="12" l="1"/>
  <c r="AN47" i="12"/>
  <c r="P45" i="12" l="1"/>
  <c r="N46" i="12" s="1"/>
  <c r="AO47" i="12"/>
  <c r="AM48" i="12" s="1"/>
  <c r="O46" i="12" l="1"/>
  <c r="AN48" i="12"/>
  <c r="P46" i="12" l="1"/>
  <c r="N47" i="12" s="1"/>
  <c r="AO48" i="12"/>
  <c r="AM49" i="12" s="1"/>
  <c r="O47" i="12" l="1"/>
  <c r="AN49" i="12"/>
  <c r="P47" i="12" l="1"/>
  <c r="N48" i="12" s="1"/>
  <c r="AO49" i="12"/>
  <c r="AM50" i="12" s="1"/>
  <c r="O48" i="12" l="1"/>
  <c r="AN50" i="12"/>
  <c r="P48" i="12" l="1"/>
  <c r="N49" i="12" s="1"/>
  <c r="AO50" i="12"/>
  <c r="AM51" i="12" s="1"/>
  <c r="AG16" i="12" l="1"/>
  <c r="AR51" i="12"/>
  <c r="O49" i="12"/>
  <c r="P49" i="12" s="1"/>
  <c r="N50" i="12" s="1"/>
  <c r="AN51" i="12"/>
  <c r="O50" i="12" l="1"/>
  <c r="AO51" i="12"/>
  <c r="AM52" i="12" s="1"/>
  <c r="AN52" i="12" l="1"/>
  <c r="P50" i="12"/>
  <c r="N51" i="12" s="1"/>
  <c r="O51" i="12" s="1"/>
  <c r="P51" i="12" l="1"/>
  <c r="N52" i="12" s="1"/>
  <c r="S51" i="12"/>
  <c r="H16" i="12"/>
  <c r="AO52" i="12"/>
  <c r="AM53" i="12" s="1"/>
  <c r="AN53" i="12" l="1"/>
  <c r="O52" i="12"/>
  <c r="P52" i="12" l="1"/>
  <c r="N53" i="12" s="1"/>
  <c r="AO53" i="12"/>
  <c r="AM54" i="12" s="1"/>
  <c r="AN54" i="12" l="1"/>
  <c r="O53" i="12"/>
  <c r="P53" i="12" l="1"/>
  <c r="N54" i="12" s="1"/>
  <c r="AO54" i="12"/>
  <c r="AM55" i="12" s="1"/>
  <c r="AN55" i="12" l="1"/>
  <c r="O54" i="12"/>
  <c r="P54" i="12" l="1"/>
  <c r="N55" i="12" s="1"/>
  <c r="AO55" i="12"/>
  <c r="AM56" i="12" s="1"/>
  <c r="AN56" i="12" l="1"/>
  <c r="O55" i="12"/>
  <c r="P55" i="12" l="1"/>
  <c r="N56" i="12" s="1"/>
  <c r="AO56" i="12"/>
  <c r="AM57" i="12" s="1"/>
  <c r="AN57" i="12" l="1"/>
  <c r="O56" i="12"/>
  <c r="P56" i="12" l="1"/>
  <c r="N57" i="12" s="1"/>
  <c r="AO57" i="12"/>
  <c r="AM58" i="12" s="1"/>
  <c r="AN58" i="12" l="1"/>
  <c r="O57" i="12"/>
  <c r="P57" i="12" l="1"/>
  <c r="N58" i="12" s="1"/>
  <c r="AO58" i="12"/>
  <c r="AM59" i="12" s="1"/>
  <c r="AN59" i="12" l="1"/>
  <c r="O58" i="12"/>
  <c r="P58" i="12" l="1"/>
  <c r="N59" i="12" s="1"/>
  <c r="AO59" i="12"/>
  <c r="AM60" i="12" s="1"/>
  <c r="AN60" i="12" l="1"/>
  <c r="O59" i="12"/>
  <c r="P59" i="12" l="1"/>
  <c r="N60" i="12" s="1"/>
  <c r="AO60" i="12"/>
  <c r="AM61" i="12" s="1"/>
  <c r="AN61" i="12" l="1"/>
  <c r="O60" i="12"/>
  <c r="P60" i="12" l="1"/>
  <c r="N61" i="12" s="1"/>
  <c r="AO61" i="12"/>
  <c r="AM62" i="12" s="1"/>
  <c r="AN62" i="12" l="1"/>
  <c r="O61" i="12"/>
  <c r="P61" i="12" l="1"/>
  <c r="N62" i="12" s="1"/>
  <c r="AO62" i="12"/>
  <c r="AM63" i="12" s="1"/>
  <c r="AN63" i="12" l="1"/>
  <c r="O62" i="12"/>
  <c r="P62" i="12" l="1"/>
  <c r="N63" i="12" s="1"/>
  <c r="AO63" i="12"/>
  <c r="AM64" i="12" s="1"/>
  <c r="AN64" i="12" l="1"/>
  <c r="O63" i="12"/>
  <c r="P63" i="12" l="1"/>
  <c r="N64" i="12" s="1"/>
  <c r="AO64" i="12"/>
  <c r="AM65" i="12" s="1"/>
  <c r="AN65" i="12" l="1"/>
  <c r="O64" i="12"/>
  <c r="P64" i="12" l="1"/>
  <c r="N65" i="12" s="1"/>
  <c r="AO65" i="12"/>
  <c r="AM66" i="12" s="1"/>
  <c r="AN66" i="12" l="1"/>
  <c r="O65" i="12"/>
  <c r="P65" i="12" l="1"/>
  <c r="N66" i="12" s="1"/>
  <c r="AO66" i="12"/>
  <c r="AM67" i="12" s="1"/>
  <c r="AN67" i="12" l="1"/>
  <c r="O66" i="12"/>
  <c r="P66" i="12" l="1"/>
  <c r="N67" i="12" s="1"/>
  <c r="AO67" i="12"/>
  <c r="AM68" i="12" s="1"/>
  <c r="AN68" i="12" l="1"/>
  <c r="O67" i="12"/>
  <c r="P67" i="12" l="1"/>
  <c r="N68" i="12" s="1"/>
  <c r="AO68" i="12"/>
  <c r="AM69" i="12" s="1"/>
  <c r="AN69" i="12" l="1"/>
  <c r="O68" i="12"/>
  <c r="P68" i="12" l="1"/>
  <c r="N69" i="12" s="1"/>
  <c r="AO69" i="12"/>
  <c r="AM70" i="12" s="1"/>
  <c r="AN70" i="12" l="1"/>
  <c r="O69" i="12"/>
  <c r="P69" i="12" l="1"/>
  <c r="N70" i="12" s="1"/>
  <c r="AO70" i="12"/>
  <c r="AM71" i="12" s="1"/>
  <c r="AN71" i="12" l="1"/>
  <c r="O70" i="12"/>
  <c r="P70" i="12" l="1"/>
  <c r="N71" i="12" s="1"/>
  <c r="AO71" i="12"/>
  <c r="AM72" i="12" s="1"/>
  <c r="AN72" i="12" l="1"/>
  <c r="O71" i="12"/>
  <c r="P71" i="12" l="1"/>
  <c r="N72" i="12" s="1"/>
  <c r="AO72" i="12"/>
  <c r="AM73" i="12" s="1"/>
  <c r="AN73" i="12" l="1"/>
  <c r="O72" i="12"/>
  <c r="P72" i="12" l="1"/>
  <c r="N73" i="12" s="1"/>
  <c r="AO73" i="12"/>
  <c r="AM74" i="12" s="1"/>
  <c r="AG17" i="12" l="1"/>
  <c r="AR74" i="12"/>
  <c r="AR76" i="12" s="1"/>
  <c r="AA8" i="12" s="1"/>
  <c r="AN74" i="12"/>
  <c r="AO74" i="12" s="1"/>
  <c r="O73" i="12"/>
  <c r="P73" i="12" l="1"/>
  <c r="N74" i="12" s="1"/>
  <c r="AA10" i="12"/>
  <c r="AA13" i="12" s="1"/>
  <c r="S74" i="12" l="1"/>
  <c r="S76" i="12" s="1"/>
  <c r="B8" i="12" s="1"/>
  <c r="H17" i="12"/>
  <c r="O74" i="12"/>
  <c r="P74" i="12" s="1"/>
  <c r="B10" i="12" l="1"/>
  <c r="B13" i="12" s="1"/>
  <c r="AC22" i="4" l="1"/>
  <c r="V22" i="4"/>
  <c r="U22" i="4"/>
  <c r="T22" i="4"/>
  <c r="S22" i="4"/>
  <c r="R22" i="4"/>
  <c r="O22" i="4"/>
  <c r="Y22" i="4" s="1"/>
  <c r="N22" i="4"/>
  <c r="X22" i="4" s="1"/>
  <c r="M22" i="4"/>
  <c r="J22" i="4"/>
  <c r="I22" i="4"/>
  <c r="AH22" i="4" s="1"/>
  <c r="H22" i="4"/>
  <c r="L22" i="4" s="1"/>
  <c r="E22" i="4"/>
  <c r="D22" i="4"/>
  <c r="C22" i="4"/>
  <c r="G22" i="4" s="1"/>
  <c r="B22" i="4"/>
  <c r="AG21" i="4"/>
  <c r="AB21" i="4"/>
  <c r="Y21" i="4"/>
  <c r="X21" i="4"/>
  <c r="T21" i="4"/>
  <c r="S21" i="4"/>
  <c r="R21" i="4"/>
  <c r="V21" i="4" s="1"/>
  <c r="Q21" i="4"/>
  <c r="P21" i="4"/>
  <c r="O21" i="4"/>
  <c r="AD21" i="4" s="1"/>
  <c r="N21" i="4"/>
  <c r="AC21" i="4" s="1"/>
  <c r="M21" i="4"/>
  <c r="W21" i="4" s="1"/>
  <c r="J21" i="4"/>
  <c r="AI21" i="4" s="1"/>
  <c r="I21" i="4"/>
  <c r="H21" i="4"/>
  <c r="K21" i="4" s="1"/>
  <c r="E21" i="4"/>
  <c r="D21" i="4"/>
  <c r="G21" i="4" s="1"/>
  <c r="C21" i="4"/>
  <c r="B21" i="4"/>
  <c r="AC20" i="4"/>
  <c r="V20" i="4"/>
  <c r="U20" i="4"/>
  <c r="T20" i="4"/>
  <c r="S20" i="4"/>
  <c r="R20" i="4"/>
  <c r="O20" i="4"/>
  <c r="Y20" i="4" s="1"/>
  <c r="N20" i="4"/>
  <c r="X20" i="4" s="1"/>
  <c r="M20" i="4"/>
  <c r="J20" i="4"/>
  <c r="AI20" i="4" s="1"/>
  <c r="I20" i="4"/>
  <c r="AH20" i="4" s="1"/>
  <c r="H20" i="4"/>
  <c r="L20" i="4" s="1"/>
  <c r="E20" i="4"/>
  <c r="D20" i="4"/>
  <c r="C20" i="4"/>
  <c r="G20" i="4" s="1"/>
  <c r="B20" i="4"/>
  <c r="AO19" i="4"/>
  <c r="AH19" i="4"/>
  <c r="AC19" i="4"/>
  <c r="Y19" i="4"/>
  <c r="T19" i="4"/>
  <c r="S19" i="4"/>
  <c r="R19" i="4"/>
  <c r="O19" i="4"/>
  <c r="AD19" i="4" s="1"/>
  <c r="N19" i="4"/>
  <c r="X19" i="4" s="1"/>
  <c r="M19" i="4"/>
  <c r="Q19" i="4" s="1"/>
  <c r="J19" i="4"/>
  <c r="I19" i="4"/>
  <c r="H19" i="4"/>
  <c r="L19" i="4" s="1"/>
  <c r="E19" i="4"/>
  <c r="D19" i="4"/>
  <c r="C19" i="4"/>
  <c r="AG19" i="4" s="1"/>
  <c r="B19" i="4"/>
  <c r="AO18" i="4"/>
  <c r="AN18" i="4"/>
  <c r="AM18" i="4"/>
  <c r="AL18" i="4"/>
  <c r="AH18" i="4"/>
  <c r="AC18" i="4"/>
  <c r="Y18" i="4"/>
  <c r="T18" i="4"/>
  <c r="S18" i="4"/>
  <c r="R18" i="4"/>
  <c r="O18" i="4"/>
  <c r="AD18" i="4" s="1"/>
  <c r="N18" i="4"/>
  <c r="X18" i="4" s="1"/>
  <c r="M18" i="4"/>
  <c r="Q18" i="4" s="1"/>
  <c r="J18" i="4"/>
  <c r="I18" i="4"/>
  <c r="H18" i="4"/>
  <c r="E18" i="4"/>
  <c r="D18" i="4"/>
  <c r="C18" i="4"/>
  <c r="AG18" i="4" s="1"/>
  <c r="B18" i="4"/>
  <c r="AO17" i="4"/>
  <c r="AH17" i="4"/>
  <c r="X17" i="4"/>
  <c r="W17" i="4"/>
  <c r="T17" i="4"/>
  <c r="S17" i="4"/>
  <c r="R17" i="4"/>
  <c r="V17" i="4" s="1"/>
  <c r="O17" i="4"/>
  <c r="N17" i="4"/>
  <c r="AC17" i="4" s="1"/>
  <c r="M17" i="4"/>
  <c r="AB17" i="4" s="1"/>
  <c r="J17" i="4"/>
  <c r="AI17" i="4" s="1"/>
  <c r="I17" i="4"/>
  <c r="H17" i="4"/>
  <c r="L17" i="4" s="1"/>
  <c r="G17" i="4"/>
  <c r="F17" i="4"/>
  <c r="E17" i="4"/>
  <c r="D17" i="4"/>
  <c r="C17" i="4"/>
  <c r="B17" i="4"/>
  <c r="AO16" i="4"/>
  <c r="AB16" i="4"/>
  <c r="T16" i="4"/>
  <c r="U16" i="4" s="1"/>
  <c r="S16" i="4"/>
  <c r="R16" i="4"/>
  <c r="V16" i="4" s="1"/>
  <c r="O16" i="4"/>
  <c r="N16" i="4"/>
  <c r="X16" i="4" s="1"/>
  <c r="M16" i="4"/>
  <c r="Q16" i="4" s="1"/>
  <c r="L16" i="4"/>
  <c r="K16" i="4"/>
  <c r="J16" i="4"/>
  <c r="I16" i="4"/>
  <c r="H16" i="4"/>
  <c r="AG16" i="4" s="1"/>
  <c r="E16" i="4"/>
  <c r="AI16" i="4" s="1"/>
  <c r="D16" i="4"/>
  <c r="AC16" i="4" s="1"/>
  <c r="C16" i="4"/>
  <c r="G16" i="4" s="1"/>
  <c r="B16" i="4"/>
  <c r="AI15" i="4"/>
  <c r="Y15" i="4"/>
  <c r="X15" i="4"/>
  <c r="W15" i="4"/>
  <c r="AA15" i="4" s="1"/>
  <c r="T15" i="4"/>
  <c r="S15" i="4"/>
  <c r="V15" i="4" s="1"/>
  <c r="R15" i="4"/>
  <c r="Q15" i="4"/>
  <c r="P15" i="4"/>
  <c r="O15" i="4"/>
  <c r="AD15" i="4" s="1"/>
  <c r="N15" i="4"/>
  <c r="AC15" i="4" s="1"/>
  <c r="M15" i="4"/>
  <c r="AB15" i="4" s="1"/>
  <c r="AE15" i="4" s="1"/>
  <c r="J15" i="4"/>
  <c r="I15" i="4"/>
  <c r="AH15" i="4" s="1"/>
  <c r="H15" i="4"/>
  <c r="E15" i="4"/>
  <c r="D15" i="4"/>
  <c r="C15" i="4"/>
  <c r="G15" i="4" s="1"/>
  <c r="B15" i="4"/>
  <c r="AB14" i="4"/>
  <c r="T14" i="4"/>
  <c r="U14" i="4" s="1"/>
  <c r="S14" i="4"/>
  <c r="R14" i="4"/>
  <c r="O14" i="4"/>
  <c r="Y14" i="4" s="1"/>
  <c r="N14" i="4"/>
  <c r="X14" i="4" s="1"/>
  <c r="M14" i="4"/>
  <c r="Q14" i="4" s="1"/>
  <c r="L14" i="4"/>
  <c r="K14" i="4"/>
  <c r="J14" i="4"/>
  <c r="I14" i="4"/>
  <c r="H14" i="4"/>
  <c r="AG14" i="4" s="1"/>
  <c r="E14" i="4"/>
  <c r="AI14" i="4" s="1"/>
  <c r="D14" i="4"/>
  <c r="C14" i="4"/>
  <c r="F14" i="4" s="1"/>
  <c r="B14" i="4"/>
  <c r="AI13" i="4"/>
  <c r="Y13" i="4"/>
  <c r="X13" i="4"/>
  <c r="W13" i="4"/>
  <c r="T13" i="4"/>
  <c r="S13" i="4"/>
  <c r="R13" i="4"/>
  <c r="V13" i="4" s="1"/>
  <c r="Q13" i="4"/>
  <c r="P13" i="4"/>
  <c r="O13" i="4"/>
  <c r="AD13" i="4" s="1"/>
  <c r="N13" i="4"/>
  <c r="AC13" i="4" s="1"/>
  <c r="M13" i="4"/>
  <c r="AB13" i="4" s="1"/>
  <c r="J13" i="4"/>
  <c r="I13" i="4"/>
  <c r="AH13" i="4" s="1"/>
  <c r="H13" i="4"/>
  <c r="E13" i="4"/>
  <c r="D13" i="4"/>
  <c r="C13" i="4"/>
  <c r="G13" i="4" s="1"/>
  <c r="B13" i="4"/>
  <c r="AO12" i="4"/>
  <c r="AC12" i="4"/>
  <c r="V12" i="4"/>
  <c r="U12" i="4"/>
  <c r="T12" i="4"/>
  <c r="S12" i="4"/>
  <c r="R12" i="4"/>
  <c r="O12" i="4"/>
  <c r="Y12" i="4" s="1"/>
  <c r="N12" i="4"/>
  <c r="X12" i="4" s="1"/>
  <c r="M12" i="4"/>
  <c r="J12" i="4"/>
  <c r="I12" i="4"/>
  <c r="AH12" i="4" s="1"/>
  <c r="H12" i="4"/>
  <c r="L12" i="4" s="1"/>
  <c r="E12" i="4"/>
  <c r="D12" i="4"/>
  <c r="C12" i="4"/>
  <c r="G12" i="4" s="1"/>
  <c r="B12" i="4"/>
  <c r="AG11" i="4"/>
  <c r="Y11" i="4"/>
  <c r="X11" i="4"/>
  <c r="T11" i="4"/>
  <c r="S11" i="4"/>
  <c r="R11" i="4"/>
  <c r="W11" i="4" s="1"/>
  <c r="Q11" i="4"/>
  <c r="P11" i="4"/>
  <c r="O11" i="4"/>
  <c r="AD11" i="4" s="1"/>
  <c r="N11" i="4"/>
  <c r="AC11" i="4" s="1"/>
  <c r="M11" i="4"/>
  <c r="J11" i="4"/>
  <c r="AI11" i="4" s="1"/>
  <c r="I11" i="4"/>
  <c r="AH11" i="4" s="1"/>
  <c r="H11" i="4"/>
  <c r="L11" i="4" s="1"/>
  <c r="E11" i="4"/>
  <c r="D11" i="4"/>
  <c r="C11" i="4"/>
  <c r="G11" i="4" s="1"/>
  <c r="B11" i="4"/>
  <c r="AC10" i="4"/>
  <c r="V10" i="4"/>
  <c r="U10" i="4"/>
  <c r="T10" i="4"/>
  <c r="S10" i="4"/>
  <c r="R10" i="4"/>
  <c r="O10" i="4"/>
  <c r="Y10" i="4" s="1"/>
  <c r="N10" i="4"/>
  <c r="X10" i="4" s="1"/>
  <c r="M10" i="4"/>
  <c r="J10" i="4"/>
  <c r="AI10" i="4" s="1"/>
  <c r="I10" i="4"/>
  <c r="AH10" i="4" s="1"/>
  <c r="H10" i="4"/>
  <c r="L10" i="4" s="1"/>
  <c r="E10" i="4"/>
  <c r="D10" i="4"/>
  <c r="C10" i="4"/>
  <c r="B10" i="4"/>
  <c r="AG9" i="4"/>
  <c r="Y9" i="4"/>
  <c r="T9" i="4"/>
  <c r="S9" i="4"/>
  <c r="R9" i="4"/>
  <c r="W9" i="4" s="1"/>
  <c r="Q9" i="4"/>
  <c r="O9" i="4"/>
  <c r="P9" i="4" s="1"/>
  <c r="N9" i="4"/>
  <c r="X9" i="4" s="1"/>
  <c r="M9" i="4"/>
  <c r="J9" i="4"/>
  <c r="AI9" i="4" s="1"/>
  <c r="I9" i="4"/>
  <c r="AH9" i="4" s="1"/>
  <c r="H9" i="4"/>
  <c r="E9" i="4"/>
  <c r="D9" i="4"/>
  <c r="G9" i="4" s="1"/>
  <c r="C9" i="4"/>
  <c r="AB9" i="4" s="1"/>
  <c r="B9" i="4"/>
  <c r="AC8" i="4"/>
  <c r="V8" i="4"/>
  <c r="U8" i="4"/>
  <c r="T8" i="4"/>
  <c r="S8" i="4"/>
  <c r="R8" i="4"/>
  <c r="O8" i="4"/>
  <c r="Y8" i="4" s="1"/>
  <c r="N8" i="4"/>
  <c r="X8" i="4" s="1"/>
  <c r="M8" i="4"/>
  <c r="J8" i="4"/>
  <c r="I8" i="4"/>
  <c r="AH8" i="4" s="1"/>
  <c r="H8" i="4"/>
  <c r="L8" i="4" s="1"/>
  <c r="E8" i="4"/>
  <c r="D8" i="4"/>
  <c r="C8" i="4"/>
  <c r="G8" i="4" s="1"/>
  <c r="B8" i="4"/>
  <c r="AI7" i="4"/>
  <c r="W7" i="4"/>
  <c r="T7" i="4"/>
  <c r="S7" i="4"/>
  <c r="R7" i="4"/>
  <c r="O7" i="4"/>
  <c r="Y7" i="4" s="1"/>
  <c r="N7" i="4"/>
  <c r="Q7" i="4" s="1"/>
  <c r="M7" i="4"/>
  <c r="L7" i="4"/>
  <c r="K7" i="4"/>
  <c r="J7" i="4"/>
  <c r="I7" i="4"/>
  <c r="AH7" i="4" s="1"/>
  <c r="H7" i="4"/>
  <c r="E7" i="4"/>
  <c r="D7" i="4"/>
  <c r="C7" i="4"/>
  <c r="B7" i="4"/>
  <c r="AH6" i="4"/>
  <c r="AG6" i="4"/>
  <c r="AD6" i="4"/>
  <c r="AC6" i="4"/>
  <c r="AE6" i="4" s="1"/>
  <c r="AB6" i="4"/>
  <c r="AF6" i="4" s="1"/>
  <c r="Y6" i="4"/>
  <c r="Z6" i="4" s="1"/>
  <c r="X6" i="4"/>
  <c r="W6" i="4"/>
  <c r="V6" i="4"/>
  <c r="U6" i="4"/>
  <c r="Q6" i="4"/>
  <c r="P6" i="4"/>
  <c r="L6" i="4"/>
  <c r="K6" i="4"/>
  <c r="J6" i="4"/>
  <c r="AI6" i="4" s="1"/>
  <c r="I6" i="4"/>
  <c r="H6" i="4"/>
  <c r="G6" i="4"/>
  <c r="F6" i="4"/>
  <c r="AH5" i="4"/>
  <c r="AD5" i="4"/>
  <c r="AC5" i="4"/>
  <c r="AF5" i="4" s="1"/>
  <c r="AB5" i="4"/>
  <c r="AE5" i="4" s="1"/>
  <c r="Y5" i="4"/>
  <c r="Z5" i="4" s="1"/>
  <c r="X5" i="4"/>
  <c r="AA5" i="4" s="1"/>
  <c r="W5" i="4"/>
  <c r="V5" i="4"/>
  <c r="U5" i="4"/>
  <c r="Q5" i="4"/>
  <c r="P5" i="4"/>
  <c r="J5" i="4"/>
  <c r="I5" i="4"/>
  <c r="H5" i="4"/>
  <c r="G5" i="4"/>
  <c r="F5" i="4"/>
  <c r="AC4" i="4"/>
  <c r="AB4" i="4"/>
  <c r="AF4" i="4" s="1"/>
  <c r="AA4" i="4"/>
  <c r="Y4" i="4"/>
  <c r="X4" i="4"/>
  <c r="W4" i="4"/>
  <c r="Z4" i="4" s="1"/>
  <c r="V4" i="4"/>
  <c r="U4" i="4"/>
  <c r="Q4" i="4"/>
  <c r="P4" i="4"/>
  <c r="I4" i="4"/>
  <c r="AH4" i="4" s="1"/>
  <c r="H4" i="4"/>
  <c r="L4" i="4" s="1"/>
  <c r="G4" i="4"/>
  <c r="F4" i="4"/>
  <c r="AO3" i="4"/>
  <c r="AD3" i="4"/>
  <c r="AC3" i="4"/>
  <c r="AB3" i="4"/>
  <c r="AF3" i="4" s="1"/>
  <c r="Z3" i="4"/>
  <c r="Y3" i="4"/>
  <c r="X3" i="4"/>
  <c r="W3" i="4"/>
  <c r="V3" i="4"/>
  <c r="U3" i="4"/>
  <c r="Q3" i="4"/>
  <c r="P3" i="4"/>
  <c r="AA11" i="4" l="1"/>
  <c r="Z11" i="4"/>
  <c r="V19" i="4"/>
  <c r="U19" i="4"/>
  <c r="AB20" i="4"/>
  <c r="Q20" i="4"/>
  <c r="P20" i="4"/>
  <c r="W20" i="4"/>
  <c r="L21" i="4"/>
  <c r="AH21" i="4"/>
  <c r="Z7" i="4"/>
  <c r="AK9" i="4"/>
  <c r="AJ9" i="4"/>
  <c r="AB10" i="4"/>
  <c r="Q10" i="4"/>
  <c r="P10" i="4"/>
  <c r="W10" i="4"/>
  <c r="AE13" i="4"/>
  <c r="AA13" i="4"/>
  <c r="G14" i="4"/>
  <c r="AC14" i="4"/>
  <c r="Y16" i="4"/>
  <c r="V18" i="4"/>
  <c r="U18" i="4"/>
  <c r="AB7" i="4"/>
  <c r="G7" i="4"/>
  <c r="F7" i="4"/>
  <c r="F12" i="4"/>
  <c r="AD12" i="4"/>
  <c r="AK16" i="4"/>
  <c r="AF17" i="4"/>
  <c r="AE17" i="4"/>
  <c r="AA21" i="4"/>
  <c r="Z21" i="4"/>
  <c r="AD22" i="4"/>
  <c r="F22" i="4"/>
  <c r="AK6" i="4"/>
  <c r="AJ6" i="4"/>
  <c r="G10" i="4"/>
  <c r="AK14" i="4"/>
  <c r="V14" i="4"/>
  <c r="AF15" i="4"/>
  <c r="AH16" i="4"/>
  <c r="L18" i="4"/>
  <c r="Z9" i="4"/>
  <c r="AA9" i="4"/>
  <c r="AF13" i="4"/>
  <c r="AH14" i="4"/>
  <c r="AJ14" i="4" s="1"/>
  <c r="AD17" i="4"/>
  <c r="Y17" i="4"/>
  <c r="AA17" i="4" s="1"/>
  <c r="P17" i="4"/>
  <c r="AI19" i="4"/>
  <c r="AK19" i="4" s="1"/>
  <c r="K19" i="4"/>
  <c r="AD20" i="4"/>
  <c r="F20" i="4"/>
  <c r="AF21" i="4"/>
  <c r="AD8" i="4"/>
  <c r="F8" i="4"/>
  <c r="AA6" i="4"/>
  <c r="AG7" i="4"/>
  <c r="V7" i="4"/>
  <c r="AI8" i="4"/>
  <c r="L9" i="4"/>
  <c r="F10" i="4"/>
  <c r="AD10" i="4"/>
  <c r="AK11" i="4"/>
  <c r="AJ11" i="4"/>
  <c r="AI12" i="4"/>
  <c r="L15" i="4"/>
  <c r="K15" i="4"/>
  <c r="AG15" i="4"/>
  <c r="AI18" i="4"/>
  <c r="AK18" i="4" s="1"/>
  <c r="K18" i="4"/>
  <c r="AK21" i="4"/>
  <c r="AJ21" i="4"/>
  <c r="AI22" i="4"/>
  <c r="AB8" i="4"/>
  <c r="Q8" i="4"/>
  <c r="P8" i="4"/>
  <c r="W8" i="4"/>
  <c r="AB12" i="4"/>
  <c r="Q12" i="4"/>
  <c r="P12" i="4"/>
  <c r="W12" i="4"/>
  <c r="AG13" i="4"/>
  <c r="L13" i="4"/>
  <c r="K13" i="4"/>
  <c r="AJ16" i="4"/>
  <c r="AB22" i="4"/>
  <c r="Q22" i="4"/>
  <c r="P22" i="4"/>
  <c r="W22" i="4"/>
  <c r="U7" i="4"/>
  <c r="AC7" i="4"/>
  <c r="K9" i="4"/>
  <c r="K11" i="4"/>
  <c r="Z13" i="4"/>
  <c r="AD14" i="4"/>
  <c r="AF14" i="4" s="1"/>
  <c r="Z15" i="4"/>
  <c r="F16" i="4"/>
  <c r="AD16" i="4"/>
  <c r="AF16" i="4" s="1"/>
  <c r="Q17" i="4"/>
  <c r="AG17" i="4"/>
  <c r="AB18" i="4"/>
  <c r="AB19" i="4"/>
  <c r="AE4" i="4"/>
  <c r="AD7" i="4"/>
  <c r="AB11" i="4"/>
  <c r="W14" i="4"/>
  <c r="W16" i="4"/>
  <c r="K5" i="4"/>
  <c r="AG5" i="4"/>
  <c r="AG8" i="4"/>
  <c r="U9" i="4"/>
  <c r="AC9" i="4"/>
  <c r="AF9" i="4" s="1"/>
  <c r="AG10" i="4"/>
  <c r="U11" i="4"/>
  <c r="AG12" i="4"/>
  <c r="P14" i="4"/>
  <c r="P16" i="4"/>
  <c r="K17" i="4"/>
  <c r="F18" i="4"/>
  <c r="F19" i="4"/>
  <c r="AG20" i="4"/>
  <c r="U21" i="4"/>
  <c r="AG22" i="4"/>
  <c r="AG4" i="4"/>
  <c r="L5" i="4"/>
  <c r="P7" i="4"/>
  <c r="X7" i="4"/>
  <c r="AA7" i="4" s="1"/>
  <c r="F9" i="4"/>
  <c r="V9" i="4"/>
  <c r="AD9" i="4"/>
  <c r="F11" i="4"/>
  <c r="V11" i="4"/>
  <c r="U13" i="4"/>
  <c r="U15" i="4"/>
  <c r="G18" i="4"/>
  <c r="W18" i="4"/>
  <c r="G19" i="4"/>
  <c r="W19" i="4"/>
  <c r="F21" i="4"/>
  <c r="AA3" i="4"/>
  <c r="K4" i="4"/>
  <c r="AI5" i="4"/>
  <c r="K8" i="4"/>
  <c r="K10" i="4"/>
  <c r="K12" i="4"/>
  <c r="F13" i="4"/>
  <c r="F15" i="4"/>
  <c r="U17" i="4"/>
  <c r="P18" i="4"/>
  <c r="P19" i="4"/>
  <c r="K20" i="4"/>
  <c r="AE21" i="4"/>
  <c r="K22" i="4"/>
  <c r="AA18" i="4" l="1"/>
  <c r="Z18" i="4"/>
  <c r="AA14" i="4"/>
  <c r="Z14" i="4"/>
  <c r="AF22" i="4"/>
  <c r="AE22" i="4"/>
  <c r="AA10" i="4"/>
  <c r="Z10" i="4"/>
  <c r="AJ18" i="4"/>
  <c r="AJ22" i="4"/>
  <c r="AK22" i="4"/>
  <c r="AJ8" i="4"/>
  <c r="AK8" i="4"/>
  <c r="AJ12" i="4"/>
  <c r="AK12" i="4"/>
  <c r="AE14" i="4"/>
  <c r="AF12" i="4"/>
  <c r="AE12" i="4"/>
  <c r="AJ7" i="4"/>
  <c r="AK7" i="4"/>
  <c r="AA20" i="4"/>
  <c r="Z20" i="4"/>
  <c r="Z17" i="4"/>
  <c r="AK15" i="4"/>
  <c r="AJ15" i="4"/>
  <c r="AF19" i="4"/>
  <c r="AE19" i="4"/>
  <c r="AA8" i="4"/>
  <c r="Z8" i="4"/>
  <c r="AE9" i="4"/>
  <c r="AF10" i="4"/>
  <c r="AE10" i="4"/>
  <c r="AF7" i="4"/>
  <c r="AE7" i="4"/>
  <c r="AA19" i="4"/>
  <c r="Z19" i="4"/>
  <c r="AJ20" i="4"/>
  <c r="AK20" i="4"/>
  <c r="AJ5" i="4"/>
  <c r="AK5" i="4"/>
  <c r="AF11" i="4"/>
  <c r="AE11" i="4"/>
  <c r="AJ4" i="4"/>
  <c r="AK4" i="4"/>
  <c r="AA12" i="4"/>
  <c r="Z12" i="4"/>
  <c r="AJ10" i="4"/>
  <c r="AK10" i="4"/>
  <c r="AA16" i="4"/>
  <c r="Z16" i="4"/>
  <c r="AF18" i="4"/>
  <c r="AE18" i="4"/>
  <c r="AA22" i="4"/>
  <c r="Z22" i="4"/>
  <c r="AE16" i="4"/>
  <c r="AJ19" i="4"/>
  <c r="AF20" i="4"/>
  <c r="AE20" i="4"/>
  <c r="AK17" i="4"/>
  <c r="AJ17" i="4"/>
  <c r="AK13" i="4"/>
  <c r="AJ13" i="4"/>
  <c r="AF8" i="4"/>
  <c r="AE8" i="4"/>
  <c r="Q73" i="1" l="1"/>
  <c r="N73" i="1"/>
  <c r="I73" i="1"/>
  <c r="G73" i="1"/>
  <c r="F73" i="1"/>
  <c r="J73" i="1" s="1"/>
  <c r="K73" i="1" s="1"/>
  <c r="Q72" i="1"/>
  <c r="N72" i="1"/>
  <c r="I72" i="1"/>
  <c r="F72" i="1"/>
  <c r="J72" i="1" s="1"/>
  <c r="K72" i="1" s="1"/>
  <c r="Q71" i="1"/>
  <c r="N71" i="1"/>
  <c r="I71" i="1"/>
  <c r="F71" i="1"/>
  <c r="J71" i="1" s="1"/>
  <c r="K71" i="1" s="1"/>
  <c r="Q70" i="1"/>
  <c r="N70" i="1"/>
  <c r="J70" i="1"/>
  <c r="K70" i="1" s="1"/>
  <c r="I70" i="1"/>
  <c r="F70" i="1"/>
  <c r="G70" i="1" s="1"/>
  <c r="A70" i="1"/>
  <c r="T69" i="1"/>
  <c r="Q69" i="1"/>
  <c r="J69" i="1"/>
  <c r="K69" i="1" s="1"/>
  <c r="I69" i="1"/>
  <c r="F69" i="1"/>
  <c r="G69" i="1" s="1"/>
  <c r="Q68" i="1"/>
  <c r="N68" i="1"/>
  <c r="I68" i="1"/>
  <c r="G68" i="1"/>
  <c r="F68" i="1"/>
  <c r="J68" i="1" s="1"/>
  <c r="K68" i="1" s="1"/>
  <c r="Q67" i="1"/>
  <c r="N67" i="1"/>
  <c r="K67" i="1"/>
  <c r="J67" i="1"/>
  <c r="I67" i="1"/>
  <c r="G67" i="1"/>
  <c r="F67" i="1"/>
  <c r="T66" i="1"/>
  <c r="N66" i="1"/>
  <c r="K66" i="1"/>
  <c r="J66" i="1"/>
  <c r="I66" i="1"/>
  <c r="G66" i="1"/>
  <c r="F66" i="1"/>
  <c r="Q65" i="1"/>
  <c r="N65" i="1"/>
  <c r="K65" i="1"/>
  <c r="J65" i="1"/>
  <c r="I65" i="1"/>
  <c r="G65" i="1"/>
  <c r="F65" i="1"/>
  <c r="Q64" i="1"/>
  <c r="N64" i="1"/>
  <c r="K64" i="1"/>
  <c r="J64" i="1"/>
  <c r="I64" i="1"/>
  <c r="G64" i="1"/>
  <c r="F64" i="1"/>
  <c r="Q63" i="1"/>
  <c r="N63" i="1"/>
  <c r="K63" i="1"/>
  <c r="J63" i="1"/>
  <c r="I63" i="1"/>
  <c r="G63" i="1"/>
  <c r="F63" i="1"/>
  <c r="Q62" i="1"/>
  <c r="N62" i="1"/>
  <c r="K62" i="1"/>
  <c r="J62" i="1"/>
  <c r="I62" i="1"/>
  <c r="G62" i="1"/>
  <c r="F62" i="1"/>
  <c r="B62" i="1"/>
  <c r="B63" i="1" s="1"/>
  <c r="B64" i="1" s="1"/>
  <c r="B65" i="1" s="1"/>
  <c r="B66" i="1" s="1"/>
  <c r="B67" i="1" s="1"/>
  <c r="T61" i="1"/>
  <c r="Q61" i="1"/>
  <c r="N61" i="1"/>
  <c r="I61" i="1"/>
  <c r="G61" i="1"/>
  <c r="F61" i="1"/>
  <c r="J61" i="1" s="1"/>
  <c r="K61" i="1" s="1"/>
  <c r="B61" i="1"/>
  <c r="Q60" i="1"/>
  <c r="N60" i="1"/>
  <c r="I60" i="1"/>
  <c r="G60" i="1"/>
  <c r="F60" i="1"/>
  <c r="J60" i="1" s="1"/>
  <c r="K60" i="1" s="1"/>
  <c r="Q59" i="1"/>
  <c r="N59" i="1"/>
  <c r="K59" i="1"/>
  <c r="J59" i="1"/>
  <c r="I59" i="1"/>
  <c r="G59" i="1"/>
  <c r="F59" i="1"/>
  <c r="Q58" i="1"/>
  <c r="N58" i="1"/>
  <c r="J58" i="1"/>
  <c r="K58" i="1" s="1"/>
  <c r="I58" i="1"/>
  <c r="F58" i="1"/>
  <c r="G58" i="1" s="1"/>
  <c r="B58" i="1"/>
  <c r="Q57" i="1"/>
  <c r="N57" i="1"/>
  <c r="J57" i="1"/>
  <c r="K57" i="1" s="1"/>
  <c r="I57" i="1"/>
  <c r="F57" i="1"/>
  <c r="G57" i="1" s="1"/>
  <c r="B57" i="1"/>
  <c r="Q56" i="1"/>
  <c r="N56" i="1"/>
  <c r="J56" i="1"/>
  <c r="K56" i="1" s="1"/>
  <c r="I56" i="1"/>
  <c r="F56" i="1"/>
  <c r="G56" i="1" s="1"/>
  <c r="Q55" i="1"/>
  <c r="N55" i="1"/>
  <c r="T54" i="1"/>
  <c r="Q54" i="1"/>
  <c r="N54" i="1"/>
  <c r="Q49" i="1"/>
  <c r="N49" i="1"/>
  <c r="I49" i="1"/>
  <c r="G49" i="1"/>
  <c r="F49" i="1"/>
  <c r="J49" i="1" s="1"/>
  <c r="K49" i="1" s="1"/>
  <c r="Q48" i="1"/>
  <c r="N48" i="1"/>
  <c r="J48" i="1"/>
  <c r="K48" i="1" s="1"/>
  <c r="I48" i="1"/>
  <c r="F48" i="1"/>
  <c r="G48" i="1" s="1"/>
  <c r="N47" i="1"/>
  <c r="I47" i="1"/>
  <c r="J47" i="1" s="1"/>
  <c r="K47" i="1" s="1"/>
  <c r="G47" i="1"/>
  <c r="F47" i="1"/>
  <c r="Q46" i="1"/>
  <c r="N46" i="1"/>
  <c r="I46" i="1"/>
  <c r="F46" i="1"/>
  <c r="G46" i="1" s="1"/>
  <c r="A46" i="1"/>
  <c r="T45" i="1"/>
  <c r="Q45" i="1"/>
  <c r="N45" i="1"/>
  <c r="I45" i="1"/>
  <c r="J45" i="1" s="1"/>
  <c r="K45" i="1" s="1"/>
  <c r="G45" i="1"/>
  <c r="F45" i="1"/>
  <c r="Q44" i="1"/>
  <c r="N44" i="1"/>
  <c r="I44" i="1"/>
  <c r="F44" i="1"/>
  <c r="G44" i="1" s="1"/>
  <c r="Q43" i="1"/>
  <c r="N43" i="1"/>
  <c r="I43" i="1"/>
  <c r="F43" i="1"/>
  <c r="G43" i="1" s="1"/>
  <c r="T42" i="1"/>
  <c r="N42" i="1"/>
  <c r="I42" i="1"/>
  <c r="F42" i="1"/>
  <c r="G42" i="1" s="1"/>
  <c r="Q41" i="1"/>
  <c r="N41" i="1"/>
  <c r="I41" i="1"/>
  <c r="F41" i="1"/>
  <c r="J41" i="1" s="1"/>
  <c r="K41" i="1" s="1"/>
  <c r="Q40" i="1"/>
  <c r="N40" i="1"/>
  <c r="I40" i="1"/>
  <c r="F40" i="1"/>
  <c r="G40" i="1" s="1"/>
  <c r="Q39" i="1"/>
  <c r="N39" i="1"/>
  <c r="I39" i="1"/>
  <c r="F39" i="1"/>
  <c r="J39" i="1" s="1"/>
  <c r="K39" i="1" s="1"/>
  <c r="Q38" i="1"/>
  <c r="N38" i="1"/>
  <c r="I38" i="1"/>
  <c r="F38" i="1"/>
  <c r="G38" i="1" s="1"/>
  <c r="B38" i="1"/>
  <c r="B39" i="1" s="1"/>
  <c r="B40" i="1" s="1"/>
  <c r="B41" i="1" s="1"/>
  <c r="B42" i="1" s="1"/>
  <c r="B43" i="1" s="1"/>
  <c r="Q37" i="1"/>
  <c r="N37" i="1"/>
  <c r="I37" i="1"/>
  <c r="F37" i="1"/>
  <c r="G37" i="1" s="1"/>
  <c r="B37" i="1"/>
  <c r="Q36" i="1"/>
  <c r="N36" i="1"/>
  <c r="I36" i="1"/>
  <c r="F36" i="1"/>
  <c r="J36" i="1" s="1"/>
  <c r="K36" i="1" s="1"/>
  <c r="Q35" i="1"/>
  <c r="N35" i="1"/>
  <c r="I35" i="1"/>
  <c r="F35" i="1"/>
  <c r="J35" i="1" s="1"/>
  <c r="K35" i="1" s="1"/>
  <c r="Q34" i="1"/>
  <c r="N34" i="1"/>
  <c r="I34" i="1"/>
  <c r="F34" i="1"/>
  <c r="J34" i="1" s="1"/>
  <c r="K34" i="1" s="1"/>
  <c r="B34" i="1"/>
  <c r="Q33" i="1"/>
  <c r="N33" i="1"/>
  <c r="I33" i="1"/>
  <c r="F33" i="1"/>
  <c r="J33" i="1" s="1"/>
  <c r="K33" i="1" s="1"/>
  <c r="B33" i="1"/>
  <c r="Q32" i="1"/>
  <c r="N32" i="1"/>
  <c r="I32" i="1"/>
  <c r="F32" i="1"/>
  <c r="J32" i="1" s="1"/>
  <c r="K32" i="1" s="1"/>
  <c r="Q31" i="1"/>
  <c r="N31" i="1"/>
  <c r="K31" i="1"/>
  <c r="J31" i="1"/>
  <c r="I31" i="1"/>
  <c r="G31" i="1"/>
  <c r="F31" i="1"/>
  <c r="W30" i="1"/>
  <c r="T30" i="1"/>
  <c r="Q30" i="1"/>
  <c r="N30" i="1"/>
  <c r="D15" i="9"/>
  <c r="AR8" i="9"/>
  <c r="AT7" i="9"/>
  <c r="AS8" i="9"/>
  <c r="AR6" i="9"/>
  <c r="AL6" i="9" s="1"/>
  <c r="AR7" i="9"/>
  <c r="AS6" i="9"/>
  <c r="AV90" i="9"/>
  <c r="AV83" i="9"/>
  <c r="AV75" i="9"/>
  <c r="AV69" i="9"/>
  <c r="AV61" i="9"/>
  <c r="AV54" i="9"/>
  <c r="AV47" i="9"/>
  <c r="AV34" i="9"/>
  <c r="AV31" i="9"/>
  <c r="AV29" i="9"/>
  <c r="AV27" i="9"/>
  <c r="AV24" i="9"/>
  <c r="AV22" i="9"/>
  <c r="AV21" i="9"/>
  <c r="AV17" i="9"/>
  <c r="AV15" i="9"/>
  <c r="AV13" i="9"/>
  <c r="AV10" i="9"/>
  <c r="AV8" i="9"/>
  <c r="AV6" i="9"/>
  <c r="R90" i="9"/>
  <c r="R83" i="9"/>
  <c r="R75" i="9"/>
  <c r="R69" i="9"/>
  <c r="R61" i="9"/>
  <c r="R54" i="9"/>
  <c r="R47" i="9"/>
  <c r="R34" i="9"/>
  <c r="R31" i="9"/>
  <c r="R29" i="9"/>
  <c r="R27" i="9"/>
  <c r="R24" i="9"/>
  <c r="R22" i="9"/>
  <c r="R21" i="9"/>
  <c r="R17" i="9"/>
  <c r="R15" i="9"/>
  <c r="R13" i="9"/>
  <c r="R10" i="9"/>
  <c r="R8" i="9"/>
  <c r="R6" i="9"/>
  <c r="N7" i="9"/>
  <c r="O6" i="9"/>
  <c r="N6" i="9"/>
  <c r="S6" i="9" s="1"/>
  <c r="G71" i="1" l="1"/>
  <c r="G72" i="1"/>
  <c r="G36" i="1"/>
  <c r="G39" i="1"/>
  <c r="G41" i="1"/>
  <c r="J44" i="1"/>
  <c r="K44" i="1" s="1"/>
  <c r="J46" i="1"/>
  <c r="K46" i="1" s="1"/>
  <c r="G32" i="1"/>
  <c r="G33" i="1"/>
  <c r="G34" i="1"/>
  <c r="J37" i="1"/>
  <c r="K37" i="1" s="1"/>
  <c r="J38" i="1"/>
  <c r="K38" i="1" s="1"/>
  <c r="J40" i="1"/>
  <c r="K40" i="1" s="1"/>
  <c r="J42" i="1"/>
  <c r="K42" i="1" s="1"/>
  <c r="J43" i="1"/>
  <c r="K43" i="1" s="1"/>
  <c r="G35" i="1"/>
  <c r="AS7" i="9"/>
  <c r="AL7" i="9" s="1"/>
  <c r="AW6" i="9"/>
  <c r="H6" i="9"/>
  <c r="O7" i="9"/>
  <c r="P7" i="9" s="1"/>
  <c r="AT8" i="9" l="1"/>
  <c r="AR9" i="9" s="1"/>
  <c r="N8" i="9"/>
  <c r="O8" i="9" s="1"/>
  <c r="AS9" i="9" l="1"/>
  <c r="AT9" i="9" s="1"/>
  <c r="AR10" i="9" s="1"/>
  <c r="AL8" i="9" s="1"/>
  <c r="AW8" i="9"/>
  <c r="S8" i="9"/>
  <c r="H7" i="9"/>
  <c r="P8" i="9"/>
  <c r="N9" i="9" s="1"/>
  <c r="AS10" i="9" l="1"/>
  <c r="AT10" i="9" s="1"/>
  <c r="AR11" i="9" s="1"/>
  <c r="O9" i="9"/>
  <c r="P9" i="9" s="1"/>
  <c r="AS11" i="9" l="1"/>
  <c r="AT11" i="9" s="1"/>
  <c r="AR12" i="9" s="1"/>
  <c r="AW10" i="9"/>
  <c r="N10" i="9"/>
  <c r="AS12" i="9" l="1"/>
  <c r="AT12" i="9" s="1"/>
  <c r="AR13" i="9" s="1"/>
  <c r="AL9" i="9" s="1"/>
  <c r="H8" i="9"/>
  <c r="S10" i="9"/>
  <c r="O10" i="9"/>
  <c r="R25" i="1"/>
  <c r="O25" i="1"/>
  <c r="J25" i="1"/>
  <c r="G25" i="1"/>
  <c r="H25" i="1" s="1"/>
  <c r="J24" i="1"/>
  <c r="AS13" i="9" l="1"/>
  <c r="AT13" i="9" s="1"/>
  <c r="AR14" i="9" s="1"/>
  <c r="P10" i="9"/>
  <c r="N11" i="9" s="1"/>
  <c r="K25" i="1"/>
  <c r="L25" i="1" s="1"/>
  <c r="G24" i="1"/>
  <c r="K24" i="1" s="1"/>
  <c r="L24" i="1" s="1"/>
  <c r="H24" i="1"/>
  <c r="AS14" i="9" l="1"/>
  <c r="AT14" i="9" s="1"/>
  <c r="AR15" i="9" s="1"/>
  <c r="AL10" i="9" s="1"/>
  <c r="AW13" i="9"/>
  <c r="O11" i="9"/>
  <c r="AS15" i="9" l="1"/>
  <c r="AT15" i="9" s="1"/>
  <c r="AR16" i="9" s="1"/>
  <c r="P11" i="9"/>
  <c r="N12" i="9" s="1"/>
  <c r="R24" i="1"/>
  <c r="O24" i="1"/>
  <c r="AS16" i="9" l="1"/>
  <c r="AT16" i="9" s="1"/>
  <c r="AR17" i="9" s="1"/>
  <c r="AL11" i="9" s="1"/>
  <c r="O12" i="9"/>
  <c r="AS17" i="9" l="1"/>
  <c r="AT17" i="9" s="1"/>
  <c r="AR18" i="9" s="1"/>
  <c r="AW15" i="9"/>
  <c r="P12" i="9"/>
  <c r="N13" i="9" s="1"/>
  <c r="AS18" i="9" l="1"/>
  <c r="H9" i="9"/>
  <c r="S13" i="9"/>
  <c r="O13" i="9"/>
  <c r="P13" i="9" s="1"/>
  <c r="N14" i="9" s="1"/>
  <c r="AT18" i="9" l="1"/>
  <c r="AR19" i="9" s="1"/>
  <c r="AW17" i="9"/>
  <c r="O14" i="9"/>
  <c r="P14" i="9" s="1"/>
  <c r="N15" i="9" s="1"/>
  <c r="J23" i="1"/>
  <c r="AS19" i="9" l="1"/>
  <c r="H10" i="9"/>
  <c r="S15" i="9"/>
  <c r="O15" i="9"/>
  <c r="G23" i="1"/>
  <c r="K23" i="1" s="1"/>
  <c r="L23" i="1" s="1"/>
  <c r="H23" i="1"/>
  <c r="AT19" i="9" l="1"/>
  <c r="AR20" i="9" s="1"/>
  <c r="P15" i="9"/>
  <c r="N16" i="9" s="1"/>
  <c r="O16" i="9" s="1"/>
  <c r="AS20" i="9" l="1"/>
  <c r="P16" i="9"/>
  <c r="N17" i="9" s="1"/>
  <c r="AT20" i="9" l="1"/>
  <c r="AR21" i="9" s="1"/>
  <c r="AL12" i="9" s="1"/>
  <c r="H11" i="9"/>
  <c r="S17" i="9"/>
  <c r="O17" i="9"/>
  <c r="P17" i="9" s="1"/>
  <c r="N18" i="9" s="1"/>
  <c r="O18" i="9" s="1"/>
  <c r="AS21" i="9" l="1"/>
  <c r="AW21" i="9"/>
  <c r="P18" i="9"/>
  <c r="N19" i="9" s="1"/>
  <c r="O19" i="9" s="1"/>
  <c r="P19" i="9" s="1"/>
  <c r="N20" i="9" s="1"/>
  <c r="AT21" i="9" l="1"/>
  <c r="AR22" i="9" s="1"/>
  <c r="AL13" i="9" s="1"/>
  <c r="O20" i="9"/>
  <c r="P20" i="9" s="1"/>
  <c r="N21" i="9" s="1"/>
  <c r="H12" i="9" s="1"/>
  <c r="J22" i="1"/>
  <c r="J21" i="1"/>
  <c r="AS22" i="9" l="1"/>
  <c r="AW22" i="9"/>
  <c r="O21" i="9"/>
  <c r="P21" i="9" s="1"/>
  <c r="N22" i="9" s="1"/>
  <c r="S21" i="9"/>
  <c r="R22" i="1"/>
  <c r="AT22" i="9" l="1"/>
  <c r="AR23" i="9" s="1"/>
  <c r="H13" i="9"/>
  <c r="S22" i="9"/>
  <c r="O22" i="9"/>
  <c r="P22" i="9" s="1"/>
  <c r="N23" i="9" s="1"/>
  <c r="U21" i="1"/>
  <c r="O22" i="1"/>
  <c r="G22" i="1"/>
  <c r="K22" i="1" s="1"/>
  <c r="L22" i="1" s="1"/>
  <c r="AS23" i="9" l="1"/>
  <c r="O23" i="9"/>
  <c r="P23" i="9" s="1"/>
  <c r="N24" i="9" s="1"/>
  <c r="H22" i="1"/>
  <c r="AT23" i="9" l="1"/>
  <c r="AR24" i="9" s="1"/>
  <c r="AL14" i="9" s="1"/>
  <c r="H14" i="9"/>
  <c r="S24" i="9"/>
  <c r="O24" i="9"/>
  <c r="P24" i="9" s="1"/>
  <c r="N25" i="9" s="1"/>
  <c r="G21" i="1"/>
  <c r="AW24" i="9" l="1"/>
  <c r="AS24" i="9"/>
  <c r="O25" i="9"/>
  <c r="H21" i="1"/>
  <c r="K21" i="1"/>
  <c r="L21" i="1" s="1"/>
  <c r="R21" i="1"/>
  <c r="O21" i="1"/>
  <c r="A21" i="1"/>
  <c r="A22" i="1" s="1"/>
  <c r="AT24" i="9" l="1"/>
  <c r="AR25" i="9" s="1"/>
  <c r="P25" i="9"/>
  <c r="N26" i="9" s="1"/>
  <c r="J20" i="1"/>
  <c r="G20" i="1"/>
  <c r="H20" i="1"/>
  <c r="J19" i="1"/>
  <c r="AS25" i="9" l="1"/>
  <c r="O26" i="9"/>
  <c r="K20" i="1"/>
  <c r="L20" i="1" s="1"/>
  <c r="R20" i="1"/>
  <c r="R19" i="1"/>
  <c r="AT25" i="9" l="1"/>
  <c r="AR26" i="9" s="1"/>
  <c r="P26" i="9"/>
  <c r="N27" i="9" s="1"/>
  <c r="O2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AS26" i="9" l="1"/>
  <c r="H15" i="9"/>
  <c r="S27" i="9"/>
  <c r="O27" i="9"/>
  <c r="G19" i="1"/>
  <c r="K19" i="1" s="1"/>
  <c r="L19" i="1" s="1"/>
  <c r="H19" i="1"/>
  <c r="J18" i="1"/>
  <c r="J17" i="1"/>
  <c r="J16" i="1"/>
  <c r="O19" i="1"/>
  <c r="O18" i="1"/>
  <c r="G18" i="1"/>
  <c r="K18" i="1" s="1"/>
  <c r="L18" i="1" s="1"/>
  <c r="U18" i="1"/>
  <c r="G17" i="1"/>
  <c r="H17" i="1" s="1"/>
  <c r="R17" i="1"/>
  <c r="O17" i="1"/>
  <c r="G16" i="1"/>
  <c r="H16" i="1" s="1"/>
  <c r="O16" i="1"/>
  <c r="R16" i="1"/>
  <c r="J15" i="1"/>
  <c r="J14" i="1"/>
  <c r="J13" i="1"/>
  <c r="J12" i="1"/>
  <c r="G15" i="1"/>
  <c r="R15" i="1"/>
  <c r="O15" i="1"/>
  <c r="R14" i="1"/>
  <c r="O14" i="1"/>
  <c r="G14" i="1"/>
  <c r="K14" i="1" s="1"/>
  <c r="L14" i="1" s="1"/>
  <c r="C14" i="1"/>
  <c r="C15" i="1" s="1"/>
  <c r="G13" i="1"/>
  <c r="H13" i="1" s="1"/>
  <c r="R13" i="1"/>
  <c r="U13" i="1"/>
  <c r="O13" i="1"/>
  <c r="C13" i="1"/>
  <c r="J11" i="1"/>
  <c r="K11" i="1"/>
  <c r="L11" i="1" s="1"/>
  <c r="J10" i="1"/>
  <c r="R12" i="1"/>
  <c r="R10" i="1"/>
  <c r="O12" i="1"/>
  <c r="G12" i="1"/>
  <c r="H11" i="1"/>
  <c r="C12" i="1"/>
  <c r="G11" i="1"/>
  <c r="G10" i="1"/>
  <c r="H10" i="1" s="1"/>
  <c r="R11" i="1"/>
  <c r="O11" i="1"/>
  <c r="C11" i="1"/>
  <c r="J8" i="1"/>
  <c r="J9" i="1"/>
  <c r="J7" i="1"/>
  <c r="O10" i="1"/>
  <c r="C10" i="1"/>
  <c r="C9" i="1"/>
  <c r="R9" i="1"/>
  <c r="O9" i="1"/>
  <c r="G9" i="1"/>
  <c r="H9" i="1" s="1"/>
  <c r="U9" i="1"/>
  <c r="G8" i="1"/>
  <c r="H8" i="1" s="1"/>
  <c r="G7" i="1"/>
  <c r="R8" i="1"/>
  <c r="O7" i="1"/>
  <c r="O8" i="1"/>
  <c r="X6" i="1"/>
  <c r="R7" i="1"/>
  <c r="U6" i="1"/>
  <c r="R6" i="1"/>
  <c r="O6" i="1"/>
  <c r="AT26" i="9" l="1"/>
  <c r="AR27" i="9" s="1"/>
  <c r="AL15" i="9" s="1"/>
  <c r="P27" i="9"/>
  <c r="N28" i="9" s="1"/>
  <c r="H14" i="1"/>
  <c r="K17" i="1"/>
  <c r="L17" i="1" s="1"/>
  <c r="K13" i="1"/>
  <c r="L13" i="1" s="1"/>
  <c r="K10" i="1"/>
  <c r="L10" i="1" s="1"/>
  <c r="K15" i="1"/>
  <c r="L15" i="1" s="1"/>
  <c r="H15" i="1"/>
  <c r="H12" i="1"/>
  <c r="K12" i="1"/>
  <c r="L12" i="1" s="1"/>
  <c r="C16" i="1"/>
  <c r="K16" i="1"/>
  <c r="L16" i="1" s="1"/>
  <c r="H7" i="1"/>
  <c r="K7" i="1"/>
  <c r="L7" i="1" s="1"/>
  <c r="K9" i="1"/>
  <c r="L9" i="1" s="1"/>
  <c r="K8" i="1"/>
  <c r="L8" i="1" s="1"/>
  <c r="H18" i="1"/>
  <c r="AW27" i="9" l="1"/>
  <c r="AS27" i="9"/>
  <c r="O28" i="9"/>
  <c r="P28" i="9" s="1"/>
  <c r="N29" i="9" s="1"/>
  <c r="C17" i="1"/>
  <c r="AT27" i="9" l="1"/>
  <c r="AR28" i="9" s="1"/>
  <c r="H16" i="9"/>
  <c r="S29" i="9"/>
  <c r="O29" i="9"/>
  <c r="C18" i="1"/>
  <c r="AS28" i="9" l="1"/>
  <c r="P29" i="9"/>
  <c r="N30" i="9" s="1"/>
  <c r="C19" i="1"/>
  <c r="AT28" i="9" l="1"/>
  <c r="AR29" i="9" s="1"/>
  <c r="AL16" i="9" s="1"/>
  <c r="O30" i="9"/>
  <c r="P30" i="9" s="1"/>
  <c r="N31" i="9" s="1"/>
  <c r="S31" i="9" s="1"/>
  <c r="C20" i="1"/>
  <c r="AW29" i="9" l="1"/>
  <c r="AS29" i="9"/>
  <c r="O31" i="9"/>
  <c r="H17" i="9"/>
  <c r="C21" i="1"/>
  <c r="AT29" i="9" l="1"/>
  <c r="AR30" i="9" s="1"/>
  <c r="P31" i="9"/>
  <c r="N32" i="9" s="1"/>
  <c r="C22" i="1"/>
  <c r="C23" i="1" s="1"/>
  <c r="C24" i="1" s="1"/>
  <c r="AS30" i="9" l="1"/>
  <c r="O32" i="9"/>
  <c r="AT30" i="9" l="1"/>
  <c r="AR31" i="9" s="1"/>
  <c r="AL17" i="9" s="1"/>
  <c r="P32" i="9"/>
  <c r="N33" i="9" s="1"/>
  <c r="O33" i="9" s="1"/>
  <c r="AW31" i="9" l="1"/>
  <c r="AS31" i="9"/>
  <c r="P33" i="9"/>
  <c r="N34" i="9" s="1"/>
  <c r="C25" i="1"/>
  <c r="AT31" i="9" l="1"/>
  <c r="AR32" i="9" s="1"/>
  <c r="O34" i="9"/>
  <c r="P34" i="9" s="1"/>
  <c r="N35" i="9" s="1"/>
  <c r="O35" i="9" s="1"/>
  <c r="S34" i="9"/>
  <c r="H18" i="9"/>
  <c r="AS32" i="9" l="1"/>
  <c r="P35" i="9"/>
  <c r="N36" i="9" s="1"/>
  <c r="O36" i="9" s="1"/>
  <c r="AT32" i="9" l="1"/>
  <c r="AR33" i="9" s="1"/>
  <c r="P36" i="9"/>
  <c r="N37" i="9" s="1"/>
  <c r="O37" i="9" s="1"/>
  <c r="AS33" i="9" l="1"/>
  <c r="P37" i="9"/>
  <c r="N38" i="9" s="1"/>
  <c r="O38" i="9" s="1"/>
  <c r="AT33" i="9" l="1"/>
  <c r="AR34" i="9" s="1"/>
  <c r="AL18" i="9" s="1"/>
  <c r="P38" i="9"/>
  <c r="N39" i="9" s="1"/>
  <c r="O39" i="9" s="1"/>
  <c r="AW34" i="9" l="1"/>
  <c r="AS34" i="9"/>
  <c r="P39" i="9"/>
  <c r="N40" i="9" s="1"/>
  <c r="O40" i="9" s="1"/>
  <c r="AT34" i="9" l="1"/>
  <c r="AR35" i="9" s="1"/>
  <c r="P40" i="9"/>
  <c r="N41" i="9" s="1"/>
  <c r="O41" i="9" s="1"/>
  <c r="AS35" i="9" l="1"/>
  <c r="P41" i="9"/>
  <c r="N42" i="9" s="1"/>
  <c r="AT35" i="9" l="1"/>
  <c r="AR36" i="9" s="1"/>
  <c r="O42" i="9"/>
  <c r="P42" i="9" s="1"/>
  <c r="N43" i="9" s="1"/>
  <c r="AS36" i="9" l="1"/>
  <c r="O43" i="9"/>
  <c r="P43" i="9" s="1"/>
  <c r="N44" i="9" s="1"/>
  <c r="AT36" i="9" l="1"/>
  <c r="AR37" i="9" s="1"/>
  <c r="O44" i="9"/>
  <c r="P44" i="9" s="1"/>
  <c r="N45" i="9" s="1"/>
  <c r="AS37" i="9" l="1"/>
  <c r="O45" i="9"/>
  <c r="P45" i="9" s="1"/>
  <c r="N46" i="9" s="1"/>
  <c r="AT37" i="9" l="1"/>
  <c r="AR38" i="9" s="1"/>
  <c r="O46" i="9"/>
  <c r="P46" i="9" s="1"/>
  <c r="N47" i="9" s="1"/>
  <c r="S47" i="9" s="1"/>
  <c r="AS38" i="9" l="1"/>
  <c r="H19" i="9"/>
  <c r="O47" i="9"/>
  <c r="AT38" i="9" l="1"/>
  <c r="AR39" i="9" s="1"/>
  <c r="P47" i="9"/>
  <c r="N48" i="9" s="1"/>
  <c r="AS39" i="9" l="1"/>
  <c r="O48" i="9"/>
  <c r="P48" i="9" s="1"/>
  <c r="N49" i="9" s="1"/>
  <c r="AT39" i="9" l="1"/>
  <c r="AR40" i="9" s="1"/>
  <c r="O49" i="9"/>
  <c r="P49" i="9" s="1"/>
  <c r="N50" i="9" s="1"/>
  <c r="AS40" i="9" l="1"/>
  <c r="O50" i="9"/>
  <c r="P50" i="9" s="1"/>
  <c r="N51" i="9" s="1"/>
  <c r="AT40" i="9" l="1"/>
  <c r="AR41" i="9" s="1"/>
  <c r="O51" i="9"/>
  <c r="P51" i="9" s="1"/>
  <c r="N52" i="9" s="1"/>
  <c r="AS41" i="9" l="1"/>
  <c r="O52" i="9"/>
  <c r="P52" i="9" s="1"/>
  <c r="N53" i="9" s="1"/>
  <c r="AT41" i="9" l="1"/>
  <c r="AR42" i="9" s="1"/>
  <c r="O53" i="9"/>
  <c r="P53" i="9" s="1"/>
  <c r="N54" i="9" s="1"/>
  <c r="S54" i="9" s="1"/>
  <c r="AS42" i="9" l="1"/>
  <c r="H20" i="9"/>
  <c r="O54" i="9"/>
  <c r="AT42" i="9" l="1"/>
  <c r="AR43" i="9" s="1"/>
  <c r="P54" i="9"/>
  <c r="N55" i="9" s="1"/>
  <c r="O55" i="9" s="1"/>
  <c r="AS43" i="9" l="1"/>
  <c r="P55" i="9"/>
  <c r="N56" i="9" s="1"/>
  <c r="O56" i="9" s="1"/>
  <c r="AT43" i="9" l="1"/>
  <c r="AR44" i="9" s="1"/>
  <c r="P56" i="9"/>
  <c r="N57" i="9" s="1"/>
  <c r="O57" i="9" s="1"/>
  <c r="AS44" i="9" l="1"/>
  <c r="P57" i="9"/>
  <c r="N58" i="9" s="1"/>
  <c r="AT44" i="9" l="1"/>
  <c r="AR45" i="9" s="1"/>
  <c r="O58" i="9"/>
  <c r="AS45" i="9" l="1"/>
  <c r="P58" i="9"/>
  <c r="N59" i="9" s="1"/>
  <c r="O59" i="9" s="1"/>
  <c r="AT45" i="9" l="1"/>
  <c r="AR46" i="9" s="1"/>
  <c r="P59" i="9"/>
  <c r="N60" i="9" s="1"/>
  <c r="O60" i="9" s="1"/>
  <c r="AS46" i="9" l="1"/>
  <c r="P60" i="9"/>
  <c r="N61" i="9" s="1"/>
  <c r="AT46" i="9" l="1"/>
  <c r="AR47" i="9" s="1"/>
  <c r="AL19" i="9" s="1"/>
  <c r="O61" i="9"/>
  <c r="P61" i="9" s="1"/>
  <c r="N62" i="9" s="1"/>
  <c r="O62" i="9" s="1"/>
  <c r="S61" i="9"/>
  <c r="H21" i="9"/>
  <c r="AW47" i="9" l="1"/>
  <c r="AS47" i="9"/>
  <c r="P62" i="9"/>
  <c r="N63" i="9" s="1"/>
  <c r="O63" i="9" s="1"/>
  <c r="AT47" i="9" l="1"/>
  <c r="AR48" i="9" s="1"/>
  <c r="P63" i="9"/>
  <c r="N64" i="9" s="1"/>
  <c r="O64" i="9" s="1"/>
  <c r="AS48" i="9" l="1"/>
  <c r="P64" i="9"/>
  <c r="N65" i="9" s="1"/>
  <c r="O65" i="9" s="1"/>
  <c r="AT48" i="9" l="1"/>
  <c r="AR49" i="9" s="1"/>
  <c r="P65" i="9"/>
  <c r="N66" i="9" s="1"/>
  <c r="O66" i="9" s="1"/>
  <c r="AS49" i="9" l="1"/>
  <c r="P66" i="9"/>
  <c r="N67" i="9" s="1"/>
  <c r="O67" i="9" s="1"/>
  <c r="AT49" i="9" l="1"/>
  <c r="AR50" i="9" s="1"/>
  <c r="P67" i="9"/>
  <c r="N68" i="9" s="1"/>
  <c r="O68" i="9" s="1"/>
  <c r="AS50" i="9" l="1"/>
  <c r="P68" i="9"/>
  <c r="N69" i="9" s="1"/>
  <c r="AT50" i="9" l="1"/>
  <c r="AR51" i="9" s="1"/>
  <c r="O69" i="9"/>
  <c r="P69" i="9" s="1"/>
  <c r="N70" i="9" s="1"/>
  <c r="O70" i="9" s="1"/>
  <c r="S69" i="9"/>
  <c r="H22" i="9"/>
  <c r="AS51" i="9" l="1"/>
  <c r="P70" i="9"/>
  <c r="N71" i="9" s="1"/>
  <c r="O71" i="9" s="1"/>
  <c r="AT51" i="9" l="1"/>
  <c r="AR52" i="9" s="1"/>
  <c r="P71" i="9"/>
  <c r="N72" i="9" s="1"/>
  <c r="O72" i="9" s="1"/>
  <c r="AS52" i="9" l="1"/>
  <c r="P72" i="9"/>
  <c r="N73" i="9" s="1"/>
  <c r="O73" i="9" s="1"/>
  <c r="AT52" i="9" l="1"/>
  <c r="AR53" i="9" s="1"/>
  <c r="P73" i="9"/>
  <c r="N74" i="9" s="1"/>
  <c r="O74" i="9" s="1"/>
  <c r="AS53" i="9" l="1"/>
  <c r="AT53" i="9" s="1"/>
  <c r="AR54" i="9" s="1"/>
  <c r="AL20" i="9" s="1"/>
  <c r="P74" i="9"/>
  <c r="N75" i="9" s="1"/>
  <c r="AS54" i="9" l="1"/>
  <c r="AT54" i="9" s="1"/>
  <c r="AR55" i="9" s="1"/>
  <c r="AW54" i="9"/>
  <c r="O75" i="9"/>
  <c r="P75" i="9" s="1"/>
  <c r="N76" i="9" s="1"/>
  <c r="O76" i="9" s="1"/>
  <c r="S75" i="9"/>
  <c r="H23" i="9"/>
  <c r="AS55" i="9" l="1"/>
  <c r="P76" i="9"/>
  <c r="N77" i="9" s="1"/>
  <c r="AT55" i="9" l="1"/>
  <c r="AR56" i="9" s="1"/>
  <c r="O77" i="9"/>
  <c r="AS56" i="9" l="1"/>
  <c r="P77" i="9"/>
  <c r="N78" i="9" s="1"/>
  <c r="O78" i="9" s="1"/>
  <c r="AT56" i="9" l="1"/>
  <c r="AR57" i="9" s="1"/>
  <c r="P78" i="9"/>
  <c r="N79" i="9" s="1"/>
  <c r="O79" i="9" s="1"/>
  <c r="AS57" i="9" l="1"/>
  <c r="P79" i="9"/>
  <c r="N80" i="9" s="1"/>
  <c r="O80" i="9" s="1"/>
  <c r="AT57" i="9" l="1"/>
  <c r="AR58" i="9" s="1"/>
  <c r="P80" i="9"/>
  <c r="N81" i="9" s="1"/>
  <c r="O81" i="9" s="1"/>
  <c r="AS58" i="9" l="1"/>
  <c r="P81" i="9"/>
  <c r="N82" i="9" s="1"/>
  <c r="O82" i="9" s="1"/>
  <c r="AT58" i="9" l="1"/>
  <c r="AR59" i="9" s="1"/>
  <c r="P82" i="9"/>
  <c r="N83" i="9" s="1"/>
  <c r="AS59" i="9" l="1"/>
  <c r="O83" i="9"/>
  <c r="P83" i="9" s="1"/>
  <c r="N84" i="9" s="1"/>
  <c r="O84" i="9" s="1"/>
  <c r="S83" i="9"/>
  <c r="H24" i="9"/>
  <c r="AT59" i="9" l="1"/>
  <c r="AR60" i="9" s="1"/>
  <c r="P84" i="9"/>
  <c r="N85" i="9" s="1"/>
  <c r="O85" i="9" s="1"/>
  <c r="AS60" i="9" l="1"/>
  <c r="P85" i="9"/>
  <c r="N86" i="9" s="1"/>
  <c r="O86" i="9" s="1"/>
  <c r="AT60" i="9" l="1"/>
  <c r="AR61" i="9" s="1"/>
  <c r="AL21" i="9" s="1"/>
  <c r="P86" i="9"/>
  <c r="N87" i="9" s="1"/>
  <c r="O87" i="9" s="1"/>
  <c r="AW61" i="9" l="1"/>
  <c r="AS61" i="9"/>
  <c r="P87" i="9"/>
  <c r="N88" i="9" s="1"/>
  <c r="O88" i="9" s="1"/>
  <c r="P88" i="9" s="1"/>
  <c r="N89" i="9" s="1"/>
  <c r="AT61" i="9" l="1"/>
  <c r="AR62" i="9" s="1"/>
  <c r="O89" i="9"/>
  <c r="AS62" i="9" l="1"/>
  <c r="P89" i="9"/>
  <c r="N90" i="9" s="1"/>
  <c r="H25" i="9" s="1"/>
  <c r="AT62" i="9" l="1"/>
  <c r="AR63" i="9" s="1"/>
  <c r="S90" i="9"/>
  <c r="S92" i="9" s="1"/>
  <c r="B8" i="9" s="1"/>
  <c r="O90" i="9"/>
  <c r="AS63" i="9" l="1"/>
  <c r="P90" i="9"/>
  <c r="AT63" i="9" l="1"/>
  <c r="AR64" i="9" s="1"/>
  <c r="B10" i="9"/>
  <c r="B13" i="9" s="1"/>
  <c r="AS64" i="9" l="1"/>
  <c r="AT64" i="9" s="1"/>
  <c r="AR65" i="9" s="1"/>
  <c r="AS65" i="9" l="1"/>
  <c r="AT65" i="9" s="1"/>
  <c r="AR66" i="9" s="1"/>
  <c r="AS66" i="9" l="1"/>
  <c r="AT66" i="9" l="1"/>
  <c r="AR67" i="9" s="1"/>
  <c r="AS67" i="9" l="1"/>
  <c r="AT67" i="9" l="1"/>
  <c r="AR68" i="9" s="1"/>
  <c r="AS68" i="9" l="1"/>
  <c r="AT68" i="9" l="1"/>
  <c r="AR69" i="9" s="1"/>
  <c r="AL22" i="9" s="1"/>
  <c r="AW69" i="9" l="1"/>
  <c r="AS69" i="9"/>
  <c r="AT69" i="9" l="1"/>
  <c r="AR70" i="9" s="1"/>
  <c r="AS70" i="9" l="1"/>
  <c r="AT70" i="9" l="1"/>
  <c r="AR71" i="9" s="1"/>
  <c r="AS71" i="9" l="1"/>
  <c r="AT71" i="9" l="1"/>
  <c r="AR72" i="9" s="1"/>
  <c r="AS72" i="9" l="1"/>
  <c r="AT72" i="9" l="1"/>
  <c r="AR73" i="9" s="1"/>
  <c r="AS73" i="9" l="1"/>
  <c r="AT73" i="9" l="1"/>
  <c r="AR74" i="9" s="1"/>
  <c r="AS74" i="9" l="1"/>
  <c r="AT74" i="9" l="1"/>
  <c r="AR75" i="9" s="1"/>
  <c r="AL23" i="9" s="1"/>
  <c r="AW75" i="9" l="1"/>
  <c r="AS75" i="9"/>
  <c r="AT75" i="9" l="1"/>
  <c r="AR76" i="9" s="1"/>
  <c r="AS76" i="9" l="1"/>
  <c r="AT76" i="9" l="1"/>
  <c r="AR77" i="9" s="1"/>
  <c r="AS77" i="9" l="1"/>
  <c r="AT77" i="9" l="1"/>
  <c r="AR78" i="9" s="1"/>
  <c r="AS78" i="9" l="1"/>
  <c r="AT78" i="9" l="1"/>
  <c r="AR79" i="9" s="1"/>
  <c r="AS79" i="9" l="1"/>
  <c r="AT79" i="9" l="1"/>
  <c r="AR80" i="9" s="1"/>
  <c r="AS80" i="9" l="1"/>
  <c r="AT80" i="9" l="1"/>
  <c r="AR81" i="9" s="1"/>
  <c r="AS81" i="9" l="1"/>
  <c r="AT81" i="9" l="1"/>
  <c r="AR82" i="9" s="1"/>
  <c r="AS82" i="9" l="1"/>
  <c r="AT82" i="9" l="1"/>
  <c r="AR83" i="9" s="1"/>
  <c r="AL24" i="9" s="1"/>
  <c r="AW83" i="9" l="1"/>
  <c r="AS83" i="9"/>
  <c r="AT83" i="9" l="1"/>
  <c r="AR84" i="9" s="1"/>
  <c r="AS84" i="9" l="1"/>
  <c r="AT84" i="9" l="1"/>
  <c r="AR85" i="9" s="1"/>
  <c r="AS85" i="9" l="1"/>
  <c r="AT85" i="9" l="1"/>
  <c r="AR86" i="9" s="1"/>
  <c r="AS86" i="9" l="1"/>
  <c r="AT86" i="9" l="1"/>
  <c r="AR87" i="9" s="1"/>
  <c r="AS87" i="9" l="1"/>
  <c r="AT87" i="9" l="1"/>
  <c r="AR88" i="9" s="1"/>
  <c r="AS88" i="9" l="1"/>
  <c r="AT88" i="9" l="1"/>
  <c r="AR89" i="9" s="1"/>
  <c r="AS89" i="9" l="1"/>
  <c r="AT89" i="9" l="1"/>
  <c r="AR90" i="9" s="1"/>
  <c r="AW90" i="9" l="1"/>
  <c r="AW92" i="9" s="1"/>
  <c r="AF8" i="9" s="1"/>
  <c r="AL25" i="9"/>
  <c r="AS90" i="9"/>
  <c r="AT90" i="9" s="1"/>
  <c r="AF10" i="9" l="1"/>
  <c r="AF13" i="9" s="1"/>
</calcChain>
</file>

<file path=xl/sharedStrings.xml><?xml version="1.0" encoding="utf-8"?>
<sst xmlns="http://schemas.openxmlformats.org/spreadsheetml/2006/main" count="1386" uniqueCount="149">
  <si>
    <t>Parameter Test</t>
  </si>
  <si>
    <t>TSS</t>
  </si>
  <si>
    <t>VSS</t>
  </si>
  <si>
    <t>TCOD</t>
  </si>
  <si>
    <t>sCOD</t>
  </si>
  <si>
    <t>NH4</t>
  </si>
  <si>
    <t>Date of Sample Complection</t>
  </si>
  <si>
    <t>Time (days)</t>
  </si>
  <si>
    <t>Filter Paper Weight (g)</t>
  </si>
  <si>
    <t>Sample Volume (mL)</t>
  </si>
  <si>
    <t>Dry Mass + Filter Paper (g)</t>
  </si>
  <si>
    <t>Dry Mass (g)</t>
  </si>
  <si>
    <t>TSS (mg/L)</t>
  </si>
  <si>
    <t>Post Ignition Mass (g)</t>
  </si>
  <si>
    <t>ASH (g)</t>
  </si>
  <si>
    <t>VSS (g)</t>
  </si>
  <si>
    <t>VSS (mg/L)</t>
  </si>
  <si>
    <t>Cell Test COD reading (mg/l)</t>
  </si>
  <si>
    <t>Dilution Ratio</t>
  </si>
  <si>
    <t>Final tCOD concentration</t>
  </si>
  <si>
    <t>Final SCOD concentration</t>
  </si>
  <si>
    <t>Cell Test NH4 reading (mg/l)</t>
  </si>
  <si>
    <t>Experiment Beginning</t>
  </si>
  <si>
    <t>TKN</t>
  </si>
  <si>
    <t>VFA</t>
  </si>
  <si>
    <t>PH</t>
  </si>
  <si>
    <t>Enzyme Activity</t>
  </si>
  <si>
    <t>Biogas</t>
  </si>
  <si>
    <t>Volume</t>
  </si>
  <si>
    <t>Composition</t>
  </si>
  <si>
    <t>% Acetate</t>
  </si>
  <si>
    <t>% Butyrate</t>
  </si>
  <si>
    <t>% Valeric</t>
  </si>
  <si>
    <t>-</t>
  </si>
  <si>
    <t>Cell Test TKN reading (mg/l)</t>
  </si>
  <si>
    <t>Final TKN concentration</t>
  </si>
  <si>
    <t>T5-1</t>
  </si>
  <si>
    <t>T5-2</t>
  </si>
  <si>
    <t>T5-3</t>
  </si>
  <si>
    <t>Mean</t>
  </si>
  <si>
    <t>Tcod</t>
  </si>
  <si>
    <t>SCOD</t>
  </si>
  <si>
    <t>pCOD</t>
  </si>
  <si>
    <t>TCOD/TSS</t>
  </si>
  <si>
    <t>SD</t>
  </si>
  <si>
    <t>Floating sludge observed</t>
  </si>
  <si>
    <t>VSS/TSS</t>
  </si>
  <si>
    <t>2.5:0.5</t>
  </si>
  <si>
    <t xml:space="preserve">      </t>
  </si>
  <si>
    <t>pH</t>
  </si>
  <si>
    <t xml:space="preserve"> </t>
  </si>
  <si>
    <t>kh_pCOD_1</t>
  </si>
  <si>
    <t>kh_pCOD_2</t>
  </si>
  <si>
    <t>kh_pCOD_3</t>
  </si>
  <si>
    <t>pCOD_0_1</t>
  </si>
  <si>
    <t>pCOD_0_2</t>
  </si>
  <si>
    <t>pCOD_0_3</t>
  </si>
  <si>
    <t>kh_VSS_1</t>
  </si>
  <si>
    <t>kh_VSS_2</t>
  </si>
  <si>
    <t>kh_VSS_3</t>
  </si>
  <si>
    <t>VSS_0_1</t>
  </si>
  <si>
    <t>VSS_0_2</t>
  </si>
  <si>
    <t>VSS_0_3</t>
  </si>
  <si>
    <t>kh pCOD</t>
  </si>
  <si>
    <t>kh VSS</t>
  </si>
  <si>
    <t>pCOD0</t>
  </si>
  <si>
    <t>VSS0</t>
  </si>
  <si>
    <t>Estimates</t>
  </si>
  <si>
    <t>Confidence Intervals - 95%</t>
  </si>
  <si>
    <t>Min</t>
  </si>
  <si>
    <t>Max</t>
  </si>
  <si>
    <t>T5-Mean</t>
  </si>
  <si>
    <t>Error Bars</t>
  </si>
  <si>
    <t>T5-tot</t>
  </si>
  <si>
    <t>kh_pCOD</t>
  </si>
  <si>
    <t>T371</t>
  </si>
  <si>
    <t>T372</t>
  </si>
  <si>
    <t>T373</t>
  </si>
  <si>
    <t>T37-tot</t>
  </si>
  <si>
    <t>Kh</t>
  </si>
  <si>
    <t>Kc</t>
  </si>
  <si>
    <t>y</t>
  </si>
  <si>
    <t>b</t>
  </si>
  <si>
    <t>Average</t>
  </si>
  <si>
    <t>Contois</t>
  </si>
  <si>
    <t>First Order</t>
  </si>
  <si>
    <t>S1</t>
  </si>
  <si>
    <t>B1</t>
  </si>
  <si>
    <t>S2</t>
  </si>
  <si>
    <t>ER</t>
  </si>
  <si>
    <t>B0</t>
  </si>
  <si>
    <t>So</t>
  </si>
  <si>
    <t>Error</t>
  </si>
  <si>
    <t>RMSE</t>
  </si>
  <si>
    <t>95% Confidence</t>
  </si>
  <si>
    <t>MM</t>
  </si>
  <si>
    <t>Km</t>
  </si>
  <si>
    <t>T15-1</t>
  </si>
  <si>
    <t>T15-2</t>
  </si>
  <si>
    <t>T15-3</t>
  </si>
  <si>
    <t>T15-tot</t>
  </si>
  <si>
    <t>kh</t>
  </si>
  <si>
    <t>Substrate</t>
  </si>
  <si>
    <t>kh_pCOD_min</t>
  </si>
  <si>
    <t>kh_pCOD_max</t>
  </si>
  <si>
    <t>pCOD_0_min</t>
  </si>
  <si>
    <t>pCOD_0_max</t>
  </si>
  <si>
    <t>S.D.</t>
  </si>
  <si>
    <t>kh min</t>
  </si>
  <si>
    <t>kh max</t>
  </si>
  <si>
    <t>VSS 0 min</t>
  </si>
  <si>
    <t>VSS 0 max</t>
  </si>
  <si>
    <t>Biogas Volume (mL)</t>
  </si>
  <si>
    <t>T37-1</t>
  </si>
  <si>
    <t>T37-2</t>
  </si>
  <si>
    <t>T37-3</t>
  </si>
  <si>
    <t>B</t>
  </si>
  <si>
    <t>Sum</t>
  </si>
  <si>
    <t>After 43</t>
  </si>
  <si>
    <t>After 82</t>
  </si>
  <si>
    <t>TSS (mg /l)</t>
  </si>
  <si>
    <t>VSS (mg /l)</t>
  </si>
  <si>
    <t>PCOD</t>
  </si>
  <si>
    <t>T7-1</t>
  </si>
  <si>
    <t>T7-2</t>
  </si>
  <si>
    <t>T7-3</t>
  </si>
  <si>
    <t>T7-mean</t>
  </si>
  <si>
    <t>T7-tot</t>
  </si>
  <si>
    <t>T20-1</t>
  </si>
  <si>
    <t>T20-2</t>
  </si>
  <si>
    <t>T20-3</t>
  </si>
  <si>
    <t>T20-mean</t>
  </si>
  <si>
    <t>T20-tot</t>
  </si>
  <si>
    <t>Valentini</t>
  </si>
  <si>
    <t>Sample</t>
  </si>
  <si>
    <t>Date</t>
  </si>
  <si>
    <t>Filter</t>
  </si>
  <si>
    <t>Vol</t>
  </si>
  <si>
    <t>Dry</t>
  </si>
  <si>
    <t>Ig</t>
  </si>
  <si>
    <t>TSS (mg/l)</t>
  </si>
  <si>
    <t>Volatile</t>
  </si>
  <si>
    <t>VSS (mg/l)</t>
  </si>
  <si>
    <t>T10-1</t>
  </si>
  <si>
    <t>T10-2</t>
  </si>
  <si>
    <t>T10-3</t>
  </si>
  <si>
    <t xml:space="preserve">PCOD 0 </t>
  </si>
  <si>
    <t>PCOD min</t>
  </si>
  <si>
    <t>PCOD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</si>
</sst>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1" fontId="0" fillId="0" borderId="0" xfId="0" applyNumberFormat="1"/>
    <xf numFmtId="14" fontId="0" fillId="0" borderId="0" xfId="0" applyNumberFormat="1"/>
    <xf numFmtId="0" fontId="0" fillId="2" borderId="0" xfId="0" applyFill="1"/>
    <xf numFmtId="20" fontId="0" fillId="2" borderId="0" xfId="0" applyNumberFormat="1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2" fillId="0" borderId="0" xfId="1"/>
  </cellXfs>
  <cellStyles count="2">
    <cellStyle name="Normal" xfId="0" builtinId="0"/>
    <cellStyle name="Normal 2" xfId="1" xr:uid="{26FEB2C1-A801-44F0-B9C3-1FB99B0C2D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'T5 - Processed Dataset'!$R$2</c:f>
              <c:strCache>
                <c:ptCount val="1"/>
                <c:pt idx="0">
                  <c:v>T5-1</c:v>
                </c:pt>
              </c:strCache>
            </c:strRef>
          </c:tx>
          <c:spPr>
            <a:ln w="28575">
              <a:noFill/>
            </a:ln>
          </c:spPr>
          <c:xVal>
            <c:numRef>
              <c:f>'T5 - Processed Dataset'!$B$3:$B$23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'T5 - Processed Dataset'!$R$3:$R$23</c:f>
              <c:numCache>
                <c:formatCode>General</c:formatCode>
                <c:ptCount val="21"/>
                <c:pt idx="0">
                  <c:v>180</c:v>
                </c:pt>
                <c:pt idx="1">
                  <c:v>212</c:v>
                </c:pt>
                <c:pt idx="2">
                  <c:v>51</c:v>
                </c:pt>
                <c:pt idx="3">
                  <c:v>40</c:v>
                </c:pt>
                <c:pt idx="4">
                  <c:v>121.5</c:v>
                </c:pt>
                <c:pt idx="5">
                  <c:v>176</c:v>
                </c:pt>
                <c:pt idx="6">
                  <c:v>313.5</c:v>
                </c:pt>
                <c:pt idx="7">
                  <c:v>308</c:v>
                </c:pt>
                <c:pt idx="8">
                  <c:v>473</c:v>
                </c:pt>
                <c:pt idx="9">
                  <c:v>490.5</c:v>
                </c:pt>
                <c:pt idx="10">
                  <c:v>612</c:v>
                </c:pt>
                <c:pt idx="11">
                  <c:v>637.19999999999993</c:v>
                </c:pt>
                <c:pt idx="12">
                  <c:v>882</c:v>
                </c:pt>
                <c:pt idx="13">
                  <c:v>944</c:v>
                </c:pt>
                <c:pt idx="14">
                  <c:v>997</c:v>
                </c:pt>
                <c:pt idx="15">
                  <c:v>648</c:v>
                </c:pt>
                <c:pt idx="16">
                  <c:v>1021</c:v>
                </c:pt>
                <c:pt idx="17">
                  <c:v>1043</c:v>
                </c:pt>
                <c:pt idx="18">
                  <c:v>940</c:v>
                </c:pt>
                <c:pt idx="19">
                  <c:v>981.59999999999991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CA-4A3F-81E2-E858B73C9C20}"/>
            </c:ext>
          </c:extLst>
        </c:ser>
        <c:ser>
          <c:idx val="1"/>
          <c:order val="1"/>
          <c:tx>
            <c:strRef>
              <c:f>'T5 - Processed Dataset'!$S$2</c:f>
              <c:strCache>
                <c:ptCount val="1"/>
                <c:pt idx="0">
                  <c:v>T5-2</c:v>
                </c:pt>
              </c:strCache>
            </c:strRef>
          </c:tx>
          <c:spPr>
            <a:ln w="28575">
              <a:noFill/>
            </a:ln>
          </c:spPr>
          <c:xVal>
            <c:numRef>
              <c:f>'T5 - Processed Dataset'!$B$3:$B$23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'T5 - Processed Dataset'!$S$3:$S$23</c:f>
              <c:numCache>
                <c:formatCode>General</c:formatCode>
                <c:ptCount val="21"/>
                <c:pt idx="0">
                  <c:v>182</c:v>
                </c:pt>
                <c:pt idx="1">
                  <c:v>210</c:v>
                </c:pt>
                <c:pt idx="2">
                  <c:v>105</c:v>
                </c:pt>
                <c:pt idx="3">
                  <c:v>100</c:v>
                </c:pt>
                <c:pt idx="4">
                  <c:v>208.5</c:v>
                </c:pt>
                <c:pt idx="5">
                  <c:v>106</c:v>
                </c:pt>
                <c:pt idx="6">
                  <c:v>216</c:v>
                </c:pt>
                <c:pt idx="7">
                  <c:v>220</c:v>
                </c:pt>
                <c:pt idx="8">
                  <c:v>363</c:v>
                </c:pt>
                <c:pt idx="9">
                  <c:v>507</c:v>
                </c:pt>
                <c:pt idx="10">
                  <c:v>513.6</c:v>
                </c:pt>
                <c:pt idx="11">
                  <c:v>553.19999999999993</c:v>
                </c:pt>
                <c:pt idx="12">
                  <c:v>892</c:v>
                </c:pt>
                <c:pt idx="13">
                  <c:v>511</c:v>
                </c:pt>
                <c:pt idx="14">
                  <c:v>765</c:v>
                </c:pt>
                <c:pt idx="15">
                  <c:v>538.5</c:v>
                </c:pt>
                <c:pt idx="16">
                  <c:v>680</c:v>
                </c:pt>
                <c:pt idx="17">
                  <c:v>531</c:v>
                </c:pt>
                <c:pt idx="18">
                  <c:v>400</c:v>
                </c:pt>
                <c:pt idx="19">
                  <c:v>331.2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CA-4A3F-81E2-E858B73C9C20}"/>
            </c:ext>
          </c:extLst>
        </c:ser>
        <c:ser>
          <c:idx val="2"/>
          <c:order val="2"/>
          <c:tx>
            <c:strRef>
              <c:f>'T5 - Processed Dataset'!$T$2</c:f>
              <c:strCache>
                <c:ptCount val="1"/>
                <c:pt idx="0">
                  <c:v>T5-3</c:v>
                </c:pt>
              </c:strCache>
            </c:strRef>
          </c:tx>
          <c:spPr>
            <a:ln w="28575">
              <a:noFill/>
            </a:ln>
          </c:spPr>
          <c:xVal>
            <c:numRef>
              <c:f>'T5 - Processed Dataset'!$B$3:$B$23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'T5 - Processed Dataset'!$T$3:$T$23</c:f>
              <c:numCache>
                <c:formatCode>General</c:formatCode>
                <c:ptCount val="21"/>
                <c:pt idx="0">
                  <c:v>180</c:v>
                </c:pt>
                <c:pt idx="1">
                  <c:v>206</c:v>
                </c:pt>
                <c:pt idx="2">
                  <c:v>120</c:v>
                </c:pt>
                <c:pt idx="3">
                  <c:v>114</c:v>
                </c:pt>
                <c:pt idx="4">
                  <c:v>277.5</c:v>
                </c:pt>
                <c:pt idx="5">
                  <c:v>88</c:v>
                </c:pt>
                <c:pt idx="6">
                  <c:v>360</c:v>
                </c:pt>
                <c:pt idx="7">
                  <c:v>396</c:v>
                </c:pt>
                <c:pt idx="8">
                  <c:v>538</c:v>
                </c:pt>
                <c:pt idx="9">
                  <c:v>654</c:v>
                </c:pt>
                <c:pt idx="10">
                  <c:v>699.6</c:v>
                </c:pt>
                <c:pt idx="11">
                  <c:v>715.19999999999993</c:v>
                </c:pt>
                <c:pt idx="12">
                  <c:v>967</c:v>
                </c:pt>
                <c:pt idx="13">
                  <c:v>983</c:v>
                </c:pt>
                <c:pt idx="14">
                  <c:v>1131</c:v>
                </c:pt>
                <c:pt idx="15">
                  <c:v>803</c:v>
                </c:pt>
                <c:pt idx="16">
                  <c:v>1109</c:v>
                </c:pt>
                <c:pt idx="17">
                  <c:v>1062</c:v>
                </c:pt>
                <c:pt idx="18">
                  <c:v>1197</c:v>
                </c:pt>
                <c:pt idx="19">
                  <c:v>1290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CA-4A3F-81E2-E858B73C9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798144"/>
        <c:axId val="411799936"/>
      </c:scatterChart>
      <c:valAx>
        <c:axId val="4117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799936"/>
        <c:crosses val="autoZero"/>
        <c:crossBetween val="midCat"/>
      </c:valAx>
      <c:valAx>
        <c:axId val="41179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1798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[2]NLR!$G$5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[2]NLR!$F$6:$F$17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29</c:v>
                </c:pt>
                <c:pt idx="8">
                  <c:v>31</c:v>
                </c:pt>
                <c:pt idx="9">
                  <c:v>35</c:v>
                </c:pt>
                <c:pt idx="10">
                  <c:v>45</c:v>
                </c:pt>
                <c:pt idx="11">
                  <c:v>68</c:v>
                </c:pt>
              </c:numCache>
            </c:numRef>
          </c:xVal>
          <c:yVal>
            <c:numRef>
              <c:f>[2]NLR!$G$6:$G$17</c:f>
              <c:numCache>
                <c:formatCode>General</c:formatCode>
                <c:ptCount val="12"/>
                <c:pt idx="0">
                  <c:v>6097.666666666667</c:v>
                </c:pt>
                <c:pt idx="1">
                  <c:v>6018.333333333333</c:v>
                </c:pt>
                <c:pt idx="2">
                  <c:v>5979</c:v>
                </c:pt>
                <c:pt idx="3">
                  <c:v>5813.25</c:v>
                </c:pt>
                <c:pt idx="4">
                  <c:v>6224.666666666667</c:v>
                </c:pt>
                <c:pt idx="5">
                  <c:v>5538.166666666667</c:v>
                </c:pt>
                <c:pt idx="6">
                  <c:v>5569.333333333333</c:v>
                </c:pt>
                <c:pt idx="7">
                  <c:v>5001.333333333333</c:v>
                </c:pt>
                <c:pt idx="8">
                  <c:v>4858</c:v>
                </c:pt>
                <c:pt idx="9">
                  <c:v>4833.333333333333</c:v>
                </c:pt>
                <c:pt idx="10">
                  <c:v>4281.666666666667</c:v>
                </c:pt>
                <c:pt idx="11">
                  <c:v>4233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55-4418-9915-2564B6B68CBF}"/>
            </c:ext>
          </c:extLst>
        </c:ser>
        <c:ser>
          <c:idx val="1"/>
          <c:order val="1"/>
          <c:tx>
            <c:strRef>
              <c:f>[2]NLR!$H$5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[2]NLR!$F$6:$F$17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29</c:v>
                </c:pt>
                <c:pt idx="8">
                  <c:v>31</c:v>
                </c:pt>
                <c:pt idx="9">
                  <c:v>35</c:v>
                </c:pt>
                <c:pt idx="10">
                  <c:v>45</c:v>
                </c:pt>
                <c:pt idx="11">
                  <c:v>68</c:v>
                </c:pt>
              </c:numCache>
            </c:numRef>
          </c:xVal>
          <c:yVal>
            <c:numRef>
              <c:f>[2]NLR!$H$6:$H$17</c:f>
              <c:numCache>
                <c:formatCode>General</c:formatCode>
                <c:ptCount val="12"/>
                <c:pt idx="0">
                  <c:v>6168.9564393728324</c:v>
                </c:pt>
                <c:pt idx="1">
                  <c:v>6046.4158486540473</c:v>
                </c:pt>
                <c:pt idx="2">
                  <c:v>5926.4188380222786</c:v>
                </c:pt>
                <c:pt idx="3">
                  <c:v>5751.1979582179401</c:v>
                </c:pt>
                <c:pt idx="4">
                  <c:v>5637.6146046783433</c:v>
                </c:pt>
                <c:pt idx="5">
                  <c:v>5526.7084586384808</c:v>
                </c:pt>
                <c:pt idx="6">
                  <c:v>5313.6533583433693</c:v>
                </c:pt>
                <c:pt idx="7">
                  <c:v>4791.1165057793105</c:v>
                </c:pt>
                <c:pt idx="8">
                  <c:v>4785.4498991773171</c:v>
                </c:pt>
                <c:pt idx="9">
                  <c:v>4784.7152624212586</c:v>
                </c:pt>
                <c:pt idx="10">
                  <c:v>4784.7084069996954</c:v>
                </c:pt>
                <c:pt idx="11">
                  <c:v>4784.7084069470147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55-4418-9915-2564B6B68CBF}"/>
            </c:ext>
          </c:extLst>
        </c:ser>
        <c:ser>
          <c:idx val="2"/>
          <c:order val="2"/>
          <c:tx>
            <c:strRef>
              <c:f>[2]NLR!$I$5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[2]NLR!$F$6:$F$17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29</c:v>
                </c:pt>
                <c:pt idx="8">
                  <c:v>31</c:v>
                </c:pt>
                <c:pt idx="9">
                  <c:v>35</c:v>
                </c:pt>
                <c:pt idx="10">
                  <c:v>45</c:v>
                </c:pt>
                <c:pt idx="11">
                  <c:v>68</c:v>
                </c:pt>
              </c:numCache>
            </c:numRef>
          </c:xVal>
          <c:yVal>
            <c:numRef>
              <c:f>[2]NLR!$I$6:$I$17</c:f>
              <c:numCache>
                <c:formatCode>General</c:formatCode>
                <c:ptCount val="12"/>
                <c:pt idx="0">
                  <c:v>6094.9296009242853</c:v>
                </c:pt>
                <c:pt idx="1">
                  <c:v>6017.7591278596201</c:v>
                </c:pt>
                <c:pt idx="2">
                  <c:v>5941.5657426865228</c:v>
                </c:pt>
                <c:pt idx="3">
                  <c:v>5829.0806853426011</c:v>
                </c:pt>
                <c:pt idx="4">
                  <c:v>5755.2762374697704</c:v>
                </c:pt>
                <c:pt idx="5">
                  <c:v>5682.406258824567</c:v>
                </c:pt>
                <c:pt idx="6">
                  <c:v>5539.4225321879885</c:v>
                </c:pt>
                <c:pt idx="7">
                  <c:v>5066.7239050604385</c:v>
                </c:pt>
                <c:pt idx="8">
                  <c:v>5002.5719777629893</c:v>
                </c:pt>
                <c:pt idx="9">
                  <c:v>4876.6946026567202</c:v>
                </c:pt>
                <c:pt idx="10">
                  <c:v>4575.6847178988646</c:v>
                </c:pt>
                <c:pt idx="11">
                  <c:v>3951.9943790172874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55-4418-9915-2564B6B6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293231"/>
        <c:axId val="553294479"/>
      </c:scatterChart>
      <c:valAx>
        <c:axId val="55329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294479"/>
        <c:crosses val="autoZero"/>
        <c:crossBetween val="midCat"/>
      </c:valAx>
      <c:valAx>
        <c:axId val="55329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2932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91426071741031"/>
          <c:y val="4.1666666666666664E-2"/>
          <c:w val="0.82875240594925637"/>
          <c:h val="0.800008019830854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[2]NLR!$BC$22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[2]NLR!$BH$23:$BH$34</c:f>
                <c:numCache>
                  <c:formatCode>General</c:formatCode>
                  <c:ptCount val="12"/>
                  <c:pt idx="0">
                    <c:v>343.29190688586488</c:v>
                  </c:pt>
                  <c:pt idx="1">
                    <c:v>458.25984259296968</c:v>
                  </c:pt>
                  <c:pt idx="2">
                    <c:v>181.66727828643221</c:v>
                  </c:pt>
                  <c:pt idx="3">
                    <c:v>21.5667568261897</c:v>
                  </c:pt>
                  <c:pt idx="4">
                    <c:v>587.41857591783162</c:v>
                  </c:pt>
                  <c:pt idx="5">
                    <c:v>248.88216756797448</c:v>
                  </c:pt>
                  <c:pt idx="6">
                    <c:v>569.82219448994204</c:v>
                  </c:pt>
                  <c:pt idx="7">
                    <c:v>188.49226332487319</c:v>
                  </c:pt>
                  <c:pt idx="8">
                    <c:v>504.77420694801748</c:v>
                  </c:pt>
                  <c:pt idx="9">
                    <c:v>229.90940244655792</c:v>
                  </c:pt>
                  <c:pt idx="10">
                    <c:v>261.74096609689002</c:v>
                  </c:pt>
                  <c:pt idx="11">
                    <c:v>138.61096637712328</c:v>
                  </c:pt>
                </c:numCache>
              </c:numRef>
            </c:plus>
            <c:minus>
              <c:numRef>
                <c:f>[2]NLR!$BH$23:$BH$34</c:f>
                <c:numCache>
                  <c:formatCode>General</c:formatCode>
                  <c:ptCount val="12"/>
                  <c:pt idx="0">
                    <c:v>343.29190688586488</c:v>
                  </c:pt>
                  <c:pt idx="1">
                    <c:v>458.25984259296968</c:v>
                  </c:pt>
                  <c:pt idx="2">
                    <c:v>181.66727828643221</c:v>
                  </c:pt>
                  <c:pt idx="3">
                    <c:v>21.5667568261897</c:v>
                  </c:pt>
                  <c:pt idx="4">
                    <c:v>587.41857591783162</c:v>
                  </c:pt>
                  <c:pt idx="5">
                    <c:v>248.88216756797448</c:v>
                  </c:pt>
                  <c:pt idx="6">
                    <c:v>569.82219448994204</c:v>
                  </c:pt>
                  <c:pt idx="7">
                    <c:v>188.49226332487319</c:v>
                  </c:pt>
                  <c:pt idx="8">
                    <c:v>504.77420694801748</c:v>
                  </c:pt>
                  <c:pt idx="9">
                    <c:v>229.90940244655792</c:v>
                  </c:pt>
                  <c:pt idx="10">
                    <c:v>261.74096609689002</c:v>
                  </c:pt>
                  <c:pt idx="11">
                    <c:v>138.61096637712328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[2]NLR!$BB$23:$BB$34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29</c:v>
                </c:pt>
                <c:pt idx="8">
                  <c:v>31</c:v>
                </c:pt>
                <c:pt idx="9">
                  <c:v>35</c:v>
                </c:pt>
                <c:pt idx="10">
                  <c:v>45</c:v>
                </c:pt>
                <c:pt idx="11">
                  <c:v>68</c:v>
                </c:pt>
              </c:numCache>
            </c:numRef>
          </c:xVal>
          <c:yVal>
            <c:numRef>
              <c:f>[2]NLR!$BC$23:$BC$34</c:f>
              <c:numCache>
                <c:formatCode>General</c:formatCode>
                <c:ptCount val="12"/>
                <c:pt idx="0">
                  <c:v>6097.666666666667</c:v>
                </c:pt>
                <c:pt idx="1">
                  <c:v>6018.333333333333</c:v>
                </c:pt>
                <c:pt idx="2">
                  <c:v>5979</c:v>
                </c:pt>
                <c:pt idx="3">
                  <c:v>5813.25</c:v>
                </c:pt>
                <c:pt idx="4">
                  <c:v>6224.666666666667</c:v>
                </c:pt>
                <c:pt idx="5">
                  <c:v>5538.166666666667</c:v>
                </c:pt>
                <c:pt idx="6">
                  <c:v>5569.333333333333</c:v>
                </c:pt>
                <c:pt idx="7">
                  <c:v>5001.333333333333</c:v>
                </c:pt>
                <c:pt idx="8">
                  <c:v>4858</c:v>
                </c:pt>
                <c:pt idx="9">
                  <c:v>4833.333333333333</c:v>
                </c:pt>
                <c:pt idx="10">
                  <c:v>4281.666666666667</c:v>
                </c:pt>
                <c:pt idx="11">
                  <c:v>4233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E1-4167-B129-574A90CE598A}"/>
            </c:ext>
          </c:extLst>
        </c:ser>
        <c:ser>
          <c:idx val="1"/>
          <c:order val="1"/>
          <c:tx>
            <c:strRef>
              <c:f>[2]NLR!$BD$22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[2]NLR!$BB$23:$BB$34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29</c:v>
                </c:pt>
                <c:pt idx="8">
                  <c:v>31</c:v>
                </c:pt>
                <c:pt idx="9">
                  <c:v>35</c:v>
                </c:pt>
                <c:pt idx="10">
                  <c:v>45</c:v>
                </c:pt>
                <c:pt idx="11">
                  <c:v>68</c:v>
                </c:pt>
              </c:numCache>
            </c:numRef>
          </c:xVal>
          <c:yVal>
            <c:numRef>
              <c:f>[2]NLR!$BD$23:$BD$34</c:f>
              <c:numCache>
                <c:formatCode>General</c:formatCode>
                <c:ptCount val="12"/>
                <c:pt idx="0">
                  <c:v>6094.9296009242853</c:v>
                </c:pt>
                <c:pt idx="1">
                  <c:v>6017.7591278596201</c:v>
                </c:pt>
                <c:pt idx="2">
                  <c:v>5941.5657426865228</c:v>
                </c:pt>
                <c:pt idx="3">
                  <c:v>5829.0806853426011</c:v>
                </c:pt>
                <c:pt idx="4">
                  <c:v>5755.2762374697704</c:v>
                </c:pt>
                <c:pt idx="5">
                  <c:v>5682.406258824567</c:v>
                </c:pt>
                <c:pt idx="6">
                  <c:v>5539.4225321879885</c:v>
                </c:pt>
                <c:pt idx="7">
                  <c:v>5066.7239050604385</c:v>
                </c:pt>
                <c:pt idx="8">
                  <c:v>5002.5719777629893</c:v>
                </c:pt>
                <c:pt idx="9">
                  <c:v>4876.6946026567202</c:v>
                </c:pt>
                <c:pt idx="10">
                  <c:v>4575.6847178988646</c:v>
                </c:pt>
                <c:pt idx="11">
                  <c:v>3951.9943790172874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E1-4167-B129-574A90CE598A}"/>
            </c:ext>
          </c:extLst>
        </c:ser>
        <c:ser>
          <c:idx val="2"/>
          <c:order val="2"/>
          <c:tx>
            <c:strRef>
              <c:f>[2]NLR!$BE$22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[2]NLR!$BB$23:$BB$34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29</c:v>
                </c:pt>
                <c:pt idx="8">
                  <c:v>31</c:v>
                </c:pt>
                <c:pt idx="9">
                  <c:v>35</c:v>
                </c:pt>
                <c:pt idx="10">
                  <c:v>45</c:v>
                </c:pt>
                <c:pt idx="11">
                  <c:v>68</c:v>
                </c:pt>
              </c:numCache>
            </c:numRef>
          </c:xVal>
          <c:yVal>
            <c:numRef>
              <c:f>[2]NLR!$BE$23:$BE$34</c:f>
              <c:numCache>
                <c:formatCode>General</c:formatCode>
                <c:ptCount val="12"/>
                <c:pt idx="0">
                  <c:v>6168.9564393728324</c:v>
                </c:pt>
                <c:pt idx="1">
                  <c:v>6071.6416156106679</c:v>
                </c:pt>
                <c:pt idx="2">
                  <c:v>5975.8622558790876</c:v>
                </c:pt>
                <c:pt idx="3">
                  <c:v>5835.0196939419184</c:v>
                </c:pt>
                <c:pt idx="4">
                  <c:v>5742.9747226353202</c:v>
                </c:pt>
                <c:pt idx="5">
                  <c:v>5652.383077785822</c:v>
                </c:pt>
                <c:pt idx="6">
                  <c:v>5475.4715170674554</c:v>
                </c:pt>
                <c:pt idx="7">
                  <c:v>4898.9419567929008</c:v>
                </c:pt>
                <c:pt idx="8">
                  <c:v>4821.2321319379917</c:v>
                </c:pt>
                <c:pt idx="9">
                  <c:v>4669.9034476927654</c:v>
                </c:pt>
                <c:pt idx="10">
                  <c:v>4312.3374428679663</c:v>
                </c:pt>
                <c:pt idx="11">
                  <c:v>3590.5352376737433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E1-4167-B129-574A90CE598A}"/>
            </c:ext>
          </c:extLst>
        </c:ser>
        <c:ser>
          <c:idx val="3"/>
          <c:order val="3"/>
          <c:tx>
            <c:strRef>
              <c:f>[2]NLR!$BF$22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[2]NLR!$BB$23:$BB$34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29</c:v>
                </c:pt>
                <c:pt idx="8">
                  <c:v>31</c:v>
                </c:pt>
                <c:pt idx="9">
                  <c:v>35</c:v>
                </c:pt>
                <c:pt idx="10">
                  <c:v>45</c:v>
                </c:pt>
                <c:pt idx="11">
                  <c:v>68</c:v>
                </c:pt>
              </c:numCache>
            </c:numRef>
          </c:xVal>
          <c:yVal>
            <c:numRef>
              <c:f>[2]NLR!$BF$23:$BF$34</c:f>
              <c:numCache>
                <c:formatCode>General</c:formatCode>
                <c:ptCount val="12"/>
                <c:pt idx="0">
                  <c:v>6618.160261204067</c:v>
                </c:pt>
                <c:pt idx="1">
                  <c:v>6022.46944755411</c:v>
                </c:pt>
                <c:pt idx="2">
                  <c:v>5650.4347012743765</c:v>
                </c:pt>
                <c:pt idx="3">
                  <c:v>5332.6967445929959</c:v>
                </c:pt>
                <c:pt idx="4">
                  <c:v>5213.4054768876613</c:v>
                </c:pt>
                <c:pt idx="5">
                  <c:v>5136.9765267522398</c:v>
                </c:pt>
                <c:pt idx="6">
                  <c:v>5056.2247460676454</c:v>
                </c:pt>
                <c:pt idx="7">
                  <c:v>5001.3333319285539</c:v>
                </c:pt>
                <c:pt idx="8">
                  <c:v>5000.3744989029701</c:v>
                </c:pt>
                <c:pt idx="9">
                  <c:v>4999.3539167578083</c:v>
                </c:pt>
                <c:pt idx="10">
                  <c:v>4998.7038070858653</c:v>
                </c:pt>
                <c:pt idx="11">
                  <c:v>4998.6215751205482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E1-4167-B129-574A90CE5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786815"/>
        <c:axId val="420794719"/>
      </c:scatterChart>
      <c:valAx>
        <c:axId val="420786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794719"/>
        <c:crosses val="autoZero"/>
        <c:crossBetween val="midCat"/>
      </c:valAx>
      <c:valAx>
        <c:axId val="4207947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pCOD (mg l-1)</a:t>
                </a:r>
              </a:p>
            </c:rich>
          </c:tx>
          <c:layout>
            <c:manualLayout>
              <c:xMode val="edge"/>
              <c:yMode val="edge"/>
              <c:x val="2.7208223972003495E-2"/>
              <c:y val="0.34359179060950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786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'[6]T10 - NLR'!$G$34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'[6]T10 - NLR'!$F$35:$F$41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'[6]T10 - NLR'!$G$35:$G$41</c:f>
              <c:numCache>
                <c:formatCode>General</c:formatCode>
                <c:ptCount val="7"/>
                <c:pt idx="0">
                  <c:v>9095</c:v>
                </c:pt>
                <c:pt idx="1">
                  <c:v>8640.6666666666661</c:v>
                </c:pt>
                <c:pt idx="2">
                  <c:v>8509.5</c:v>
                </c:pt>
                <c:pt idx="3">
                  <c:v>8674</c:v>
                </c:pt>
                <c:pt idx="4">
                  <c:v>8271</c:v>
                </c:pt>
                <c:pt idx="5">
                  <c:v>7746</c:v>
                </c:pt>
                <c:pt idx="6">
                  <c:v>7876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BA-4471-BF56-3CC67E47A73A}"/>
            </c:ext>
          </c:extLst>
        </c:ser>
        <c:ser>
          <c:idx val="1"/>
          <c:order val="1"/>
          <c:tx>
            <c:strRef>
              <c:f>'[6]T10 - NLR'!$H$34</c:f>
              <c:strCache>
                <c:ptCount val="1"/>
                <c:pt idx="0">
                  <c:v>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'[6]T10 - NLR'!$F$35:$F$41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'[6]T10 - NLR'!$H$35:$H$41</c:f>
              <c:numCache>
                <c:formatCode>General</c:formatCode>
                <c:ptCount val="7"/>
                <c:pt idx="0">
                  <c:v>9095.0002476583541</c:v>
                </c:pt>
                <c:pt idx="1">
                  <c:v>8790.20245708517</c:v>
                </c:pt>
                <c:pt idx="2">
                  <c:v>8387.4757762199461</c:v>
                </c:pt>
                <c:pt idx="3">
                  <c:v>8334.9342310842621</c:v>
                </c:pt>
                <c:pt idx="4">
                  <c:v>8270.9950712426853</c:v>
                </c:pt>
                <c:pt idx="5">
                  <c:v>8259.5043402289011</c:v>
                </c:pt>
                <c:pt idx="6">
                  <c:v>8247.2253649053418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BA-4471-BF56-3CC67E47A73A}"/>
            </c:ext>
          </c:extLst>
        </c:ser>
        <c:ser>
          <c:idx val="2"/>
          <c:order val="2"/>
          <c:tx>
            <c:strRef>
              <c:f>'[6]T10 - NLR'!$I$34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'[6]T10 - NLR'!$F$35:$F$41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'[6]T10 - NLR'!$I$35:$I$41</c:f>
              <c:numCache>
                <c:formatCode>General</c:formatCode>
                <c:ptCount val="7"/>
                <c:pt idx="0">
                  <c:v>9058</c:v>
                </c:pt>
                <c:pt idx="1">
                  <c:v>8926.7139204508167</c:v>
                </c:pt>
                <c:pt idx="2">
                  <c:v>8544.1628751083008</c:v>
                </c:pt>
                <c:pt idx="3">
                  <c:v>8420.3243183736304</c:v>
                </c:pt>
                <c:pt idx="4">
                  <c:v>8118.5238447919828</c:v>
                </c:pt>
                <c:pt idx="5">
                  <c:v>8000.8544732630253</c:v>
                </c:pt>
                <c:pt idx="6">
                  <c:v>7770.6074882088351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BA-4471-BF56-3CC67E47A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819263"/>
        <c:axId val="420819679"/>
      </c:scatterChart>
      <c:valAx>
        <c:axId val="4208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19679"/>
        <c:crosses val="autoZero"/>
        <c:crossBetween val="midCat"/>
      </c:valAx>
      <c:valAx>
        <c:axId val="420819679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19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5870516185477"/>
          <c:y val="5.0925925925925923E-2"/>
          <c:w val="0.8383079615048119"/>
          <c:h val="0.73577136191309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'[6]T10 - NLR'!$E$65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'[6]T10 - NLR'!$J$66:$J$72</c:f>
                <c:numCache>
                  <c:formatCode>General</c:formatCode>
                  <c:ptCount val="7"/>
                  <c:pt idx="0">
                    <c:v>35</c:v>
                  </c:pt>
                  <c:pt idx="1">
                    <c:v>538.4188786520109</c:v>
                  </c:pt>
                  <c:pt idx="2">
                    <c:v>313.10567971000887</c:v>
                  </c:pt>
                  <c:pt idx="3">
                    <c:v>110.69176422239671</c:v>
                  </c:pt>
                  <c:pt idx="4">
                    <c:v>260</c:v>
                  </c:pt>
                  <c:pt idx="5">
                    <c:v>333.23365176204317</c:v>
                  </c:pt>
                  <c:pt idx="6">
                    <c:v>319.38169431992605</c:v>
                  </c:pt>
                </c:numCache>
              </c:numRef>
            </c:plus>
            <c:minus>
              <c:numRef>
                <c:f>'[6]T10 - NLR'!$J$66:$J$72</c:f>
                <c:numCache>
                  <c:formatCode>General</c:formatCode>
                  <c:ptCount val="7"/>
                  <c:pt idx="0">
                    <c:v>35</c:v>
                  </c:pt>
                  <c:pt idx="1">
                    <c:v>538.4188786520109</c:v>
                  </c:pt>
                  <c:pt idx="2">
                    <c:v>313.10567971000887</c:v>
                  </c:pt>
                  <c:pt idx="3">
                    <c:v>110.69176422239671</c:v>
                  </c:pt>
                  <c:pt idx="4">
                    <c:v>260</c:v>
                  </c:pt>
                  <c:pt idx="5">
                    <c:v>333.23365176204317</c:v>
                  </c:pt>
                  <c:pt idx="6">
                    <c:v>319.38169431992605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'[6]T10 - NLR'!$D$66:$D$73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'[6]T10 - NLR'!$E$66:$E$73</c:f>
              <c:numCache>
                <c:formatCode>General</c:formatCode>
                <c:ptCount val="8"/>
                <c:pt idx="0">
                  <c:v>9095</c:v>
                </c:pt>
                <c:pt idx="1">
                  <c:v>8640.6666666666661</c:v>
                </c:pt>
                <c:pt idx="2">
                  <c:v>8509.5</c:v>
                </c:pt>
                <c:pt idx="3">
                  <c:v>8674</c:v>
                </c:pt>
                <c:pt idx="4">
                  <c:v>8271</c:v>
                </c:pt>
                <c:pt idx="5">
                  <c:v>7746</c:v>
                </c:pt>
                <c:pt idx="6">
                  <c:v>7876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91-4A86-98BD-EF5A6CBD53BD}"/>
            </c:ext>
          </c:extLst>
        </c:ser>
        <c:ser>
          <c:idx val="1"/>
          <c:order val="1"/>
          <c:tx>
            <c:strRef>
              <c:f>'[6]T10 - NLR'!$F$65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'[6]T10 - NLR'!$D$66:$D$73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'[6]T10 - NLR'!$F$66:$F$73</c:f>
              <c:numCache>
                <c:formatCode>General</c:formatCode>
                <c:ptCount val="8"/>
                <c:pt idx="0">
                  <c:v>9058</c:v>
                </c:pt>
                <c:pt idx="1">
                  <c:v>8926.7139204508167</c:v>
                </c:pt>
                <c:pt idx="2">
                  <c:v>8544.1628751083008</c:v>
                </c:pt>
                <c:pt idx="3">
                  <c:v>8420.3243183736304</c:v>
                </c:pt>
                <c:pt idx="4">
                  <c:v>8118.5238447919828</c:v>
                </c:pt>
                <c:pt idx="5">
                  <c:v>8000.8544732630253</c:v>
                </c:pt>
                <c:pt idx="6">
                  <c:v>7770.6074882088351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91-4A86-98BD-EF5A6CBD53BD}"/>
            </c:ext>
          </c:extLst>
        </c:ser>
        <c:ser>
          <c:idx val="2"/>
          <c:order val="2"/>
          <c:tx>
            <c:strRef>
              <c:f>'[6]T10 - NLR'!$G$65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'[6]T10 - NLR'!$D$66:$D$73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'[6]T10 - NLR'!$G$66:$G$73</c:f>
              <c:numCache>
                <c:formatCode>General</c:formatCode>
                <c:ptCount val="8"/>
                <c:pt idx="0">
                  <c:v>8996.8758121363371</c:v>
                </c:pt>
                <c:pt idx="1">
                  <c:v>8872.58146961686</c:v>
                </c:pt>
                <c:pt idx="2">
                  <c:v>8513.5217982365957</c:v>
                </c:pt>
                <c:pt idx="3">
                  <c:v>8399.4352907544435</c:v>
                </c:pt>
                <c:pt idx="4">
                  <c:v>8132.690013355289</c:v>
                </c:pt>
                <c:pt idx="5">
                  <c:v>8036.8264370192855</c:v>
                </c:pt>
                <c:pt idx="6">
                  <c:v>7875.9999232682139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91-4A86-98BD-EF5A6CBD53BD}"/>
            </c:ext>
          </c:extLst>
        </c:ser>
        <c:ser>
          <c:idx val="3"/>
          <c:order val="3"/>
          <c:tx>
            <c:strRef>
              <c:f>'[6]T10 - NLR'!$H$65</c:f>
              <c:strCache>
                <c:ptCount val="1"/>
                <c:pt idx="0">
                  <c:v>MM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'[6]T10 - NLR'!$D$66:$D$73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'[6]T10 - NLR'!$H$66:$H$73</c:f>
              <c:numCache>
                <c:formatCode>General</c:formatCode>
                <c:ptCount val="8"/>
                <c:pt idx="0">
                  <c:v>9095.0002476583541</c:v>
                </c:pt>
                <c:pt idx="1">
                  <c:v>8790.20245708517</c:v>
                </c:pt>
                <c:pt idx="2">
                  <c:v>8387.4757762199461</c:v>
                </c:pt>
                <c:pt idx="3">
                  <c:v>8334.9342310842621</c:v>
                </c:pt>
                <c:pt idx="4">
                  <c:v>8270.9950712426853</c:v>
                </c:pt>
                <c:pt idx="5">
                  <c:v>8259.5043402289011</c:v>
                </c:pt>
                <c:pt idx="6">
                  <c:v>8247.2253649053418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91-4A86-98BD-EF5A6CBD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227503"/>
        <c:axId val="553280751"/>
      </c:scatterChart>
      <c:valAx>
        <c:axId val="55322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280751"/>
        <c:crosses val="autoZero"/>
        <c:crossBetween val="midCat"/>
      </c:valAx>
      <c:valAx>
        <c:axId val="553280751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pCOD (mg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l-1)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227503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'[6]T10 - 35 rpm NLR'!$G$5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'[6]T10 - 35 rpm NLR'!$F$6:$F$13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NLR'!$G$6:$G$13</c:f>
              <c:numCache>
                <c:formatCode>General</c:formatCode>
                <c:ptCount val="8"/>
                <c:pt idx="0">
                  <c:v>8309.6666666666661</c:v>
                </c:pt>
                <c:pt idx="1">
                  <c:v>6806.666666666667</c:v>
                </c:pt>
                <c:pt idx="2">
                  <c:v>6933.333333333333</c:v>
                </c:pt>
                <c:pt idx="3">
                  <c:v>6612.5</c:v>
                </c:pt>
                <c:pt idx="4">
                  <c:v>5794.666666666667</c:v>
                </c:pt>
                <c:pt idx="5">
                  <c:v>5843.333333333333</c:v>
                </c:pt>
                <c:pt idx="6">
                  <c:v>5659</c:v>
                </c:pt>
                <c:pt idx="7">
                  <c:v>5344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75-40B8-AC09-C8CCE2BA3F58}"/>
            </c:ext>
          </c:extLst>
        </c:ser>
        <c:ser>
          <c:idx val="1"/>
          <c:order val="1"/>
          <c:tx>
            <c:strRef>
              <c:f>'[6]T10 - 35 rpm NLR'!$H$5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'[6]T10 - 35 rpm NLR'!$F$6:$F$13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NLR'!$H$6:$H$13</c:f>
              <c:numCache>
                <c:formatCode>General</c:formatCode>
                <c:ptCount val="8"/>
                <c:pt idx="0">
                  <c:v>8144.1006593328157</c:v>
                </c:pt>
                <c:pt idx="1">
                  <c:v>7821.28379918672</c:v>
                </c:pt>
                <c:pt idx="2">
                  <c:v>6931.2347369816416</c:v>
                </c:pt>
                <c:pt idx="3">
                  <c:v>6659.96248023516</c:v>
                </c:pt>
                <c:pt idx="4">
                  <c:v>6039.209605223622</c:v>
                </c:pt>
                <c:pt idx="5">
                  <c:v>5817.18086037988</c:v>
                </c:pt>
                <c:pt idx="6">
                  <c:v>5447.047085434825</c:v>
                </c:pt>
                <c:pt idx="7">
                  <c:v>5344.0085372654121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75-40B8-AC09-C8CCE2BA3F58}"/>
            </c:ext>
          </c:extLst>
        </c:ser>
        <c:ser>
          <c:idx val="2"/>
          <c:order val="2"/>
          <c:tx>
            <c:strRef>
              <c:f>'[6]T10 - 35 rpm NLR'!$I$5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'[6]T10 - 35 rpm NLR'!$F$6:$F$13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NLR'!$I$6:$I$13</c:f>
              <c:numCache>
                <c:formatCode>General</c:formatCode>
                <c:ptCount val="8"/>
                <c:pt idx="0">
                  <c:v>8297.5</c:v>
                </c:pt>
                <c:pt idx="1">
                  <c:v>7946.6802640841688</c:v>
                </c:pt>
                <c:pt idx="2">
                  <c:v>6980.7353666411891</c:v>
                </c:pt>
                <c:pt idx="3">
                  <c:v>6685.5886672951974</c:v>
                </c:pt>
                <c:pt idx="4">
                  <c:v>6001.1688861467419</c:v>
                </c:pt>
                <c:pt idx="5">
                  <c:v>5747.4384271139852</c:v>
                </c:pt>
                <c:pt idx="6">
                  <c:v>5271.7072403238644</c:v>
                </c:pt>
                <c:pt idx="7">
                  <c:v>5048.8185459127781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75-40B8-AC09-C8CCE2BA3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15215"/>
        <c:axId val="545617711"/>
      </c:scatterChart>
      <c:valAx>
        <c:axId val="54561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617711"/>
        <c:crosses val="autoZero"/>
        <c:crossBetween val="midCat"/>
      </c:valAx>
      <c:valAx>
        <c:axId val="545617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615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'[6]T10 - 35 rpm NLR'!$G$34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'[6]T10 - 35 rpm NLR'!$F$35:$F$42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NLR'!$G$35:$G$42</c:f>
              <c:numCache>
                <c:formatCode>General</c:formatCode>
                <c:ptCount val="8"/>
                <c:pt idx="0">
                  <c:v>8309.6666666666661</c:v>
                </c:pt>
                <c:pt idx="1">
                  <c:v>6806.666666666667</c:v>
                </c:pt>
                <c:pt idx="2">
                  <c:v>6933.333333333333</c:v>
                </c:pt>
                <c:pt idx="3">
                  <c:v>6612.5</c:v>
                </c:pt>
                <c:pt idx="4">
                  <c:v>5794.666666666667</c:v>
                </c:pt>
                <c:pt idx="5">
                  <c:v>5843.333333333333</c:v>
                </c:pt>
                <c:pt idx="6">
                  <c:v>5659</c:v>
                </c:pt>
                <c:pt idx="7">
                  <c:v>5344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49-4B3B-9B9D-37C5E20A08A7}"/>
            </c:ext>
          </c:extLst>
        </c:ser>
        <c:ser>
          <c:idx val="1"/>
          <c:order val="1"/>
          <c:tx>
            <c:strRef>
              <c:f>'[6]T10 - 35 rpm NLR'!$H$34</c:f>
              <c:strCache>
                <c:ptCount val="1"/>
                <c:pt idx="0">
                  <c:v>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'[6]T10 - 35 rpm NLR'!$F$35:$F$42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NLR'!$H$35:$H$42</c:f>
              <c:numCache>
                <c:formatCode>General</c:formatCode>
                <c:ptCount val="8"/>
                <c:pt idx="0">
                  <c:v>8309.0376965960713</c:v>
                </c:pt>
                <c:pt idx="1">
                  <c:v>7331.1781304248643</c:v>
                </c:pt>
                <c:pt idx="2">
                  <c:v>6119.0244241734326</c:v>
                </c:pt>
                <c:pt idx="3">
                  <c:v>5970.3674610720782</c:v>
                </c:pt>
                <c:pt idx="4">
                  <c:v>5794.6666687851548</c:v>
                </c:pt>
                <c:pt idx="5">
                  <c:v>5764.0541489984525</c:v>
                </c:pt>
                <c:pt idx="6">
                  <c:v>5731.9840692188263</c:v>
                </c:pt>
                <c:pt idx="7">
                  <c:v>5723.9820096105977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49-4B3B-9B9D-37C5E20A08A7}"/>
            </c:ext>
          </c:extLst>
        </c:ser>
        <c:ser>
          <c:idx val="2"/>
          <c:order val="2"/>
          <c:tx>
            <c:strRef>
              <c:f>'[6]T10 - 35 rpm NLR'!$I$34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'[6]T10 - 35 rpm NLR'!$F$35:$F$42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NLR'!$I$35:$I$42</c:f>
              <c:numCache>
                <c:formatCode>General</c:formatCode>
                <c:ptCount val="8"/>
                <c:pt idx="0">
                  <c:v>8297.5</c:v>
                </c:pt>
                <c:pt idx="1">
                  <c:v>7946.6802640841688</c:v>
                </c:pt>
                <c:pt idx="2">
                  <c:v>6980.7353666411891</c:v>
                </c:pt>
                <c:pt idx="3">
                  <c:v>6685.5886672951974</c:v>
                </c:pt>
                <c:pt idx="4">
                  <c:v>6001.1688861467419</c:v>
                </c:pt>
                <c:pt idx="5">
                  <c:v>5747.4384271139852</c:v>
                </c:pt>
                <c:pt idx="6">
                  <c:v>5271.7072403238644</c:v>
                </c:pt>
                <c:pt idx="7">
                  <c:v>5048.8185459127781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49-4B3B-9B9D-37C5E20A0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779423"/>
        <c:axId val="640769439"/>
      </c:scatterChart>
      <c:valAx>
        <c:axId val="640779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69439"/>
        <c:crosses val="autoZero"/>
        <c:crossBetween val="midCat"/>
      </c:valAx>
      <c:valAx>
        <c:axId val="640769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79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10498687664042"/>
          <c:y val="0.89409667541557303"/>
          <c:w val="0.5273613764618834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'[6]T10 - 35 rpm NLR'!$G$61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'[6]T10 - 35 rpm NLR'!$L$62:$L$69</c:f>
                <c:numCache>
                  <c:formatCode>General</c:formatCode>
                  <c:ptCount val="8"/>
                  <c:pt idx="0">
                    <c:v>1039.7372531344424</c:v>
                  </c:pt>
                  <c:pt idx="1">
                    <c:v>1482.8554286316053</c:v>
                  </c:pt>
                  <c:pt idx="2">
                    <c:v>434.81515868495455</c:v>
                  </c:pt>
                  <c:pt idx="3">
                    <c:v>591.06697308060336</c:v>
                  </c:pt>
                  <c:pt idx="4">
                    <c:v>1070.2997503295774</c:v>
                  </c:pt>
                  <c:pt idx="5">
                    <c:v>52.130178932702272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'[6]T10 - 35 rpm NLR'!$L$62:$L$69</c:f>
                <c:numCache>
                  <c:formatCode>General</c:formatCode>
                  <c:ptCount val="8"/>
                  <c:pt idx="0">
                    <c:v>1039.7372531344424</c:v>
                  </c:pt>
                  <c:pt idx="1">
                    <c:v>1482.8554286316053</c:v>
                  </c:pt>
                  <c:pt idx="2">
                    <c:v>434.81515868495455</c:v>
                  </c:pt>
                  <c:pt idx="3">
                    <c:v>591.06697308060336</c:v>
                  </c:pt>
                  <c:pt idx="4">
                    <c:v>1070.2997503295774</c:v>
                  </c:pt>
                  <c:pt idx="5">
                    <c:v>52.130178932702272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'[6]T10 - 35 rpm NLR'!$F$62:$F$69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NLR'!$G$62:$G$69</c:f>
              <c:numCache>
                <c:formatCode>General</c:formatCode>
                <c:ptCount val="8"/>
                <c:pt idx="0">
                  <c:v>8309.6666666666661</c:v>
                </c:pt>
                <c:pt idx="1">
                  <c:v>6806.666666666667</c:v>
                </c:pt>
                <c:pt idx="2">
                  <c:v>6933.333333333333</c:v>
                </c:pt>
                <c:pt idx="3">
                  <c:v>6612.5</c:v>
                </c:pt>
                <c:pt idx="4">
                  <c:v>5794.666666666667</c:v>
                </c:pt>
                <c:pt idx="5">
                  <c:v>5843.333333333333</c:v>
                </c:pt>
                <c:pt idx="6">
                  <c:v>5659</c:v>
                </c:pt>
                <c:pt idx="7">
                  <c:v>5344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B1-4AD6-991F-6A3E14D6F34E}"/>
            </c:ext>
          </c:extLst>
        </c:ser>
        <c:ser>
          <c:idx val="1"/>
          <c:order val="1"/>
          <c:tx>
            <c:strRef>
              <c:f>'[6]T10 - 35 rpm NLR'!$H$61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'[6]T10 - 35 rpm NLR'!$F$62:$F$69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NLR'!$H$62:$H$69</c:f>
              <c:numCache>
                <c:formatCode>General</c:formatCode>
                <c:ptCount val="8"/>
                <c:pt idx="0">
                  <c:v>8297.5</c:v>
                </c:pt>
                <c:pt idx="1">
                  <c:v>7946.6802640841688</c:v>
                </c:pt>
                <c:pt idx="2">
                  <c:v>6980.7353666411891</c:v>
                </c:pt>
                <c:pt idx="3">
                  <c:v>6685.5886672951974</c:v>
                </c:pt>
                <c:pt idx="4">
                  <c:v>6001.1688861467419</c:v>
                </c:pt>
                <c:pt idx="5">
                  <c:v>5747.4384271139852</c:v>
                </c:pt>
                <c:pt idx="6">
                  <c:v>5271.7072403238644</c:v>
                </c:pt>
                <c:pt idx="7">
                  <c:v>5048.8185459127781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B1-4AD6-991F-6A3E14D6F34E}"/>
            </c:ext>
          </c:extLst>
        </c:ser>
        <c:ser>
          <c:idx val="2"/>
          <c:order val="2"/>
          <c:tx>
            <c:strRef>
              <c:f>'[6]T10 - 35 rpm NLR'!$I$61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'[6]T10 - 35 rpm NLR'!$F$62:$F$69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NLR'!$I$62:$I$69</c:f>
              <c:numCache>
                <c:formatCode>General</c:formatCode>
                <c:ptCount val="8"/>
                <c:pt idx="0">
                  <c:v>8144.1006593328157</c:v>
                </c:pt>
                <c:pt idx="1">
                  <c:v>7821.28379918672</c:v>
                </c:pt>
                <c:pt idx="2">
                  <c:v>6931.2347369816416</c:v>
                </c:pt>
                <c:pt idx="3">
                  <c:v>6659.96248023516</c:v>
                </c:pt>
                <c:pt idx="4">
                  <c:v>6039.209605223622</c:v>
                </c:pt>
                <c:pt idx="5">
                  <c:v>5817.18086037988</c:v>
                </c:pt>
                <c:pt idx="6">
                  <c:v>5447.047085434825</c:v>
                </c:pt>
                <c:pt idx="7">
                  <c:v>5344.0085372654121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B1-4AD6-991F-6A3E14D6F34E}"/>
            </c:ext>
          </c:extLst>
        </c:ser>
        <c:ser>
          <c:idx val="3"/>
          <c:order val="3"/>
          <c:tx>
            <c:strRef>
              <c:f>'[6]T10 - 35 rpm NLR'!$J$61</c:f>
              <c:strCache>
                <c:ptCount val="1"/>
                <c:pt idx="0">
                  <c:v>MM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'[6]T10 - 35 rpm NLR'!$F$62:$F$69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</c:numCache>
            </c:numRef>
          </c:xVal>
          <c:yVal>
            <c:numRef>
              <c:f>'[6]T10 - 35 rpm NLR'!$J$62:$J$69</c:f>
              <c:numCache>
                <c:formatCode>General</c:formatCode>
                <c:ptCount val="8"/>
                <c:pt idx="0">
                  <c:v>8309.0376965960713</c:v>
                </c:pt>
                <c:pt idx="1">
                  <c:v>7331.1781304248643</c:v>
                </c:pt>
                <c:pt idx="2">
                  <c:v>6119.0244241734326</c:v>
                </c:pt>
                <c:pt idx="3">
                  <c:v>5970.3674610720782</c:v>
                </c:pt>
                <c:pt idx="4">
                  <c:v>5794.6666687851548</c:v>
                </c:pt>
                <c:pt idx="5">
                  <c:v>5764.0541489984525</c:v>
                </c:pt>
                <c:pt idx="6">
                  <c:v>5731.9840692188263</c:v>
                </c:pt>
                <c:pt idx="7">
                  <c:v>5723.9820096105977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B1-4AD6-991F-6A3E14D6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558607"/>
        <c:axId val="796542383"/>
      </c:scatterChart>
      <c:valAx>
        <c:axId val="796558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542383"/>
        <c:crosses val="autoZero"/>
        <c:crossBetween val="midCat"/>
      </c:valAx>
      <c:valAx>
        <c:axId val="7965423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pCOD (mg l-1)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558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'[6]T10 85 rpm NLR'!$G$63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'[6]T10 85 rpm NLR'!$L$64:$L$70</c:f>
                <c:numCache>
                  <c:formatCode>General</c:formatCode>
                  <c:ptCount val="7"/>
                  <c:pt idx="0">
                    <c:v>460.83860756475497</c:v>
                  </c:pt>
                  <c:pt idx="1">
                    <c:v>432.36372291033956</c:v>
                  </c:pt>
                  <c:pt idx="2">
                    <c:v>477.83562957243873</c:v>
                  </c:pt>
                  <c:pt idx="3">
                    <c:v>440.24557540839254</c:v>
                  </c:pt>
                  <c:pt idx="4">
                    <c:v>166.51393001454531</c:v>
                  </c:pt>
                  <c:pt idx="5">
                    <c:v>56.60584971734125</c:v>
                  </c:pt>
                  <c:pt idx="6">
                    <c:v>196.21077102612554</c:v>
                  </c:pt>
                </c:numCache>
              </c:numRef>
            </c:plus>
            <c:minus>
              <c:numRef>
                <c:f>'[6]T10 85 rpm NLR'!$L$64:$L$70</c:f>
                <c:numCache>
                  <c:formatCode>General</c:formatCode>
                  <c:ptCount val="7"/>
                  <c:pt idx="0">
                    <c:v>460.83860756475497</c:v>
                  </c:pt>
                  <c:pt idx="1">
                    <c:v>432.36372291033956</c:v>
                  </c:pt>
                  <c:pt idx="2">
                    <c:v>477.83562957243873</c:v>
                  </c:pt>
                  <c:pt idx="3">
                    <c:v>440.24557540839254</c:v>
                  </c:pt>
                  <c:pt idx="4">
                    <c:v>166.51393001454531</c:v>
                  </c:pt>
                  <c:pt idx="5">
                    <c:v>56.60584971734125</c:v>
                  </c:pt>
                  <c:pt idx="6">
                    <c:v>196.21077102612554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'[6]T10 85 rpm NLR'!$F$64:$F$70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85 rpm NLR'!$G$64:$G$70</c:f>
              <c:numCache>
                <c:formatCode>General</c:formatCode>
                <c:ptCount val="7"/>
                <c:pt idx="0">
                  <c:v>8048.333333333333</c:v>
                </c:pt>
                <c:pt idx="1">
                  <c:v>7944.166666666667</c:v>
                </c:pt>
                <c:pt idx="2">
                  <c:v>8102.333333333333</c:v>
                </c:pt>
                <c:pt idx="3">
                  <c:v>8631.5</c:v>
                </c:pt>
                <c:pt idx="4">
                  <c:v>7741.333333333333</c:v>
                </c:pt>
                <c:pt idx="5">
                  <c:v>7430.666666666667</c:v>
                </c:pt>
                <c:pt idx="6">
                  <c:v>7629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25-4E2B-8BAF-F16F5C4ED89C}"/>
            </c:ext>
          </c:extLst>
        </c:ser>
        <c:ser>
          <c:idx val="1"/>
          <c:order val="1"/>
          <c:tx>
            <c:strRef>
              <c:f>'[6]T10 85 rpm NLR'!$H$63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'[6]T10 85 rpm NLR'!$F$64:$F$70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85 rpm NLR'!$H$64:$H$70</c:f>
              <c:numCache>
                <c:formatCode>General</c:formatCode>
                <c:ptCount val="7"/>
                <c:pt idx="0">
                  <c:v>8191.7</c:v>
                </c:pt>
                <c:pt idx="1">
                  <c:v>8137.8128033592957</c:v>
                </c:pt>
                <c:pt idx="2">
                  <c:v>7978.2688076783061</c:v>
                </c:pt>
                <c:pt idx="3">
                  <c:v>7925.7856185854735</c:v>
                </c:pt>
                <c:pt idx="4">
                  <c:v>7796.0831439064568</c:v>
                </c:pt>
                <c:pt idx="5">
                  <c:v>7744.798420905985</c:v>
                </c:pt>
                <c:pt idx="6">
                  <c:v>7643.2388495615933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25-4E2B-8BAF-F16F5C4ED89C}"/>
            </c:ext>
          </c:extLst>
        </c:ser>
        <c:ser>
          <c:idx val="2"/>
          <c:order val="2"/>
          <c:tx>
            <c:strRef>
              <c:f>'[6]T10 85 rpm NLR'!$I$63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'[6]T10 85 rpm NLR'!$F$64:$F$70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85 rpm NLR'!$I$64:$I$70</c:f>
              <c:numCache>
                <c:formatCode>General</c:formatCode>
                <c:ptCount val="7"/>
                <c:pt idx="0">
                  <c:v>8048.5120273411621</c:v>
                </c:pt>
                <c:pt idx="1">
                  <c:v>8005.8072583402191</c:v>
                </c:pt>
                <c:pt idx="2">
                  <c:v>7879.616857081689</c:v>
                </c:pt>
                <c:pt idx="3">
                  <c:v>7838.37385370437</c:v>
                </c:pt>
                <c:pt idx="4">
                  <c:v>7738.1890076811269</c:v>
                </c:pt>
                <c:pt idx="5">
                  <c:v>7699.9259043114471</c:v>
                </c:pt>
                <c:pt idx="6">
                  <c:v>7629.0000430206219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25-4E2B-8BAF-F16F5C4ED89C}"/>
            </c:ext>
          </c:extLst>
        </c:ser>
        <c:ser>
          <c:idx val="3"/>
          <c:order val="3"/>
          <c:tx>
            <c:strRef>
              <c:f>'[6]T10 85 rpm NLR'!$J$63</c:f>
              <c:strCache>
                <c:ptCount val="1"/>
                <c:pt idx="0">
                  <c:v>MM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'[6]T10 85 rpm NLR'!$F$64:$F$70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17</c:v>
                </c:pt>
                <c:pt idx="6">
                  <c:v>21</c:v>
                </c:pt>
              </c:numCache>
            </c:numRef>
          </c:xVal>
          <c:yVal>
            <c:numRef>
              <c:f>'[6]T10 85 rpm NLR'!$J$64:$J$70</c:f>
              <c:numCache>
                <c:formatCode>General</c:formatCode>
                <c:ptCount val="7"/>
                <c:pt idx="0">
                  <c:v>8053.4647905386873</c:v>
                </c:pt>
                <c:pt idx="1">
                  <c:v>7939.5219504813231</c:v>
                </c:pt>
                <c:pt idx="2">
                  <c:v>7786.4890682844289</c:v>
                </c:pt>
                <c:pt idx="3">
                  <c:v>7766.2078504510919</c:v>
                </c:pt>
                <c:pt idx="4">
                  <c:v>7741.3264287158681</c:v>
                </c:pt>
                <c:pt idx="5">
                  <c:v>7736.8143969728653</c:v>
                </c:pt>
                <c:pt idx="6">
                  <c:v>7731.9635956893726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25-4E2B-8BAF-F16F5C4ED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32831"/>
        <c:axId val="427633247"/>
      </c:scatterChart>
      <c:valAx>
        <c:axId val="427632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33247"/>
        <c:crosses val="autoZero"/>
        <c:crossBetween val="midCat"/>
      </c:valAx>
      <c:valAx>
        <c:axId val="427633247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pCOD (mg l-1)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3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1.9540192330730444E-3"/>
                  <c:y val="0.15057220072067262"/>
                </c:manualLayout>
              </c:layout>
              <c:numFmt formatCode="General" sourceLinked="0"/>
            </c:trendlineLbl>
          </c:trendline>
          <c:xVal>
            <c:numRef>
              <c:f>'T5 - Processed Dataset'!$B$3:$B$21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</c:numCache>
            </c:numRef>
          </c:xVal>
          <c:yVal>
            <c:numRef>
              <c:f>'T5 - Processed Dataset'!$W$3:$W$21</c:f>
              <c:numCache>
                <c:formatCode>General</c:formatCode>
                <c:ptCount val="19"/>
                <c:pt idx="0">
                  <c:v>6840</c:v>
                </c:pt>
                <c:pt idx="1">
                  <c:v>5828</c:v>
                </c:pt>
                <c:pt idx="2">
                  <c:v>6089</c:v>
                </c:pt>
                <c:pt idx="3">
                  <c:v>6390</c:v>
                </c:pt>
                <c:pt idx="4">
                  <c:v>5848.5</c:v>
                </c:pt>
                <c:pt idx="5">
                  <c:v>6439</c:v>
                </c:pt>
                <c:pt idx="6">
                  <c:v>5846.5</c:v>
                </c:pt>
                <c:pt idx="7">
                  <c:v>5982</c:v>
                </c:pt>
                <c:pt idx="8">
                  <c:v>6877</c:v>
                </c:pt>
                <c:pt idx="9">
                  <c:v>6049.5</c:v>
                </c:pt>
                <c:pt idx="10">
                  <c:v>5248</c:v>
                </c:pt>
                <c:pt idx="11">
                  <c:v>5577.8</c:v>
                </c:pt>
                <c:pt idx="12">
                  <c:v>4263</c:v>
                </c:pt>
                <c:pt idx="13">
                  <c:v>4831</c:v>
                </c:pt>
                <c:pt idx="14">
                  <c:v>4473</c:v>
                </c:pt>
                <c:pt idx="15">
                  <c:v>5582</c:v>
                </c:pt>
                <c:pt idx="16">
                  <c:v>5054</c:v>
                </c:pt>
                <c:pt idx="17">
                  <c:v>4867</c:v>
                </c:pt>
                <c:pt idx="18">
                  <c:v>5260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02-4828-B6B0-2471F8757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33376"/>
        <c:axId val="338539264"/>
      </c:scatterChart>
      <c:valAx>
        <c:axId val="3385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539264"/>
        <c:crosses val="autoZero"/>
        <c:crossBetween val="midCat"/>
      </c:valAx>
      <c:valAx>
        <c:axId val="33853926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3853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1.8551529606517028E-2"/>
                  <c:y val="0.15445849459495528"/>
                </c:manualLayout>
              </c:layout>
              <c:numFmt formatCode="General" sourceLinked="0"/>
            </c:trendlineLbl>
          </c:trendline>
          <c:xVal>
            <c:numRef>
              <c:f>'T5 - Processed Dataset'!$B$3:$B$21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</c:numCache>
            </c:numRef>
          </c:xVal>
          <c:yVal>
            <c:numRef>
              <c:f>'T5 - Processed Dataset'!$X$3:$X$21</c:f>
              <c:numCache>
                <c:formatCode>General</c:formatCode>
                <c:ptCount val="19"/>
                <c:pt idx="0">
                  <c:v>6928</c:v>
                </c:pt>
                <c:pt idx="1">
                  <c:v>5515</c:v>
                </c:pt>
                <c:pt idx="2">
                  <c:v>6350</c:v>
                </c:pt>
                <c:pt idx="3">
                  <c:v>5430</c:v>
                </c:pt>
                <c:pt idx="4">
                  <c:v>5486.5</c:v>
                </c:pt>
                <c:pt idx="5">
                  <c:v>6289</c:v>
                </c:pt>
                <c:pt idx="6">
                  <c:v>6284</c:v>
                </c:pt>
                <c:pt idx="7">
                  <c:v>5965</c:v>
                </c:pt>
                <c:pt idx="8">
                  <c:v>6282</c:v>
                </c:pt>
                <c:pt idx="9">
                  <c:v>5928</c:v>
                </c:pt>
                <c:pt idx="10">
                  <c:v>5176.3999999999996</c:v>
                </c:pt>
                <c:pt idx="11">
                  <c:v>5246.8</c:v>
                </c:pt>
                <c:pt idx="12">
                  <c:v>4428</c:v>
                </c:pt>
                <c:pt idx="13">
                  <c:v>5354</c:v>
                </c:pt>
                <c:pt idx="14">
                  <c:v>5320</c:v>
                </c:pt>
                <c:pt idx="15">
                  <c:v>4786.5</c:v>
                </c:pt>
                <c:pt idx="16">
                  <c:v>4730</c:v>
                </c:pt>
                <c:pt idx="17">
                  <c:v>4834</c:v>
                </c:pt>
                <c:pt idx="18">
                  <c:v>4885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BF-4FE8-85C3-90EC7CA97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68320"/>
        <c:axId val="338569856"/>
      </c:scatterChart>
      <c:valAx>
        <c:axId val="3385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569856"/>
        <c:crosses val="autoZero"/>
        <c:crossBetween val="midCat"/>
      </c:valAx>
      <c:valAx>
        <c:axId val="33856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8568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[1]Mean!$R$2</c:f>
              <c:strCache>
                <c:ptCount val="1"/>
                <c:pt idx="0">
                  <c:v>T5-1</c:v>
                </c:pt>
              </c:strCache>
            </c:strRef>
          </c:tx>
          <c:spPr>
            <a:ln w="28575">
              <a:noFill/>
            </a:ln>
          </c:spPr>
          <c:xVal>
            <c:numRef>
              <c:f>[1]Mean!$B$3:$B$23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  <c:pt idx="20">
                  <c:v>120</c:v>
                </c:pt>
              </c:numCache>
            </c:numRef>
          </c:xVal>
          <c:yVal>
            <c:numRef>
              <c:f>[1]Mean!$R$3:$R$23</c:f>
              <c:numCache>
                <c:formatCode>General</c:formatCode>
                <c:ptCount val="21"/>
                <c:pt idx="0">
                  <c:v>180</c:v>
                </c:pt>
                <c:pt idx="1">
                  <c:v>212</c:v>
                </c:pt>
                <c:pt idx="2">
                  <c:v>51</c:v>
                </c:pt>
                <c:pt idx="3">
                  <c:v>40</c:v>
                </c:pt>
                <c:pt idx="4">
                  <c:v>121.5</c:v>
                </c:pt>
                <c:pt idx="5">
                  <c:v>176</c:v>
                </c:pt>
                <c:pt idx="6">
                  <c:v>313.5</c:v>
                </c:pt>
                <c:pt idx="7">
                  <c:v>308</c:v>
                </c:pt>
                <c:pt idx="8">
                  <c:v>473</c:v>
                </c:pt>
                <c:pt idx="9">
                  <c:v>490.5</c:v>
                </c:pt>
                <c:pt idx="10">
                  <c:v>612</c:v>
                </c:pt>
                <c:pt idx="11">
                  <c:v>637.19999999999993</c:v>
                </c:pt>
                <c:pt idx="12">
                  <c:v>882</c:v>
                </c:pt>
                <c:pt idx="13">
                  <c:v>944</c:v>
                </c:pt>
                <c:pt idx="14">
                  <c:v>997</c:v>
                </c:pt>
                <c:pt idx="15">
                  <c:v>648</c:v>
                </c:pt>
                <c:pt idx="16">
                  <c:v>1021</c:v>
                </c:pt>
                <c:pt idx="17">
                  <c:v>1043</c:v>
                </c:pt>
                <c:pt idx="18">
                  <c:v>940</c:v>
                </c:pt>
                <c:pt idx="19">
                  <c:v>981.59999999999991</c:v>
                </c:pt>
                <c:pt idx="20">
                  <c:v>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7-47AF-9FC0-D11561EB7C7C}"/>
            </c:ext>
          </c:extLst>
        </c:ser>
        <c:ser>
          <c:idx val="1"/>
          <c:order val="1"/>
          <c:tx>
            <c:strRef>
              <c:f>[1]Mean!$S$2</c:f>
              <c:strCache>
                <c:ptCount val="1"/>
                <c:pt idx="0">
                  <c:v>T5-2</c:v>
                </c:pt>
              </c:strCache>
            </c:strRef>
          </c:tx>
          <c:spPr>
            <a:ln w="28575">
              <a:noFill/>
            </a:ln>
          </c:spPr>
          <c:xVal>
            <c:numRef>
              <c:f>[1]Mean!$B$3:$B$23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  <c:pt idx="20">
                  <c:v>120</c:v>
                </c:pt>
              </c:numCache>
            </c:numRef>
          </c:xVal>
          <c:yVal>
            <c:numRef>
              <c:f>[1]Mean!$S$3:$S$23</c:f>
              <c:numCache>
                <c:formatCode>General</c:formatCode>
                <c:ptCount val="21"/>
                <c:pt idx="0">
                  <c:v>182</c:v>
                </c:pt>
                <c:pt idx="1">
                  <c:v>210</c:v>
                </c:pt>
                <c:pt idx="2">
                  <c:v>105</c:v>
                </c:pt>
                <c:pt idx="3">
                  <c:v>100</c:v>
                </c:pt>
                <c:pt idx="4">
                  <c:v>208.5</c:v>
                </c:pt>
                <c:pt idx="5">
                  <c:v>106</c:v>
                </c:pt>
                <c:pt idx="6">
                  <c:v>216</c:v>
                </c:pt>
                <c:pt idx="7">
                  <c:v>220</c:v>
                </c:pt>
                <c:pt idx="8">
                  <c:v>363</c:v>
                </c:pt>
                <c:pt idx="9">
                  <c:v>507</c:v>
                </c:pt>
                <c:pt idx="10">
                  <c:v>513.6</c:v>
                </c:pt>
                <c:pt idx="11">
                  <c:v>553.19999999999993</c:v>
                </c:pt>
                <c:pt idx="12">
                  <c:v>892</c:v>
                </c:pt>
                <c:pt idx="13">
                  <c:v>511</c:v>
                </c:pt>
                <c:pt idx="14">
                  <c:v>765</c:v>
                </c:pt>
                <c:pt idx="15">
                  <c:v>538.5</c:v>
                </c:pt>
                <c:pt idx="16">
                  <c:v>680</c:v>
                </c:pt>
                <c:pt idx="17">
                  <c:v>531</c:v>
                </c:pt>
                <c:pt idx="18">
                  <c:v>400</c:v>
                </c:pt>
                <c:pt idx="19">
                  <c:v>331.2</c:v>
                </c:pt>
                <c:pt idx="20">
                  <c:v>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7-47AF-9FC0-D11561EB7C7C}"/>
            </c:ext>
          </c:extLst>
        </c:ser>
        <c:ser>
          <c:idx val="2"/>
          <c:order val="2"/>
          <c:tx>
            <c:strRef>
              <c:f>[1]Mean!$T$2</c:f>
              <c:strCache>
                <c:ptCount val="1"/>
                <c:pt idx="0">
                  <c:v>T5-3</c:v>
                </c:pt>
              </c:strCache>
            </c:strRef>
          </c:tx>
          <c:spPr>
            <a:ln w="28575">
              <a:noFill/>
            </a:ln>
          </c:spPr>
          <c:xVal>
            <c:numRef>
              <c:f>[1]Mean!$B$3:$B$23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  <c:pt idx="20">
                  <c:v>120</c:v>
                </c:pt>
              </c:numCache>
            </c:numRef>
          </c:xVal>
          <c:yVal>
            <c:numRef>
              <c:f>[1]Mean!$T$3:$T$23</c:f>
              <c:numCache>
                <c:formatCode>General</c:formatCode>
                <c:ptCount val="21"/>
                <c:pt idx="0">
                  <c:v>180</c:v>
                </c:pt>
                <c:pt idx="1">
                  <c:v>206</c:v>
                </c:pt>
                <c:pt idx="2">
                  <c:v>120</c:v>
                </c:pt>
                <c:pt idx="3">
                  <c:v>114</c:v>
                </c:pt>
                <c:pt idx="4">
                  <c:v>277.5</c:v>
                </c:pt>
                <c:pt idx="5">
                  <c:v>88</c:v>
                </c:pt>
                <c:pt idx="6">
                  <c:v>360</c:v>
                </c:pt>
                <c:pt idx="7">
                  <c:v>396</c:v>
                </c:pt>
                <c:pt idx="8">
                  <c:v>538</c:v>
                </c:pt>
                <c:pt idx="9">
                  <c:v>654</c:v>
                </c:pt>
                <c:pt idx="10">
                  <c:v>699.6</c:v>
                </c:pt>
                <c:pt idx="11">
                  <c:v>715.19999999999993</c:v>
                </c:pt>
                <c:pt idx="12">
                  <c:v>967</c:v>
                </c:pt>
                <c:pt idx="13">
                  <c:v>983</c:v>
                </c:pt>
                <c:pt idx="14">
                  <c:v>1131</c:v>
                </c:pt>
                <c:pt idx="15">
                  <c:v>803</c:v>
                </c:pt>
                <c:pt idx="16">
                  <c:v>1109</c:v>
                </c:pt>
                <c:pt idx="17">
                  <c:v>1062</c:v>
                </c:pt>
                <c:pt idx="18">
                  <c:v>1197</c:v>
                </c:pt>
                <c:pt idx="19">
                  <c:v>1290</c:v>
                </c:pt>
                <c:pt idx="20">
                  <c:v>1236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47-47AF-9FC0-D11561EB7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798144"/>
        <c:axId val="411799936"/>
      </c:scatterChart>
      <c:valAx>
        <c:axId val="4117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799936"/>
        <c:crosses val="autoZero"/>
        <c:crossBetween val="midCat"/>
      </c:valAx>
      <c:valAx>
        <c:axId val="41179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1798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1.9540192330730444E-3"/>
                  <c:y val="0.15057220072067262"/>
                </c:manualLayout>
              </c:layout>
              <c:numFmt formatCode="General" sourceLinked="0"/>
            </c:trendlineLbl>
          </c:trendline>
          <c:xVal>
            <c:numRef>
              <c:f>[1]Mean!$B$3:$B$21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</c:numCache>
            </c:numRef>
          </c:xVal>
          <c:yVal>
            <c:numRef>
              <c:f>[1]Mean!$W$3:$W$21</c:f>
              <c:numCache>
                <c:formatCode>General</c:formatCode>
                <c:ptCount val="19"/>
                <c:pt idx="0">
                  <c:v>6840</c:v>
                </c:pt>
                <c:pt idx="1">
                  <c:v>5828</c:v>
                </c:pt>
                <c:pt idx="2">
                  <c:v>6089</c:v>
                </c:pt>
                <c:pt idx="3">
                  <c:v>6390</c:v>
                </c:pt>
                <c:pt idx="4">
                  <c:v>5848.5</c:v>
                </c:pt>
                <c:pt idx="5">
                  <c:v>6439</c:v>
                </c:pt>
                <c:pt idx="6">
                  <c:v>5846.5</c:v>
                </c:pt>
                <c:pt idx="7">
                  <c:v>5982</c:v>
                </c:pt>
                <c:pt idx="8">
                  <c:v>6877</c:v>
                </c:pt>
                <c:pt idx="9">
                  <c:v>6049.5</c:v>
                </c:pt>
                <c:pt idx="10">
                  <c:v>5248</c:v>
                </c:pt>
                <c:pt idx="11">
                  <c:v>5577.8</c:v>
                </c:pt>
                <c:pt idx="12">
                  <c:v>4263</c:v>
                </c:pt>
                <c:pt idx="13">
                  <c:v>4831</c:v>
                </c:pt>
                <c:pt idx="14">
                  <c:v>4473</c:v>
                </c:pt>
                <c:pt idx="15">
                  <c:v>5582</c:v>
                </c:pt>
                <c:pt idx="16">
                  <c:v>5054</c:v>
                </c:pt>
                <c:pt idx="17">
                  <c:v>4867</c:v>
                </c:pt>
                <c:pt idx="18">
                  <c:v>5260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6-4464-ACC2-C1E7BD917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33376"/>
        <c:axId val="338539264"/>
      </c:scatterChart>
      <c:valAx>
        <c:axId val="3385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539264"/>
        <c:crosses val="autoZero"/>
        <c:crossBetween val="midCat"/>
      </c:valAx>
      <c:valAx>
        <c:axId val="33853926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3853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1.8551529606517028E-2"/>
                  <c:y val="0.15445849459495528"/>
                </c:manualLayout>
              </c:layout>
              <c:numFmt formatCode="General" sourceLinked="0"/>
            </c:trendlineLbl>
          </c:trendline>
          <c:xVal>
            <c:numRef>
              <c:f>[1]Mean!$B$3:$B$21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</c:numCache>
            </c:numRef>
          </c:xVal>
          <c:yVal>
            <c:numRef>
              <c:f>[1]Mean!$X$3:$X$21</c:f>
              <c:numCache>
                <c:formatCode>General</c:formatCode>
                <c:ptCount val="19"/>
                <c:pt idx="0">
                  <c:v>6928</c:v>
                </c:pt>
                <c:pt idx="1">
                  <c:v>5515</c:v>
                </c:pt>
                <c:pt idx="2">
                  <c:v>6350</c:v>
                </c:pt>
                <c:pt idx="3">
                  <c:v>5430</c:v>
                </c:pt>
                <c:pt idx="4">
                  <c:v>5486.5</c:v>
                </c:pt>
                <c:pt idx="5">
                  <c:v>6289</c:v>
                </c:pt>
                <c:pt idx="6">
                  <c:v>6284</c:v>
                </c:pt>
                <c:pt idx="7">
                  <c:v>5965</c:v>
                </c:pt>
                <c:pt idx="8">
                  <c:v>6282</c:v>
                </c:pt>
                <c:pt idx="9">
                  <c:v>5928</c:v>
                </c:pt>
                <c:pt idx="10">
                  <c:v>5176.3999999999996</c:v>
                </c:pt>
                <c:pt idx="11">
                  <c:v>5246.8</c:v>
                </c:pt>
                <c:pt idx="12">
                  <c:v>4428</c:v>
                </c:pt>
                <c:pt idx="13">
                  <c:v>5354</c:v>
                </c:pt>
                <c:pt idx="14">
                  <c:v>5320</c:v>
                </c:pt>
                <c:pt idx="15">
                  <c:v>4786.5</c:v>
                </c:pt>
                <c:pt idx="16">
                  <c:v>4730</c:v>
                </c:pt>
                <c:pt idx="17">
                  <c:v>4834</c:v>
                </c:pt>
                <c:pt idx="18">
                  <c:v>4885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7C-452D-A233-D68DEAF8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68320"/>
        <c:axId val="338569856"/>
      </c:scatterChart>
      <c:valAx>
        <c:axId val="3385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569856"/>
        <c:crosses val="autoZero"/>
        <c:crossBetween val="midCat"/>
      </c:valAx>
      <c:valAx>
        <c:axId val="33856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8568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[1]Mean!$B$3:$B$20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</c:numCache>
            </c:numRef>
          </c:xVal>
          <c:yVal>
            <c:numRef>
              <c:f>[1]Mean!$E$3:$E$20</c:f>
              <c:numCache>
                <c:formatCode>General</c:formatCode>
                <c:ptCount val="18"/>
                <c:pt idx="2">
                  <c:v>5049.9999999999991</c:v>
                </c:pt>
                <c:pt idx="3">
                  <c:v>4949.9999999999827</c:v>
                </c:pt>
                <c:pt idx="4">
                  <c:v>6149.9999999999891</c:v>
                </c:pt>
                <c:pt idx="5">
                  <c:v>5599.9999999999945</c:v>
                </c:pt>
                <c:pt idx="6">
                  <c:v>4660.0000000000027</c:v>
                </c:pt>
                <c:pt idx="7">
                  <c:v>4833.3333333333376</c:v>
                </c:pt>
                <c:pt idx="8">
                  <c:v>4299.9999999999982</c:v>
                </c:pt>
                <c:pt idx="9">
                  <c:v>4199.9999999999955</c:v>
                </c:pt>
                <c:pt idx="10">
                  <c:v>4166.6666666666652</c:v>
                </c:pt>
                <c:pt idx="11">
                  <c:v>4333.3333333333367</c:v>
                </c:pt>
                <c:pt idx="12">
                  <c:v>3866.6666666666665</c:v>
                </c:pt>
                <c:pt idx="13">
                  <c:v>3733.3333333333335</c:v>
                </c:pt>
                <c:pt idx="14">
                  <c:v>4066.6666666666629</c:v>
                </c:pt>
                <c:pt idx="15">
                  <c:v>3800.0000000000023</c:v>
                </c:pt>
                <c:pt idx="16">
                  <c:v>3466.6666666666683</c:v>
                </c:pt>
                <c:pt idx="17">
                  <c:v>3666.6666666666702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D5-45D0-9C26-174191A5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668928"/>
        <c:axId val="338683008"/>
      </c:scatterChart>
      <c:valAx>
        <c:axId val="3386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683008"/>
        <c:crosses val="autoZero"/>
        <c:crossBetween val="midCat"/>
      </c:valAx>
      <c:valAx>
        <c:axId val="33868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8668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'T5-NLR'!$G$5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'T5-NLR'!$F$6:$F$26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'T5-NLR'!$G$6:$G$26</c:f>
              <c:numCache>
                <c:formatCode>General</c:formatCode>
                <c:ptCount val="21"/>
                <c:pt idx="0">
                  <c:v>7002.666666666667</c:v>
                </c:pt>
                <c:pt idx="1">
                  <c:v>5694</c:v>
                </c:pt>
                <c:pt idx="2">
                  <c:v>6266.333333333333</c:v>
                </c:pt>
                <c:pt idx="3">
                  <c:v>6180.333333333333</c:v>
                </c:pt>
                <c:pt idx="4">
                  <c:v>6380.833333333333</c:v>
                </c:pt>
                <c:pt idx="5">
                  <c:v>6355</c:v>
                </c:pt>
                <c:pt idx="6">
                  <c:v>5876.833333333333</c:v>
                </c:pt>
                <c:pt idx="7">
                  <c:v>6112</c:v>
                </c:pt>
                <c:pt idx="8">
                  <c:v>6412</c:v>
                </c:pt>
                <c:pt idx="9">
                  <c:v>5724.5</c:v>
                </c:pt>
                <c:pt idx="10">
                  <c:v>5284.9333333333334</c:v>
                </c:pt>
                <c:pt idx="11">
                  <c:v>5509.8</c:v>
                </c:pt>
                <c:pt idx="12">
                  <c:v>4618</c:v>
                </c:pt>
                <c:pt idx="13">
                  <c:v>5175.666666666667</c:v>
                </c:pt>
                <c:pt idx="14">
                  <c:v>4810.666666666667</c:v>
                </c:pt>
                <c:pt idx="15">
                  <c:v>5463.5</c:v>
                </c:pt>
                <c:pt idx="16">
                  <c:v>4773.333333333333</c:v>
                </c:pt>
                <c:pt idx="17">
                  <c:v>4931.333333333333</c:v>
                </c:pt>
                <c:pt idx="18">
                  <c:v>5069.333333333333</c:v>
                </c:pt>
                <c:pt idx="19">
                  <c:v>4624.0666666666666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7F-4F6A-A1CB-0352997C31C7}"/>
            </c:ext>
          </c:extLst>
        </c:ser>
        <c:ser>
          <c:idx val="1"/>
          <c:order val="1"/>
          <c:tx>
            <c:strRef>
              <c:f>'T5-NLR'!$H$5</c:f>
              <c:strCache>
                <c:ptCount val="1"/>
                <c:pt idx="0">
                  <c:v>Contois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'T5-NLR'!$F$6:$F$26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'T5-NLR'!$H$6:$H$25</c:f>
              <c:numCache>
                <c:formatCode>General</c:formatCode>
                <c:ptCount val="20"/>
                <c:pt idx="0">
                  <c:v>7007.6004728652697</c:v>
                </c:pt>
                <c:pt idx="1">
                  <c:v>6859.8747397066109</c:v>
                </c:pt>
                <c:pt idx="2">
                  <c:v>6715.3218052070297</c:v>
                </c:pt>
                <c:pt idx="3">
                  <c:v>6504.3577187748042</c:v>
                </c:pt>
                <c:pt idx="4">
                  <c:v>6367.5951285068822</c:v>
                </c:pt>
                <c:pt idx="5">
                  <c:v>6233.9450224484635</c:v>
                </c:pt>
                <c:pt idx="6">
                  <c:v>5976.2658021603847</c:v>
                </c:pt>
                <c:pt idx="7">
                  <c:v>5913.9736106453693</c:v>
                </c:pt>
                <c:pt idx="8">
                  <c:v>5792.2604623361931</c:v>
                </c:pt>
                <c:pt idx="9">
                  <c:v>5618.5884246769301</c:v>
                </c:pt>
                <c:pt idx="10">
                  <c:v>5512.199715828945</c:v>
                </c:pt>
                <c:pt idx="11">
                  <c:v>5424.3660609160397</c:v>
                </c:pt>
                <c:pt idx="12">
                  <c:v>5402.6021438057942</c:v>
                </c:pt>
                <c:pt idx="13">
                  <c:v>5406.0224793246261</c:v>
                </c:pt>
                <c:pt idx="14">
                  <c:v>5405.4962646243193</c:v>
                </c:pt>
                <c:pt idx="15">
                  <c:v>5405.6739275664868</c:v>
                </c:pt>
                <c:pt idx="16">
                  <c:v>5405.6419626471325</c:v>
                </c:pt>
                <c:pt idx="17">
                  <c:v>5405.6340543790457</c:v>
                </c:pt>
                <c:pt idx="18">
                  <c:v>5405.6303797221644</c:v>
                </c:pt>
                <c:pt idx="19">
                  <c:v>5405.6283639522571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7F-4F6A-A1CB-0352997C31C7}"/>
            </c:ext>
          </c:extLst>
        </c:ser>
        <c:ser>
          <c:idx val="2"/>
          <c:order val="2"/>
          <c:tx>
            <c:strRef>
              <c:f>'T5-NLR'!$I$5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'T5-NLR'!$F$6:$F$26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'T5-NLR'!$I$6:$I$26</c:f>
              <c:numCache>
                <c:formatCode>General</c:formatCode>
                <c:ptCount val="21"/>
                <c:pt idx="0">
                  <c:v>6280.9440360275848</c:v>
                </c:pt>
                <c:pt idx="1">
                  <c:v>6233.0326566159392</c:v>
                </c:pt>
                <c:pt idx="2">
                  <c:v>6185.486747787053</c:v>
                </c:pt>
                <c:pt idx="3">
                  <c:v>6114.8470493291125</c:v>
                </c:pt>
                <c:pt idx="4">
                  <c:v>6068.2026666783349</c:v>
                </c:pt>
                <c:pt idx="5">
                  <c:v>6021.9140898907817</c:v>
                </c:pt>
                <c:pt idx="6">
                  <c:v>5930.3935181835413</c:v>
                </c:pt>
                <c:pt idx="7">
                  <c:v>5907.7315381617427</c:v>
                </c:pt>
                <c:pt idx="8">
                  <c:v>5862.6670437858256</c:v>
                </c:pt>
                <c:pt idx="9">
                  <c:v>5795.7140214904502</c:v>
                </c:pt>
                <c:pt idx="10">
                  <c:v>5751.5040027652012</c:v>
                </c:pt>
                <c:pt idx="11">
                  <c:v>5707.6312204440319</c:v>
                </c:pt>
                <c:pt idx="12">
                  <c:v>5642.4487433389704</c:v>
                </c:pt>
                <c:pt idx="13">
                  <c:v>5347.9701182221279</c:v>
                </c:pt>
                <c:pt idx="14">
                  <c:v>5206.5452437932245</c:v>
                </c:pt>
                <c:pt idx="15">
                  <c:v>5068.8602921135307</c:v>
                </c:pt>
                <c:pt idx="16">
                  <c:v>4934.8163624611861</c:v>
                </c:pt>
                <c:pt idx="17">
                  <c:v>4804.3171695033207</c:v>
                </c:pt>
                <c:pt idx="18">
                  <c:v>4677.2689741331669</c:v>
                </c:pt>
                <c:pt idx="19">
                  <c:v>4553.5805161361559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7F-4F6A-A1CB-0352997C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620959"/>
        <c:axId val="553629695"/>
      </c:scatterChart>
      <c:valAx>
        <c:axId val="55362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629695"/>
        <c:crosses val="autoZero"/>
        <c:crossBetween val="midCat"/>
      </c:valAx>
      <c:valAx>
        <c:axId val="553629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620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'T5-NLR'!$AK$5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'T5-NLR'!$AJ$6:$AJ$25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'T5-NLR'!$AK$6:$AK$25</c:f>
              <c:numCache>
                <c:formatCode>General</c:formatCode>
                <c:ptCount val="20"/>
                <c:pt idx="0">
                  <c:v>7002.666666666667</c:v>
                </c:pt>
                <c:pt idx="1">
                  <c:v>5694</c:v>
                </c:pt>
                <c:pt idx="2">
                  <c:v>6266.333333333333</c:v>
                </c:pt>
                <c:pt idx="3">
                  <c:v>6180.333333333333</c:v>
                </c:pt>
                <c:pt idx="4">
                  <c:v>6380.833333333333</c:v>
                </c:pt>
                <c:pt idx="5">
                  <c:v>6355</c:v>
                </c:pt>
                <c:pt idx="6">
                  <c:v>5876.833333333333</c:v>
                </c:pt>
                <c:pt idx="7">
                  <c:v>6112</c:v>
                </c:pt>
                <c:pt idx="8">
                  <c:v>6412</c:v>
                </c:pt>
                <c:pt idx="9">
                  <c:v>5724.5</c:v>
                </c:pt>
                <c:pt idx="10">
                  <c:v>5284.9333333333334</c:v>
                </c:pt>
                <c:pt idx="11">
                  <c:v>5509.8</c:v>
                </c:pt>
                <c:pt idx="12">
                  <c:v>4618</c:v>
                </c:pt>
                <c:pt idx="13">
                  <c:v>5175.666666666667</c:v>
                </c:pt>
                <c:pt idx="14">
                  <c:v>4810.666666666667</c:v>
                </c:pt>
                <c:pt idx="15">
                  <c:v>5463.5</c:v>
                </c:pt>
                <c:pt idx="16">
                  <c:v>4773.333333333333</c:v>
                </c:pt>
                <c:pt idx="17">
                  <c:v>4931.333333333333</c:v>
                </c:pt>
                <c:pt idx="18">
                  <c:v>5069.333333333333</c:v>
                </c:pt>
                <c:pt idx="19">
                  <c:v>4624.0666666666666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AA-47BD-A7C6-82B6AB3862FC}"/>
            </c:ext>
          </c:extLst>
        </c:ser>
        <c:ser>
          <c:idx val="1"/>
          <c:order val="1"/>
          <c:tx>
            <c:strRef>
              <c:f>'T5-NLR'!$AL$5</c:f>
              <c:strCache>
                <c:ptCount val="1"/>
                <c:pt idx="0">
                  <c:v>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'T5-NLR'!$AJ$6:$AJ$25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'T5-NLR'!$AL$6:$AL$25</c:f>
              <c:numCache>
                <c:formatCode>General</c:formatCode>
                <c:ptCount val="20"/>
                <c:pt idx="0">
                  <c:v>7002.6657435410916</c:v>
                </c:pt>
                <c:pt idx="1">
                  <c:v>6439.7754571380783</c:v>
                </c:pt>
                <c:pt idx="2">
                  <c:v>6086.1045435560773</c:v>
                </c:pt>
                <c:pt idx="3">
                  <c:v>5782.7755911033864</c:v>
                </c:pt>
                <c:pt idx="4">
                  <c:v>5668.6579131280541</c:v>
                </c:pt>
                <c:pt idx="5">
                  <c:v>5595.5233397380516</c:v>
                </c:pt>
                <c:pt idx="6">
                  <c:v>5518.3146976594935</c:v>
                </c:pt>
                <c:pt idx="7">
                  <c:v>5507.514936931897</c:v>
                </c:pt>
                <c:pt idx="8">
                  <c:v>5491.8862156161513</c:v>
                </c:pt>
                <c:pt idx="9">
                  <c:v>5478.2074381203884</c:v>
                </c:pt>
                <c:pt idx="10">
                  <c:v>5472.9891318001546</c:v>
                </c:pt>
                <c:pt idx="11">
                  <c:v>5469.6228269874209</c:v>
                </c:pt>
                <c:pt idx="12">
                  <c:v>5466.6738775555868</c:v>
                </c:pt>
                <c:pt idx="13">
                  <c:v>5463.6845652978373</c:v>
                </c:pt>
                <c:pt idx="14">
                  <c:v>5463.5402316326363</c:v>
                </c:pt>
                <c:pt idx="15">
                  <c:v>5463.5090741797876</c:v>
                </c:pt>
                <c:pt idx="16">
                  <c:v>5463.5019839504603</c:v>
                </c:pt>
                <c:pt idx="17">
                  <c:v>5463.500896188878</c:v>
                </c:pt>
                <c:pt idx="18">
                  <c:v>5463.5005657776865</c:v>
                </c:pt>
                <c:pt idx="19">
                  <c:v>5463.5005114231617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AA-47BD-A7C6-82B6AB3862FC}"/>
            </c:ext>
          </c:extLst>
        </c:ser>
        <c:ser>
          <c:idx val="2"/>
          <c:order val="2"/>
          <c:tx>
            <c:strRef>
              <c:f>'T5-NLR'!$AM$5</c:f>
              <c:strCache>
                <c:ptCount val="1"/>
                <c:pt idx="0">
                  <c:v>First Order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'T5-NLR'!$AJ$6:$AJ$25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28</c:v>
                </c:pt>
                <c:pt idx="13">
                  <c:v>42</c:v>
                </c:pt>
                <c:pt idx="14">
                  <c:v>49</c:v>
                </c:pt>
                <c:pt idx="15">
                  <c:v>56</c:v>
                </c:pt>
                <c:pt idx="16">
                  <c:v>63</c:v>
                </c:pt>
                <c:pt idx="17">
                  <c:v>70</c:v>
                </c:pt>
                <c:pt idx="18">
                  <c:v>77</c:v>
                </c:pt>
                <c:pt idx="19">
                  <c:v>84</c:v>
                </c:pt>
              </c:numCache>
            </c:numRef>
          </c:xVal>
          <c:yVal>
            <c:numRef>
              <c:f>'T5-NLR'!$AM$6:$AM$25</c:f>
              <c:numCache>
                <c:formatCode>General</c:formatCode>
                <c:ptCount val="20"/>
                <c:pt idx="0">
                  <c:v>6280.9440360275848</c:v>
                </c:pt>
                <c:pt idx="1">
                  <c:v>6233.0326566159392</c:v>
                </c:pt>
                <c:pt idx="2">
                  <c:v>6185.486747787053</c:v>
                </c:pt>
                <c:pt idx="3">
                  <c:v>6114.8470493291125</c:v>
                </c:pt>
                <c:pt idx="4">
                  <c:v>6068.2026666783349</c:v>
                </c:pt>
                <c:pt idx="5">
                  <c:v>6021.9140898907817</c:v>
                </c:pt>
                <c:pt idx="6">
                  <c:v>5930.3935181835413</c:v>
                </c:pt>
                <c:pt idx="7">
                  <c:v>5907.7315381617427</c:v>
                </c:pt>
                <c:pt idx="8">
                  <c:v>5862.6670437858256</c:v>
                </c:pt>
                <c:pt idx="9">
                  <c:v>5795.7140214904502</c:v>
                </c:pt>
                <c:pt idx="10">
                  <c:v>5751.5040027652012</c:v>
                </c:pt>
                <c:pt idx="11">
                  <c:v>5707.6312204440319</c:v>
                </c:pt>
                <c:pt idx="12">
                  <c:v>5642.4487433389704</c:v>
                </c:pt>
                <c:pt idx="13">
                  <c:v>5347.9701182221279</c:v>
                </c:pt>
                <c:pt idx="14">
                  <c:v>5206.5452437932245</c:v>
                </c:pt>
                <c:pt idx="15">
                  <c:v>5068.8602921135307</c:v>
                </c:pt>
                <c:pt idx="16">
                  <c:v>4934.8163624611861</c:v>
                </c:pt>
                <c:pt idx="17">
                  <c:v>4804.3171695033207</c:v>
                </c:pt>
                <c:pt idx="18">
                  <c:v>4677.2689741331669</c:v>
                </c:pt>
                <c:pt idx="19">
                  <c:v>4553.5805161361559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AA-47BD-A7C6-82B6AB38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745151"/>
        <c:axId val="808743487"/>
      </c:scatterChart>
      <c:valAx>
        <c:axId val="80874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43487"/>
        <c:crosses val="autoZero"/>
        <c:crossBetween val="midCat"/>
      </c:valAx>
      <c:valAx>
        <c:axId val="808743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45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164194</xdr:colOff>
      <xdr:row>79</xdr:row>
      <xdr:rowOff>7598</xdr:rowOff>
    </xdr:from>
    <xdr:to>
      <xdr:col>29</xdr:col>
      <xdr:colOff>304800</xdr:colOff>
      <xdr:row>111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60325</xdr:colOff>
      <xdr:row>59</xdr:row>
      <xdr:rowOff>146050</xdr:rowOff>
    </xdr:from>
    <xdr:to>
      <xdr:col>22</xdr:col>
      <xdr:colOff>536575</xdr:colOff>
      <xdr:row>75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155575</xdr:colOff>
      <xdr:row>59</xdr:row>
      <xdr:rowOff>82550</xdr:rowOff>
    </xdr:from>
    <xdr:to>
      <xdr:col>29</xdr:col>
      <xdr:colOff>631825</xdr:colOff>
      <xdr:row>75</xdr:row>
      <xdr:rowOff>31750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164194</xdr:colOff>
      <xdr:row>79</xdr:row>
      <xdr:rowOff>7598</xdr:rowOff>
    </xdr:from>
    <xdr:to>
      <xdr:col>29</xdr:col>
      <xdr:colOff>304800</xdr:colOff>
      <xdr:row>111</xdr:row>
      <xdr:rowOff>66675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1D8C7F6-DA5B-4521-A168-837229C2D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60325</xdr:colOff>
      <xdr:row>59</xdr:row>
      <xdr:rowOff>146050</xdr:rowOff>
    </xdr:from>
    <xdr:to>
      <xdr:col>22</xdr:col>
      <xdr:colOff>536575</xdr:colOff>
      <xdr:row>75</xdr:row>
      <xdr:rowOff>95250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0D2BF30-D169-44E0-A897-97F1F57A3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155575</xdr:colOff>
      <xdr:row>59</xdr:row>
      <xdr:rowOff>82550</xdr:rowOff>
    </xdr:from>
    <xdr:to>
      <xdr:col>29</xdr:col>
      <xdr:colOff>631825</xdr:colOff>
      <xdr:row>75</xdr:row>
      <xdr:rowOff>31750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DD0AF3A-28B4-41BF-902F-04C2FC41A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269875</xdr:colOff>
      <xdr:row>71</xdr:row>
      <xdr:rowOff>0</xdr:rowOff>
    </xdr:from>
    <xdr:to>
      <xdr:col>11</xdr:col>
      <xdr:colOff>63500</xdr:colOff>
      <xdr:row>86</xdr:row>
      <xdr:rowOff>123825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71F0B0D5-FFA2-425F-8428-BC847348F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88003</xdr:colOff>
      <xdr:row>29</xdr:row>
      <xdr:rowOff>136353</xdr:rowOff>
    </xdr:from>
    <xdr:to>
      <xdr:col>10</xdr:col>
      <xdr:colOff>535264</xdr:colOff>
      <xdr:row>44</xdr:row>
      <xdr:rowOff>146292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0DB260-D7D2-32DA-0533-4615F412A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440531</xdr:colOff>
      <xdr:row>27</xdr:row>
      <xdr:rowOff>80963</xdr:rowOff>
    </xdr:from>
    <xdr:to>
      <xdr:col>38</xdr:col>
      <xdr:colOff>178594</xdr:colOff>
      <xdr:row>42</xdr:row>
      <xdr:rowOff>145256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309B23-B10C-196C-98EA-ED21E53EF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108087</xdr:colOff>
      <xdr:row>20</xdr:row>
      <xdr:rowOff>828</xdr:rowOff>
    </xdr:from>
    <xdr:to>
      <xdr:col>8</xdr:col>
      <xdr:colOff>553692</xdr:colOff>
      <xdr:row>35</xdr:row>
      <xdr:rowOff>10767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678D7-D80D-44EC-A85C-4F4CF0097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214312</xdr:colOff>
      <xdr:row>3</xdr:row>
      <xdr:rowOff>47625</xdr:rowOff>
    </xdr:from>
    <xdr:to>
      <xdr:col>55</xdr:col>
      <xdr:colOff>671512</xdr:colOff>
      <xdr:row>18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D5D47C-4CF5-4839-A3B5-1D3B18CE0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390525</xdr:colOff>
      <xdr:row>52</xdr:row>
      <xdr:rowOff>76200</xdr:rowOff>
    </xdr:from>
    <xdr:to>
      <xdr:col>22</xdr:col>
      <xdr:colOff>85725</xdr:colOff>
      <xdr:row>66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368DDC-5EF7-4586-9BAF-4CF7F0FF8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60</xdr:row>
      <xdr:rowOff>171450</xdr:rowOff>
    </xdr:from>
    <xdr:to>
      <xdr:col>18</xdr:col>
      <xdr:colOff>95250</xdr:colOff>
      <xdr:row>75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EABB6C-0DA6-46DB-A5EE-0DA7CC7BB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473075</xdr:colOff>
      <xdr:row>39</xdr:row>
      <xdr:rowOff>25400</xdr:rowOff>
    </xdr:from>
    <xdr:to>
      <xdr:col>9</xdr:col>
      <xdr:colOff>174625</xdr:colOff>
      <xdr:row>53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A73CE6-37FC-4E72-9391-B574590C2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40</xdr:row>
      <xdr:rowOff>123825</xdr:rowOff>
    </xdr:from>
    <xdr:to>
      <xdr:col>18</xdr:col>
      <xdr:colOff>495300</xdr:colOff>
      <xdr:row>55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49EAD3-5CAA-4D60-8EE7-865DE51AC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171450</xdr:colOff>
      <xdr:row>54</xdr:row>
      <xdr:rowOff>66675</xdr:rowOff>
    </xdr:from>
    <xdr:to>
      <xdr:col>21</xdr:col>
      <xdr:colOff>476250</xdr:colOff>
      <xdr:row>68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C16C28-215B-4D66-AD75-3CFCC2836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64</xdr:row>
      <xdr:rowOff>133350</xdr:rowOff>
    </xdr:from>
    <xdr:to>
      <xdr:col>20</xdr:col>
      <xdr:colOff>304800</xdr:colOff>
      <xdr:row>79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F1634-404A-4BE1-A4BF-8AC594547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rature/Hydro-T5-190513/Hydro-T5-1905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rature/Hydro-T15-190812/Hydro-T15-1908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rature/Hydro-T37-190722%20and%20190729/Hydro-T37-1907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rature/Hydro-T7-220222/Hydro-T7-2202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rature/Hydro-T20-220222/Hydro-T20-2202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lysis%20-%20Mixing/Raw%20Data/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-1"/>
      <sheetName val="T5-2"/>
      <sheetName val="T5-3"/>
      <sheetName val="Mean"/>
      <sheetName val="Kh calc. t70"/>
      <sheetName val="kh calc t84 "/>
      <sheetName val="kh calc t28"/>
      <sheetName val="Sheet1"/>
      <sheetName val="NLR"/>
    </sheetNames>
    <sheetDataSet>
      <sheetData sheetId="0">
        <row r="7">
          <cell r="L7">
            <v>3799.9999999999982</v>
          </cell>
        </row>
        <row r="8">
          <cell r="L8">
            <v>4950.00000000001</v>
          </cell>
        </row>
        <row r="9">
          <cell r="L9">
            <v>4849.9999999999936</v>
          </cell>
        </row>
        <row r="10">
          <cell r="C10">
            <v>9</v>
          </cell>
          <cell r="H10">
            <v>6149.9999999999891</v>
          </cell>
          <cell r="L10">
            <v>5599.9999999999945</v>
          </cell>
          <cell r="O10">
            <v>5970</v>
          </cell>
          <cell r="R10">
            <v>121.5</v>
          </cell>
        </row>
        <row r="11">
          <cell r="C11">
            <v>11</v>
          </cell>
          <cell r="H11">
            <v>5599.9999999999945</v>
          </cell>
          <cell r="L11">
            <v>5299.9999999999991</v>
          </cell>
          <cell r="O11">
            <v>6615</v>
          </cell>
          <cell r="R11">
            <v>176</v>
          </cell>
        </row>
        <row r="12">
          <cell r="C12">
            <v>15</v>
          </cell>
          <cell r="H12">
            <v>4139.9999999999991</v>
          </cell>
          <cell r="L12">
            <v>3839.9999999999991</v>
          </cell>
          <cell r="O12">
            <v>6160</v>
          </cell>
          <cell r="R12">
            <v>313.5</v>
          </cell>
        </row>
        <row r="13">
          <cell r="C13">
            <v>16</v>
          </cell>
          <cell r="H13">
            <v>4966.6666666666652</v>
          </cell>
          <cell r="L13">
            <v>4333.3333333333276</v>
          </cell>
          <cell r="O13">
            <v>6290</v>
          </cell>
          <cell r="R13">
            <v>308</v>
          </cell>
        </row>
        <row r="14">
          <cell r="C14">
            <v>18</v>
          </cell>
          <cell r="H14">
            <v>4333.3333333333276</v>
          </cell>
          <cell r="L14">
            <v>3966.6666666666642</v>
          </cell>
          <cell r="O14">
            <v>7350</v>
          </cell>
          <cell r="R14">
            <v>473</v>
          </cell>
        </row>
        <row r="15">
          <cell r="C15">
            <v>21</v>
          </cell>
          <cell r="H15">
            <v>4300.0000000000027</v>
          </cell>
          <cell r="L15">
            <v>3699.9999999999991</v>
          </cell>
          <cell r="O15">
            <v>6540</v>
          </cell>
          <cell r="R15">
            <v>490.5</v>
          </cell>
        </row>
        <row r="16">
          <cell r="C16">
            <v>23</v>
          </cell>
          <cell r="H16">
            <v>3666.6666666666656</v>
          </cell>
          <cell r="L16">
            <v>2966.6666666666638</v>
          </cell>
          <cell r="O16">
            <v>5860</v>
          </cell>
          <cell r="R16">
            <v>612</v>
          </cell>
        </row>
        <row r="17">
          <cell r="C17">
            <v>25</v>
          </cell>
          <cell r="H17">
            <v>4233.3333333333294</v>
          </cell>
          <cell r="L17">
            <v>3666.6666666666606</v>
          </cell>
          <cell r="O17">
            <v>6215</v>
          </cell>
          <cell r="R17">
            <v>637.19999999999993</v>
          </cell>
        </row>
        <row r="18">
          <cell r="C18">
            <v>28</v>
          </cell>
          <cell r="H18">
            <v>3600.0000000000014</v>
          </cell>
          <cell r="L18">
            <v>3033.3333333333326</v>
          </cell>
          <cell r="O18">
            <v>5145</v>
          </cell>
          <cell r="R18">
            <v>882</v>
          </cell>
        </row>
        <row r="19">
          <cell r="C19">
            <v>42</v>
          </cell>
          <cell r="H19">
            <v>3499.9999999999982</v>
          </cell>
          <cell r="L19">
            <v>3100.0000000000009</v>
          </cell>
          <cell r="O19">
            <v>5775</v>
          </cell>
          <cell r="R19">
            <v>944</v>
          </cell>
        </row>
        <row r="20">
          <cell r="C20">
            <v>49</v>
          </cell>
          <cell r="H20">
            <v>3566.6666666666624</v>
          </cell>
          <cell r="L20">
            <v>3133.3333333333303</v>
          </cell>
          <cell r="O20">
            <v>5470</v>
          </cell>
          <cell r="R20">
            <v>997</v>
          </cell>
        </row>
        <row r="21">
          <cell r="C21">
            <v>56</v>
          </cell>
          <cell r="H21">
            <v>3966.6666666666601</v>
          </cell>
          <cell r="L21">
            <v>3433.3333333333298</v>
          </cell>
          <cell r="O21">
            <v>6230</v>
          </cell>
          <cell r="R21">
            <v>648</v>
          </cell>
          <cell r="AD21">
            <v>5.78</v>
          </cell>
        </row>
        <row r="22">
          <cell r="C22">
            <v>63</v>
          </cell>
          <cell r="H22">
            <v>3633.3333333333358</v>
          </cell>
          <cell r="L22">
            <v>3000.0000000000023</v>
          </cell>
          <cell r="O22">
            <v>6075</v>
          </cell>
          <cell r="R22">
            <v>1021</v>
          </cell>
        </row>
        <row r="23">
          <cell r="C23">
            <v>70</v>
          </cell>
          <cell r="H23">
            <v>3699.999999999995</v>
          </cell>
          <cell r="L23">
            <v>3299.9999999999973</v>
          </cell>
          <cell r="O23">
            <v>5910</v>
          </cell>
          <cell r="R23">
            <v>1043</v>
          </cell>
        </row>
        <row r="24">
          <cell r="C24">
            <v>77</v>
          </cell>
          <cell r="H24">
            <v>3533.3333333333326</v>
          </cell>
          <cell r="L24">
            <v>3133.3333333333303</v>
          </cell>
          <cell r="O24">
            <v>6200</v>
          </cell>
          <cell r="R24">
            <v>940</v>
          </cell>
        </row>
        <row r="25">
          <cell r="C25">
            <v>84</v>
          </cell>
          <cell r="H25">
            <v>4266.6666666666688</v>
          </cell>
          <cell r="L25">
            <v>4000.0000000000036</v>
          </cell>
          <cell r="O25">
            <v>5730</v>
          </cell>
          <cell r="R25">
            <v>981.59999999999991</v>
          </cell>
        </row>
      </sheetData>
      <sheetData sheetId="1">
        <row r="7">
          <cell r="K7">
            <v>3899.9999999999868</v>
          </cell>
        </row>
        <row r="8">
          <cell r="K8">
            <v>4449.9999999999818</v>
          </cell>
        </row>
        <row r="9">
          <cell r="K9">
            <v>3900.0000000000146</v>
          </cell>
        </row>
        <row r="10">
          <cell r="G10">
            <v>4200.0000000000091</v>
          </cell>
          <cell r="K10">
            <v>3350.0000000000196</v>
          </cell>
          <cell r="N10">
            <v>5695</v>
          </cell>
          <cell r="Q10">
            <v>208.5</v>
          </cell>
        </row>
        <row r="11">
          <cell r="G11">
            <v>2549.9999999999968</v>
          </cell>
          <cell r="K11">
            <v>2150.0000000000127</v>
          </cell>
          <cell r="N11">
            <v>6395</v>
          </cell>
          <cell r="Q11">
            <v>106</v>
          </cell>
        </row>
        <row r="12">
          <cell r="G12">
            <v>4259.9999999999973</v>
          </cell>
          <cell r="K12">
            <v>3899.9999999999923</v>
          </cell>
          <cell r="N12">
            <v>6500</v>
          </cell>
          <cell r="Q12">
            <v>216</v>
          </cell>
        </row>
        <row r="13">
          <cell r="G13">
            <v>4600.0000000000018</v>
          </cell>
          <cell r="K13">
            <v>4133.3333333333312</v>
          </cell>
          <cell r="N13">
            <v>6185</v>
          </cell>
          <cell r="Q13">
            <v>220</v>
          </cell>
        </row>
        <row r="14">
          <cell r="G14">
            <v>4100.0000000000018</v>
          </cell>
          <cell r="K14">
            <v>3500.0000000000027</v>
          </cell>
          <cell r="N14">
            <v>6645</v>
          </cell>
          <cell r="Q14">
            <v>363</v>
          </cell>
        </row>
        <row r="15">
          <cell r="G15">
            <v>4066.6666666666724</v>
          </cell>
          <cell r="K15">
            <v>3699.9999999999991</v>
          </cell>
          <cell r="N15">
            <v>6435</v>
          </cell>
          <cell r="Q15">
            <v>507</v>
          </cell>
        </row>
        <row r="16">
          <cell r="G16">
            <v>3866.6666666666615</v>
          </cell>
          <cell r="K16">
            <v>3366.6666666666661</v>
          </cell>
          <cell r="N16">
            <v>5690</v>
          </cell>
          <cell r="Q16">
            <v>513.6</v>
          </cell>
        </row>
        <row r="17">
          <cell r="G17">
            <v>3833.3333333333321</v>
          </cell>
          <cell r="K17">
            <v>3399.9999999999955</v>
          </cell>
          <cell r="N17">
            <v>5800</v>
          </cell>
          <cell r="Q17">
            <v>553.19999999999993</v>
          </cell>
        </row>
        <row r="18">
          <cell r="G18">
            <v>3366.6666666666661</v>
          </cell>
          <cell r="K18">
            <v>3000.0000000000023</v>
          </cell>
          <cell r="N18">
            <v>5320</v>
          </cell>
          <cell r="Q18">
            <v>892</v>
          </cell>
        </row>
        <row r="19">
          <cell r="G19">
            <v>3633.3333333333358</v>
          </cell>
          <cell r="K19">
            <v>3033.3333333333367</v>
          </cell>
          <cell r="N19">
            <v>5865</v>
          </cell>
          <cell r="Q19">
            <v>511</v>
          </cell>
        </row>
        <row r="20">
          <cell r="G20">
            <v>3566.6666666666715</v>
          </cell>
          <cell r="K20">
            <v>3233.3333333333376</v>
          </cell>
          <cell r="N20">
            <v>6085</v>
          </cell>
          <cell r="Q20">
            <v>765</v>
          </cell>
        </row>
        <row r="21">
          <cell r="G21">
            <v>3533.3333333333326</v>
          </cell>
          <cell r="K21">
            <v>3333.3333333333267</v>
          </cell>
          <cell r="N21">
            <v>5325</v>
          </cell>
          <cell r="Q21">
            <v>538.5</v>
          </cell>
          <cell r="AC21">
            <v>6.07</v>
          </cell>
        </row>
        <row r="22">
          <cell r="G22">
            <v>3500.0000000000027</v>
          </cell>
          <cell r="K22">
            <v>2966.6666666666683</v>
          </cell>
          <cell r="N22">
            <v>5410</v>
          </cell>
          <cell r="Q22">
            <v>680</v>
          </cell>
        </row>
        <row r="23">
          <cell r="G23">
            <v>3400.000000000005</v>
          </cell>
          <cell r="K23">
            <v>3199.9999999999991</v>
          </cell>
          <cell r="N23">
            <v>5365</v>
          </cell>
          <cell r="Q23">
            <v>531</v>
          </cell>
        </row>
        <row r="24">
          <cell r="G24">
            <v>3666.6666666666656</v>
          </cell>
          <cell r="K24">
            <v>3466.6666666666642</v>
          </cell>
          <cell r="N24">
            <v>5285</v>
          </cell>
          <cell r="Q24">
            <v>400</v>
          </cell>
        </row>
        <row r="25">
          <cell r="G25">
            <v>2966.6666666666638</v>
          </cell>
          <cell r="K25">
            <v>2299.9999999999964</v>
          </cell>
          <cell r="N25">
            <v>4865</v>
          </cell>
          <cell r="Q25">
            <v>331.2</v>
          </cell>
        </row>
      </sheetData>
      <sheetData sheetId="2">
        <row r="8">
          <cell r="K8">
            <v>4649.9999999999882</v>
          </cell>
        </row>
        <row r="9">
          <cell r="K9">
            <v>4799.9999999999991</v>
          </cell>
        </row>
        <row r="10">
          <cell r="K10">
            <v>3750.0000000000036</v>
          </cell>
          <cell r="N10">
            <v>8085</v>
          </cell>
          <cell r="Q10">
            <v>277.5</v>
          </cell>
        </row>
        <row r="11">
          <cell r="K11">
            <v>5650.0000000000164</v>
          </cell>
          <cell r="N11">
            <v>6425</v>
          </cell>
          <cell r="Q11">
            <v>88</v>
          </cell>
        </row>
        <row r="12">
          <cell r="G12">
            <v>4660.0000000000027</v>
          </cell>
          <cell r="K12">
            <v>4139.9999999999991</v>
          </cell>
          <cell r="N12">
            <v>5860</v>
          </cell>
          <cell r="Q12">
            <v>360</v>
          </cell>
        </row>
        <row r="13">
          <cell r="G13">
            <v>4833.3333333333376</v>
          </cell>
          <cell r="K13">
            <v>4333.3333333333367</v>
          </cell>
          <cell r="N13">
            <v>6785</v>
          </cell>
          <cell r="Q13">
            <v>396</v>
          </cell>
        </row>
        <row r="14">
          <cell r="G14">
            <v>4299.9999999999982</v>
          </cell>
          <cell r="K14">
            <v>3833.3333333333367</v>
          </cell>
          <cell r="N14">
            <v>6615</v>
          </cell>
          <cell r="Q14">
            <v>538</v>
          </cell>
        </row>
        <row r="15">
          <cell r="G15">
            <v>4199.9999999999955</v>
          </cell>
          <cell r="K15">
            <v>3766.6666666666633</v>
          </cell>
          <cell r="N15">
            <v>5850</v>
          </cell>
          <cell r="Q15">
            <v>654</v>
          </cell>
        </row>
        <row r="16">
          <cell r="G16">
            <v>4166.6666666666652</v>
          </cell>
          <cell r="K16">
            <v>3633.3333333333358</v>
          </cell>
          <cell r="N16">
            <v>6130</v>
          </cell>
          <cell r="Q16">
            <v>699.6</v>
          </cell>
        </row>
        <row r="17">
          <cell r="G17">
            <v>4333.3333333333367</v>
          </cell>
          <cell r="K17">
            <v>3900.000000000005</v>
          </cell>
          <cell r="N17">
            <v>6420</v>
          </cell>
          <cell r="Q17">
            <v>715.19999999999993</v>
          </cell>
        </row>
        <row r="18">
          <cell r="G18">
            <v>3866.6666666666665</v>
          </cell>
          <cell r="K18">
            <v>3299.9999999999973</v>
          </cell>
          <cell r="N18">
            <v>6130</v>
          </cell>
          <cell r="Q18">
            <v>967</v>
          </cell>
        </row>
        <row r="19">
          <cell r="G19">
            <v>3733.3333333333335</v>
          </cell>
          <cell r="K19">
            <v>3200.0000000000041</v>
          </cell>
          <cell r="N19">
            <v>6325</v>
          </cell>
          <cell r="Q19">
            <v>983</v>
          </cell>
        </row>
        <row r="20">
          <cell r="G20">
            <v>4066.6666666666629</v>
          </cell>
          <cell r="K20">
            <v>3666.6666666666606</v>
          </cell>
          <cell r="N20">
            <v>5770</v>
          </cell>
          <cell r="Q20">
            <v>1131</v>
          </cell>
        </row>
        <row r="21">
          <cell r="G21">
            <v>3800.0000000000023</v>
          </cell>
          <cell r="K21">
            <v>3533.3333333333326</v>
          </cell>
          <cell r="N21">
            <v>6825</v>
          </cell>
          <cell r="Q21">
            <v>803</v>
          </cell>
          <cell r="AC21">
            <v>5.58</v>
          </cell>
        </row>
        <row r="22">
          <cell r="G22">
            <v>3466.6666666666683</v>
          </cell>
          <cell r="K22">
            <v>3066.6666666666711</v>
          </cell>
          <cell r="N22">
            <v>5645</v>
          </cell>
          <cell r="Q22">
            <v>1109</v>
          </cell>
        </row>
        <row r="23">
          <cell r="G23">
            <v>3666.6666666666702</v>
          </cell>
          <cell r="K23">
            <v>3233.3333333333376</v>
          </cell>
          <cell r="N23">
            <v>6155</v>
          </cell>
          <cell r="Q23">
            <v>1062</v>
          </cell>
        </row>
        <row r="24">
          <cell r="G24">
            <v>3366.6666666666661</v>
          </cell>
          <cell r="K24">
            <v>3033.3333333333326</v>
          </cell>
          <cell r="N24">
            <v>6260</v>
          </cell>
          <cell r="Q24">
            <v>1197</v>
          </cell>
        </row>
        <row r="25">
          <cell r="G25">
            <v>3299.9999999999973</v>
          </cell>
          <cell r="K25">
            <v>3166.6666666666647</v>
          </cell>
          <cell r="N25">
            <v>5880</v>
          </cell>
          <cell r="Q25">
            <v>1290</v>
          </cell>
        </row>
      </sheetData>
      <sheetData sheetId="3">
        <row r="2">
          <cell r="C2" t="str">
            <v>T5-1</v>
          </cell>
          <cell r="D2" t="str">
            <v>T5-2</v>
          </cell>
          <cell r="E2" t="str">
            <v>T5-3</v>
          </cell>
          <cell r="F2" t="str">
            <v>Mean</v>
          </cell>
          <cell r="M2" t="str">
            <v>T5-1</v>
          </cell>
          <cell r="N2" t="str">
            <v>T5-2</v>
          </cell>
          <cell r="O2" t="str">
            <v>T5-3</v>
          </cell>
          <cell r="R2" t="str">
            <v>T5-1</v>
          </cell>
          <cell r="S2" t="str">
            <v>T5-2</v>
          </cell>
          <cell r="T2" t="str">
            <v>T5-3</v>
          </cell>
          <cell r="W2" t="str">
            <v>T5-1</v>
          </cell>
          <cell r="X2" t="str">
            <v>T5-2</v>
          </cell>
          <cell r="Y2" t="str">
            <v>T5-3</v>
          </cell>
          <cell r="Z2" t="str">
            <v>Mean</v>
          </cell>
          <cell r="AB2" t="str">
            <v>T5-1</v>
          </cell>
          <cell r="AC2" t="str">
            <v>T5-2</v>
          </cell>
          <cell r="AD2" t="str">
            <v>T5-3</v>
          </cell>
          <cell r="AE2" t="str">
            <v>Mean</v>
          </cell>
          <cell r="AG2" t="str">
            <v>T5-1</v>
          </cell>
          <cell r="AH2" t="str">
            <v>T5-2</v>
          </cell>
          <cell r="AI2" t="str">
            <v>T5-3</v>
          </cell>
          <cell r="AJ2" t="str">
            <v>Mean</v>
          </cell>
          <cell r="AL2" t="str">
            <v>T5-1</v>
          </cell>
          <cell r="AM2" t="str">
            <v>T5-2</v>
          </cell>
          <cell r="AN2" t="str">
            <v>T5-3</v>
          </cell>
          <cell r="AO2" t="str">
            <v>Mean</v>
          </cell>
          <cell r="BF2" t="str">
            <v>Mean</v>
          </cell>
          <cell r="BM2" t="str">
            <v>Mean</v>
          </cell>
          <cell r="BO2" t="str">
            <v>T5-1</v>
          </cell>
          <cell r="BP2" t="str">
            <v>T5-2</v>
          </cell>
          <cell r="BQ2" t="str">
            <v>T5-3</v>
          </cell>
          <cell r="BR2" t="str">
            <v>Mean</v>
          </cell>
        </row>
        <row r="3">
          <cell r="B3">
            <v>0</v>
          </cell>
          <cell r="M3">
            <v>7020</v>
          </cell>
          <cell r="N3">
            <v>7110</v>
          </cell>
          <cell r="O3">
            <v>7420</v>
          </cell>
          <cell r="P3">
            <v>7183.333333333333</v>
          </cell>
          <cell r="Q3">
            <v>209.8412098071619</v>
          </cell>
          <cell r="R3">
            <v>180</v>
          </cell>
          <cell r="S3">
            <v>182</v>
          </cell>
          <cell r="T3">
            <v>180</v>
          </cell>
          <cell r="U3">
            <v>180.66666666666666</v>
          </cell>
          <cell r="V3">
            <v>1.1547005383792515</v>
          </cell>
          <cell r="W3">
            <v>6840</v>
          </cell>
          <cell r="X3">
            <v>6928</v>
          </cell>
          <cell r="Y3">
            <v>7240</v>
          </cell>
          <cell r="Z3">
            <v>7002.666666666667</v>
          </cell>
          <cell r="AA3">
            <v>210.19356158867791</v>
          </cell>
          <cell r="AB3">
            <v>0</v>
          </cell>
          <cell r="AC3">
            <v>0</v>
          </cell>
          <cell r="AD3">
            <v>0</v>
          </cell>
          <cell r="AL3">
            <v>7.18</v>
          </cell>
          <cell r="AM3">
            <v>6.79</v>
          </cell>
          <cell r="AN3">
            <v>7.2</v>
          </cell>
          <cell r="AO3">
            <v>7.0566666666666658</v>
          </cell>
          <cell r="BB3">
            <v>0</v>
          </cell>
          <cell r="BF3">
            <v>69.533333333333346</v>
          </cell>
          <cell r="BG3">
            <v>0.87368949480541203</v>
          </cell>
          <cell r="BI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</row>
        <row r="4">
          <cell r="B4">
            <v>2</v>
          </cell>
          <cell r="C4">
            <v>4150.0000000000146</v>
          </cell>
          <cell r="D4">
            <v>4199.9999999999818</v>
          </cell>
          <cell r="F4">
            <v>4174.9999999999982</v>
          </cell>
          <cell r="G4">
            <v>35.355339059304221</v>
          </cell>
          <cell r="H4">
            <v>3799.9999999999982</v>
          </cell>
          <cell r="I4">
            <v>3899.9999999999868</v>
          </cell>
          <cell r="K4">
            <v>3849.9999999999927</v>
          </cell>
          <cell r="L4">
            <v>70.710678118646712</v>
          </cell>
          <cell r="M4">
            <v>6040</v>
          </cell>
          <cell r="N4">
            <v>5725</v>
          </cell>
          <cell r="O4">
            <v>5945</v>
          </cell>
          <cell r="P4">
            <v>5903.333333333333</v>
          </cell>
          <cell r="Q4">
            <v>161.58073317488487</v>
          </cell>
          <cell r="R4">
            <v>212</v>
          </cell>
          <cell r="S4">
            <v>210</v>
          </cell>
          <cell r="T4">
            <v>206</v>
          </cell>
          <cell r="U4">
            <v>209.33333333333334</v>
          </cell>
          <cell r="V4">
            <v>3.0550504633038935</v>
          </cell>
          <cell r="W4">
            <v>5828</v>
          </cell>
          <cell r="X4">
            <v>5515</v>
          </cell>
          <cell r="Y4">
            <v>5739</v>
          </cell>
          <cell r="Z4">
            <v>5694</v>
          </cell>
          <cell r="AA4">
            <v>161.27926091100491</v>
          </cell>
          <cell r="AB4">
            <v>1.4554216867469829</v>
          </cell>
          <cell r="AC4">
            <v>1.3630952380952439</v>
          </cell>
          <cell r="AE4">
            <v>1.4092584624211133</v>
          </cell>
          <cell r="AG4">
            <v>0.91566265060240604</v>
          </cell>
          <cell r="AH4">
            <v>0.92857142857142949</v>
          </cell>
          <cell r="AJ4">
            <v>0.92211703958691782</v>
          </cell>
          <cell r="AK4">
            <v>9.1278844387279942E-3</v>
          </cell>
          <cell r="BB4">
            <v>9</v>
          </cell>
          <cell r="BF4">
            <v>69.833333333333329</v>
          </cell>
          <cell r="BG4">
            <v>0.32145502536643494</v>
          </cell>
          <cell r="BI4">
            <v>2</v>
          </cell>
          <cell r="BO4">
            <v>14.7953216374269</v>
          </cell>
          <cell r="BP4">
            <v>20.395496535796767</v>
          </cell>
          <cell r="BQ4">
            <v>20.732044198895029</v>
          </cell>
          <cell r="BR4">
            <v>18.688118811881189</v>
          </cell>
        </row>
        <row r="5">
          <cell r="B5">
            <v>4</v>
          </cell>
          <cell r="C5">
            <v>5350.0000000000209</v>
          </cell>
          <cell r="D5">
            <v>4999.9999999999764</v>
          </cell>
          <cell r="E5">
            <v>5049.9999999999991</v>
          </cell>
          <cell r="F5">
            <v>5133.3333333333321</v>
          </cell>
          <cell r="G5">
            <v>189.29694486002964</v>
          </cell>
          <cell r="H5">
            <v>4950.00000000001</v>
          </cell>
          <cell r="I5">
            <v>4449.9999999999818</v>
          </cell>
          <cell r="J5">
            <v>4649.9999999999882</v>
          </cell>
          <cell r="K5">
            <v>4683.3333333333276</v>
          </cell>
          <cell r="L5">
            <v>251.66114784237286</v>
          </cell>
          <cell r="M5">
            <v>6140</v>
          </cell>
          <cell r="N5">
            <v>6455</v>
          </cell>
          <cell r="O5">
            <v>6480</v>
          </cell>
          <cell r="P5">
            <v>6358.333333333333</v>
          </cell>
          <cell r="Q5">
            <v>189.4949427645322</v>
          </cell>
          <cell r="R5">
            <v>51</v>
          </cell>
          <cell r="S5">
            <v>105</v>
          </cell>
          <cell r="T5">
            <v>120</v>
          </cell>
          <cell r="U5">
            <v>92</v>
          </cell>
          <cell r="V5">
            <v>36.290494623248108</v>
          </cell>
          <cell r="W5">
            <v>6089</v>
          </cell>
          <cell r="X5">
            <v>6350</v>
          </cell>
          <cell r="Y5">
            <v>6360</v>
          </cell>
          <cell r="Z5">
            <v>6266.333333333333</v>
          </cell>
          <cell r="AA5">
            <v>153.65654341203089</v>
          </cell>
          <cell r="AB5">
            <v>1.1476635514018647</v>
          </cell>
          <cell r="AC5">
            <v>1.2910000000000061</v>
          </cell>
          <cell r="AD5">
            <v>1.2831683168316834</v>
          </cell>
          <cell r="AE5">
            <v>1.2406106227445182</v>
          </cell>
          <cell r="AG5">
            <v>0.9252336448598113</v>
          </cell>
          <cell r="AH5">
            <v>0.89000000000000057</v>
          </cell>
          <cell r="AI5">
            <v>0.92079207920791861</v>
          </cell>
          <cell r="AJ5">
            <v>0.91200857468924346</v>
          </cell>
          <cell r="AK5">
            <v>1.9188926396466438E-2</v>
          </cell>
          <cell r="BB5">
            <v>18</v>
          </cell>
          <cell r="BF5">
            <v>73.3</v>
          </cell>
          <cell r="BG5">
            <v>0.70710678118654757</v>
          </cell>
          <cell r="BI5">
            <v>4</v>
          </cell>
          <cell r="BM5">
            <v>0</v>
          </cell>
          <cell r="BO5">
            <v>10.979532163742691</v>
          </cell>
          <cell r="BP5">
            <v>8.3429561200923796</v>
          </cell>
          <cell r="BQ5">
            <v>12.154696132596685</v>
          </cell>
          <cell r="BR5">
            <v>10.515041888804273</v>
          </cell>
        </row>
        <row r="6">
          <cell r="B6">
            <v>7</v>
          </cell>
          <cell r="C6">
            <v>5000.0000000000045</v>
          </cell>
          <cell r="D6">
            <v>4150.0000000000146</v>
          </cell>
          <cell r="E6">
            <v>4949.9999999999827</v>
          </cell>
          <cell r="F6">
            <v>4700</v>
          </cell>
          <cell r="G6">
            <v>476.96960070846137</v>
          </cell>
          <cell r="H6">
            <v>4849.9999999999936</v>
          </cell>
          <cell r="I6">
            <v>3900.0000000000146</v>
          </cell>
          <cell r="J6">
            <v>4799.9999999999991</v>
          </cell>
          <cell r="K6">
            <v>4516.6666666666688</v>
          </cell>
          <cell r="L6">
            <v>534.63383107817072</v>
          </cell>
          <cell r="M6">
            <v>6430</v>
          </cell>
          <cell r="N6">
            <v>5530</v>
          </cell>
          <cell r="O6">
            <v>6835</v>
          </cell>
          <cell r="P6">
            <v>6265</v>
          </cell>
          <cell r="Q6">
            <v>667.96332234636952</v>
          </cell>
          <cell r="R6">
            <v>40</v>
          </cell>
          <cell r="S6">
            <v>100</v>
          </cell>
          <cell r="T6">
            <v>114</v>
          </cell>
          <cell r="U6">
            <v>84.666666666666671</v>
          </cell>
          <cell r="V6">
            <v>39.310727967481519</v>
          </cell>
          <cell r="W6">
            <v>6390</v>
          </cell>
          <cell r="X6">
            <v>5430</v>
          </cell>
          <cell r="Y6">
            <v>6721</v>
          </cell>
          <cell r="Z6">
            <v>6180.333333333333</v>
          </cell>
          <cell r="AA6">
            <v>670.55225995692047</v>
          </cell>
          <cell r="AB6">
            <v>1.2859999999999989</v>
          </cell>
          <cell r="AC6">
            <v>1.3325301204819231</v>
          </cell>
          <cell r="AD6">
            <v>1.3808080808080856</v>
          </cell>
          <cell r="AE6">
            <v>1.3331127337633359</v>
          </cell>
          <cell r="AG6">
            <v>0.96999999999999786</v>
          </cell>
          <cell r="AH6">
            <v>0.93975903614457856</v>
          </cell>
          <cell r="AI6">
            <v>0.96969696969697294</v>
          </cell>
          <cell r="AJ6">
            <v>0.95981866861384979</v>
          </cell>
          <cell r="AK6">
            <v>1.7372812033255244E-2</v>
          </cell>
          <cell r="BB6">
            <v>42</v>
          </cell>
          <cell r="BF6">
            <v>77.466666666666669</v>
          </cell>
          <cell r="BG6">
            <v>4.3189504897988016</v>
          </cell>
          <cell r="BI6">
            <v>7</v>
          </cell>
          <cell r="BM6">
            <v>3.5587188612098002</v>
          </cell>
          <cell r="BO6">
            <v>6.5789473684210522</v>
          </cell>
          <cell r="BP6">
            <v>21.622401847575055</v>
          </cell>
          <cell r="BQ6">
            <v>7.1685082872928172</v>
          </cell>
          <cell r="BR6">
            <v>11.743145468393001</v>
          </cell>
        </row>
        <row r="7">
          <cell r="B7">
            <v>9</v>
          </cell>
          <cell r="C7">
            <v>6149.9999999999891</v>
          </cell>
          <cell r="D7">
            <v>4200.0000000000091</v>
          </cell>
          <cell r="E7">
            <v>6149.9999999999891</v>
          </cell>
          <cell r="F7">
            <v>5499.9999999999955</v>
          </cell>
          <cell r="G7">
            <v>1125.8330249197636</v>
          </cell>
          <cell r="H7">
            <v>5599.9999999999945</v>
          </cell>
          <cell r="I7">
            <v>3350.0000000000196</v>
          </cell>
          <cell r="J7">
            <v>3750.0000000000036</v>
          </cell>
          <cell r="K7">
            <v>4233.3333333333394</v>
          </cell>
          <cell r="L7">
            <v>1200.3471720020445</v>
          </cell>
          <cell r="M7">
            <v>5970</v>
          </cell>
          <cell r="N7">
            <v>5695</v>
          </cell>
          <cell r="O7">
            <v>8085</v>
          </cell>
          <cell r="P7">
            <v>6583.333333333333</v>
          </cell>
          <cell r="Q7">
            <v>1307.7302219239778</v>
          </cell>
          <cell r="R7">
            <v>121.5</v>
          </cell>
          <cell r="S7">
            <v>208.5</v>
          </cell>
          <cell r="T7">
            <v>277.5</v>
          </cell>
          <cell r="U7">
            <v>202.5</v>
          </cell>
          <cell r="V7">
            <v>78.172885324772295</v>
          </cell>
          <cell r="W7">
            <v>5848.5</v>
          </cell>
          <cell r="X7">
            <v>5486.5</v>
          </cell>
          <cell r="Y7">
            <v>7807.5</v>
          </cell>
          <cell r="Z7">
            <v>6380.833333333333</v>
          </cell>
          <cell r="AA7">
            <v>1248.7170749746861</v>
          </cell>
          <cell r="AB7">
            <v>0.97073170731707492</v>
          </cell>
          <cell r="AC7">
            <v>1.3559523809523779</v>
          </cell>
          <cell r="AD7">
            <v>1.3146341463414657</v>
          </cell>
          <cell r="AE7">
            <v>1.2137727448703062</v>
          </cell>
          <cell r="AG7">
            <v>0.91056910569105765</v>
          </cell>
          <cell r="AH7">
            <v>0.79761904761905056</v>
          </cell>
          <cell r="AI7">
            <v>0.60975609756097726</v>
          </cell>
          <cell r="AJ7">
            <v>0.77264808362369519</v>
          </cell>
          <cell r="AK7">
            <v>0.15195321071701581</v>
          </cell>
          <cell r="BB7">
            <v>63</v>
          </cell>
          <cell r="BF7">
            <v>78.400000000000006</v>
          </cell>
          <cell r="BG7">
            <v>4.8000000000000043</v>
          </cell>
          <cell r="BI7">
            <v>9</v>
          </cell>
          <cell r="BM7">
            <v>9.6085409252666629</v>
          </cell>
          <cell r="BO7">
            <v>14.495614035087719</v>
          </cell>
          <cell r="BP7">
            <v>20.806870669745958</v>
          </cell>
          <cell r="BQ7">
            <v>-7.8383977900552484</v>
          </cell>
          <cell r="BR7">
            <v>8.8799504950495134</v>
          </cell>
        </row>
        <row r="8">
          <cell r="B8">
            <v>11</v>
          </cell>
          <cell r="C8">
            <v>5599.9999999999945</v>
          </cell>
          <cell r="D8">
            <v>2549.9999999999968</v>
          </cell>
          <cell r="E8">
            <v>5599.9999999999945</v>
          </cell>
          <cell r="F8">
            <v>4583.3333333333285</v>
          </cell>
          <cell r="G8">
            <v>1760.9183210283582</v>
          </cell>
          <cell r="H8">
            <v>5299.9999999999991</v>
          </cell>
          <cell r="I8">
            <v>2150.0000000000127</v>
          </cell>
          <cell r="J8">
            <v>5650.0000000000164</v>
          </cell>
          <cell r="K8">
            <v>4366.6666666666761</v>
          </cell>
          <cell r="L8">
            <v>1927.6496915501325</v>
          </cell>
          <cell r="M8">
            <v>6615</v>
          </cell>
          <cell r="N8">
            <v>6395</v>
          </cell>
          <cell r="O8">
            <v>6425</v>
          </cell>
          <cell r="P8">
            <v>6478.333333333333</v>
          </cell>
          <cell r="Q8">
            <v>119.30353445448854</v>
          </cell>
          <cell r="R8">
            <v>176</v>
          </cell>
          <cell r="S8">
            <v>106</v>
          </cell>
          <cell r="T8">
            <v>88</v>
          </cell>
          <cell r="U8">
            <v>123.33333333333333</v>
          </cell>
          <cell r="V8">
            <v>46.490142324296365</v>
          </cell>
          <cell r="W8">
            <v>6439</v>
          </cell>
          <cell r="X8">
            <v>6289</v>
          </cell>
          <cell r="Y8">
            <v>6337</v>
          </cell>
          <cell r="Z8">
            <v>6355</v>
          </cell>
          <cell r="AA8">
            <v>76.602872008822231</v>
          </cell>
          <cell r="AB8">
            <v>1.1812500000000012</v>
          </cell>
          <cell r="AC8">
            <v>2.507843137254905</v>
          </cell>
          <cell r="AD8">
            <v>1.1473214285714297</v>
          </cell>
          <cell r="AE8">
            <v>1.6121381886087789</v>
          </cell>
          <cell r="AG8">
            <v>0.94642857142857217</v>
          </cell>
          <cell r="AH8">
            <v>0.84313725490196678</v>
          </cell>
          <cell r="AI8">
            <v>1.0089285714285754</v>
          </cell>
          <cell r="AJ8">
            <v>0.93283146591970478</v>
          </cell>
          <cell r="AK8">
            <v>8.372783956111006E-2</v>
          </cell>
          <cell r="BI8">
            <v>11</v>
          </cell>
          <cell r="BM8">
            <v>6.7615658362986162</v>
          </cell>
          <cell r="BO8">
            <v>5.8625730994152043</v>
          </cell>
          <cell r="BP8">
            <v>9.2234411085450336</v>
          </cell>
          <cell r="BQ8">
            <v>12.472375690607734</v>
          </cell>
          <cell r="BR8">
            <v>9.2488575780655022</v>
          </cell>
        </row>
        <row r="9">
          <cell r="B9">
            <v>15</v>
          </cell>
          <cell r="C9">
            <v>4139.9999999999991</v>
          </cell>
          <cell r="D9">
            <v>4259.9999999999973</v>
          </cell>
          <cell r="E9">
            <v>4660.0000000000027</v>
          </cell>
          <cell r="F9">
            <v>4353.333333333333</v>
          </cell>
          <cell r="G9">
            <v>272.27437142216422</v>
          </cell>
          <cell r="H9">
            <v>3839.9999999999991</v>
          </cell>
          <cell r="I9">
            <v>3899.9999999999923</v>
          </cell>
          <cell r="J9">
            <v>4139.9999999999991</v>
          </cell>
          <cell r="K9">
            <v>3959.9999999999964</v>
          </cell>
          <cell r="L9">
            <v>158.74507866387671</v>
          </cell>
          <cell r="M9">
            <v>6160</v>
          </cell>
          <cell r="N9">
            <v>6500</v>
          </cell>
          <cell r="O9">
            <v>5860</v>
          </cell>
          <cell r="P9">
            <v>6173.333333333333</v>
          </cell>
          <cell r="Q9">
            <v>320.20826556060877</v>
          </cell>
          <cell r="R9">
            <v>313.5</v>
          </cell>
          <cell r="S9">
            <v>216</v>
          </cell>
          <cell r="T9">
            <v>360</v>
          </cell>
          <cell r="U9">
            <v>296.5</v>
          </cell>
          <cell r="V9">
            <v>73.489795209947346</v>
          </cell>
          <cell r="W9">
            <v>5846.5</v>
          </cell>
          <cell r="X9">
            <v>6284</v>
          </cell>
          <cell r="Y9">
            <v>5500</v>
          </cell>
          <cell r="Z9">
            <v>5876.833333333333</v>
          </cell>
          <cell r="AA9">
            <v>392.8792223232648</v>
          </cell>
          <cell r="AB9">
            <v>1.4879227053140101</v>
          </cell>
          <cell r="AC9">
            <v>1.5258215962441324</v>
          </cell>
          <cell r="AD9">
            <v>1.2575107296137331</v>
          </cell>
          <cell r="AE9">
            <v>1.423751677057292</v>
          </cell>
          <cell r="AG9">
            <v>0.92753623188405798</v>
          </cell>
          <cell r="AH9">
            <v>0.91549295774647765</v>
          </cell>
          <cell r="AI9">
            <v>0.88841201716738127</v>
          </cell>
          <cell r="AJ9">
            <v>0.91048040226597227</v>
          </cell>
          <cell r="BI9">
            <v>15</v>
          </cell>
          <cell r="BM9">
            <v>15.444839857651219</v>
          </cell>
          <cell r="BO9">
            <v>14.524853801169591</v>
          </cell>
          <cell r="BP9">
            <v>9.2956120092378747</v>
          </cell>
          <cell r="BQ9">
            <v>24.033149171270718</v>
          </cell>
          <cell r="BR9">
            <v>16.07720868240671</v>
          </cell>
        </row>
        <row r="10">
          <cell r="B10">
            <v>16</v>
          </cell>
          <cell r="C10">
            <v>4966.6666666666652</v>
          </cell>
          <cell r="D10">
            <v>4600.0000000000018</v>
          </cell>
          <cell r="E10">
            <v>4833.3333333333376</v>
          </cell>
          <cell r="F10">
            <v>4800.0000000000018</v>
          </cell>
          <cell r="G10">
            <v>185.59214542766614</v>
          </cell>
          <cell r="H10">
            <v>4333.3333333333276</v>
          </cell>
          <cell r="I10">
            <v>4133.3333333333312</v>
          </cell>
          <cell r="J10">
            <v>4333.3333333333367</v>
          </cell>
          <cell r="K10">
            <v>4266.6666666666652</v>
          </cell>
          <cell r="L10">
            <v>115.47005383792569</v>
          </cell>
          <cell r="M10">
            <v>6290</v>
          </cell>
          <cell r="N10">
            <v>6185</v>
          </cell>
          <cell r="O10">
            <v>6785</v>
          </cell>
          <cell r="P10">
            <v>6420</v>
          </cell>
          <cell r="Q10">
            <v>320.42939940024229</v>
          </cell>
          <cell r="R10">
            <v>308</v>
          </cell>
          <cell r="S10">
            <v>220</v>
          </cell>
          <cell r="T10">
            <v>396</v>
          </cell>
          <cell r="U10">
            <v>308</v>
          </cell>
          <cell r="V10">
            <v>88</v>
          </cell>
          <cell r="W10">
            <v>5982</v>
          </cell>
          <cell r="X10">
            <v>5965</v>
          </cell>
          <cell r="Y10">
            <v>6389</v>
          </cell>
          <cell r="Z10">
            <v>6112</v>
          </cell>
          <cell r="AA10">
            <v>240.03958006962102</v>
          </cell>
          <cell r="AB10">
            <v>1.2664429530201347</v>
          </cell>
          <cell r="AC10">
            <v>1.3445652173913039</v>
          </cell>
          <cell r="AD10">
            <v>1.4037931034482747</v>
          </cell>
          <cell r="AE10">
            <v>1.3382670912865713</v>
          </cell>
          <cell r="AG10">
            <v>0.87248322147650914</v>
          </cell>
          <cell r="AH10">
            <v>0.89855072463768038</v>
          </cell>
          <cell r="AI10">
            <v>0.89655172413793094</v>
          </cell>
          <cell r="AJ10">
            <v>0.88919522341737345</v>
          </cell>
          <cell r="BI10">
            <v>16</v>
          </cell>
          <cell r="BM10">
            <v>8.8967971530248313</v>
          </cell>
          <cell r="BO10">
            <v>12.543859649122806</v>
          </cell>
          <cell r="BP10">
            <v>13.900115473441108</v>
          </cell>
          <cell r="BQ10">
            <v>11.754143646408838</v>
          </cell>
          <cell r="BR10">
            <v>12.718964204112723</v>
          </cell>
        </row>
        <row r="11">
          <cell r="B11">
            <v>18</v>
          </cell>
          <cell r="C11">
            <v>4333.3333333333276</v>
          </cell>
          <cell r="D11">
            <v>4100.0000000000018</v>
          </cell>
          <cell r="E11">
            <v>4299.9999999999982</v>
          </cell>
          <cell r="F11">
            <v>4244.4444444444425</v>
          </cell>
          <cell r="G11">
            <v>126.19796324000261</v>
          </cell>
          <cell r="H11">
            <v>3966.6666666666642</v>
          </cell>
          <cell r="I11">
            <v>3500.0000000000027</v>
          </cell>
          <cell r="J11">
            <v>3833.3333333333367</v>
          </cell>
          <cell r="K11">
            <v>3766.6666666666679</v>
          </cell>
          <cell r="L11">
            <v>240.37008503093057</v>
          </cell>
          <cell r="M11">
            <v>7350</v>
          </cell>
          <cell r="N11">
            <v>6645</v>
          </cell>
          <cell r="O11">
            <v>6615</v>
          </cell>
          <cell r="P11">
            <v>6870</v>
          </cell>
          <cell r="Q11">
            <v>415.96273871586141</v>
          </cell>
          <cell r="R11">
            <v>473</v>
          </cell>
          <cell r="S11">
            <v>363</v>
          </cell>
          <cell r="T11">
            <v>538</v>
          </cell>
          <cell r="U11">
            <v>458</v>
          </cell>
          <cell r="V11">
            <v>88.459030064770658</v>
          </cell>
          <cell r="W11">
            <v>6877</v>
          </cell>
          <cell r="X11">
            <v>6282</v>
          </cell>
          <cell r="Y11">
            <v>6077</v>
          </cell>
          <cell r="Z11">
            <v>6412</v>
          </cell>
          <cell r="AA11">
            <v>415.54181498376312</v>
          </cell>
          <cell r="AB11">
            <v>1.6961538461538483</v>
          </cell>
          <cell r="AC11">
            <v>1.6207317073170724</v>
          </cell>
          <cell r="AD11">
            <v>1.5383720930232565</v>
          </cell>
          <cell r="AE11">
            <v>1.618419215498059</v>
          </cell>
          <cell r="AG11">
            <v>0.91538461538461602</v>
          </cell>
          <cell r="AH11">
            <v>0.85365853658536617</v>
          </cell>
          <cell r="AI11">
            <v>0.8914728682170554</v>
          </cell>
          <cell r="AJ11">
            <v>0.88683867339567923</v>
          </cell>
          <cell r="BI11">
            <v>18</v>
          </cell>
          <cell r="BM11">
            <v>19.572953736654679</v>
          </cell>
          <cell r="BO11">
            <v>-0.54093567251461994</v>
          </cell>
          <cell r="BP11">
            <v>9.3244803695150118</v>
          </cell>
          <cell r="BQ11">
            <v>16.063535911602209</v>
          </cell>
          <cell r="BR11">
            <v>8.4348819497334393</v>
          </cell>
        </row>
        <row r="12">
          <cell r="B12">
            <v>21</v>
          </cell>
          <cell r="C12">
            <v>4300.0000000000027</v>
          </cell>
          <cell r="D12">
            <v>4066.6666666666724</v>
          </cell>
          <cell r="E12">
            <v>4199.9999999999955</v>
          </cell>
          <cell r="F12">
            <v>4188.8888888888905</v>
          </cell>
          <cell r="G12">
            <v>117.06281947613962</v>
          </cell>
          <cell r="H12">
            <v>3699.9999999999991</v>
          </cell>
          <cell r="I12">
            <v>3699.9999999999991</v>
          </cell>
          <cell r="J12">
            <v>3766.6666666666633</v>
          </cell>
          <cell r="K12">
            <v>3722.2222222222204</v>
          </cell>
          <cell r="L12">
            <v>38.490017945973655</v>
          </cell>
          <cell r="M12">
            <v>6540</v>
          </cell>
          <cell r="N12">
            <v>6435</v>
          </cell>
          <cell r="O12">
            <v>5850</v>
          </cell>
          <cell r="P12">
            <v>6275</v>
          </cell>
          <cell r="Q12">
            <v>371.78622890042607</v>
          </cell>
          <cell r="R12">
            <v>490.5</v>
          </cell>
          <cell r="S12">
            <v>507</v>
          </cell>
          <cell r="T12">
            <v>654</v>
          </cell>
          <cell r="U12">
            <v>550.5</v>
          </cell>
          <cell r="V12">
            <v>90.012499132064988</v>
          </cell>
          <cell r="W12">
            <v>6049.5</v>
          </cell>
          <cell r="X12">
            <v>5928</v>
          </cell>
          <cell r="Y12">
            <v>5196</v>
          </cell>
          <cell r="Z12">
            <v>5724.5</v>
          </cell>
          <cell r="AA12">
            <v>461.70851194232927</v>
          </cell>
          <cell r="AB12">
            <v>1.5209302325581386</v>
          </cell>
          <cell r="AC12">
            <v>1.5823770491803257</v>
          </cell>
          <cell r="AD12">
            <v>1.3928571428571443</v>
          </cell>
          <cell r="AE12">
            <v>1.4987214748652029</v>
          </cell>
          <cell r="AG12">
            <v>0.86046511627906896</v>
          </cell>
          <cell r="AH12">
            <v>0.90983606557376895</v>
          </cell>
          <cell r="AI12">
            <v>0.89682539682539697</v>
          </cell>
          <cell r="AJ12">
            <v>0.88904219289274489</v>
          </cell>
          <cell r="AL12">
            <v>6.54</v>
          </cell>
          <cell r="AM12">
            <v>6.53</v>
          </cell>
          <cell r="AN12">
            <v>6.34</v>
          </cell>
          <cell r="AO12">
            <v>6.47</v>
          </cell>
          <cell r="BI12">
            <v>21</v>
          </cell>
          <cell r="BM12">
            <v>20.521945432977404</v>
          </cell>
          <cell r="BO12">
            <v>11.557017543859649</v>
          </cell>
          <cell r="BP12">
            <v>14.434180138568129</v>
          </cell>
          <cell r="BQ12">
            <v>28.232044198895029</v>
          </cell>
          <cell r="BR12">
            <v>18.252570449352632</v>
          </cell>
        </row>
        <row r="13">
          <cell r="B13">
            <v>23</v>
          </cell>
          <cell r="C13">
            <v>3666.6666666666656</v>
          </cell>
          <cell r="D13">
            <v>3866.6666666666615</v>
          </cell>
          <cell r="E13">
            <v>4166.6666666666652</v>
          </cell>
          <cell r="F13">
            <v>3899.9999999999977</v>
          </cell>
          <cell r="G13">
            <v>251.66114784235836</v>
          </cell>
          <cell r="H13">
            <v>2966.6666666666638</v>
          </cell>
          <cell r="I13">
            <v>3366.6666666666661</v>
          </cell>
          <cell r="J13">
            <v>3633.3333333333358</v>
          </cell>
          <cell r="K13">
            <v>3322.2222222222222</v>
          </cell>
          <cell r="L13">
            <v>335.54819712314708</v>
          </cell>
          <cell r="M13">
            <v>5860</v>
          </cell>
          <cell r="N13">
            <v>5690</v>
          </cell>
          <cell r="O13">
            <v>6130</v>
          </cell>
          <cell r="P13">
            <v>5893.333333333333</v>
          </cell>
          <cell r="Q13">
            <v>221.88585654190157</v>
          </cell>
          <cell r="R13">
            <v>612</v>
          </cell>
          <cell r="S13">
            <v>513.6</v>
          </cell>
          <cell r="T13">
            <v>699.6</v>
          </cell>
          <cell r="U13">
            <v>608.4</v>
          </cell>
          <cell r="V13">
            <v>93.052243390475041</v>
          </cell>
          <cell r="W13">
            <v>5248</v>
          </cell>
          <cell r="X13">
            <v>5176.3999999999996</v>
          </cell>
          <cell r="Y13">
            <v>5430.4</v>
          </cell>
          <cell r="Z13">
            <v>5284.9333333333334</v>
          </cell>
          <cell r="AA13">
            <v>130.96584796554146</v>
          </cell>
          <cell r="AB13">
            <v>1.5981818181818186</v>
          </cell>
          <cell r="AC13">
            <v>1.471551724137933</v>
          </cell>
          <cell r="AD13">
            <v>1.4712000000000005</v>
          </cell>
          <cell r="AE13">
            <v>1.5136445141065842</v>
          </cell>
          <cell r="AG13">
            <v>0.80909090909090853</v>
          </cell>
          <cell r="AH13">
            <v>0.87068965517241481</v>
          </cell>
          <cell r="AI13">
            <v>0.87200000000000089</v>
          </cell>
          <cell r="AJ13">
            <v>0.850593521421108</v>
          </cell>
          <cell r="BI13">
            <v>23</v>
          </cell>
          <cell r="BM13">
            <v>29.062870699881287</v>
          </cell>
          <cell r="BO13">
            <v>23.274853801169591</v>
          </cell>
          <cell r="BP13">
            <v>25.282909930715942</v>
          </cell>
          <cell r="BQ13">
            <v>24.994475138121551</v>
          </cell>
          <cell r="BR13">
            <v>24.529702970297031</v>
          </cell>
        </row>
        <row r="14">
          <cell r="B14">
            <v>25</v>
          </cell>
          <cell r="C14">
            <v>4233.3333333333294</v>
          </cell>
          <cell r="D14">
            <v>3833.3333333333321</v>
          </cell>
          <cell r="E14">
            <v>4333.3333333333367</v>
          </cell>
          <cell r="F14">
            <v>4133.333333333333</v>
          </cell>
          <cell r="G14">
            <v>264.57513110646028</v>
          </cell>
          <cell r="H14">
            <v>3666.6666666666606</v>
          </cell>
          <cell r="I14">
            <v>3399.9999999999955</v>
          </cell>
          <cell r="J14">
            <v>3900.000000000005</v>
          </cell>
          <cell r="K14">
            <v>3655.5555555555534</v>
          </cell>
          <cell r="L14">
            <v>250.18511664884247</v>
          </cell>
          <cell r="M14">
            <v>6215</v>
          </cell>
          <cell r="N14">
            <v>5800</v>
          </cell>
          <cell r="O14">
            <v>6420</v>
          </cell>
          <cell r="P14">
            <v>6145</v>
          </cell>
          <cell r="Q14">
            <v>315.87180944174173</v>
          </cell>
          <cell r="R14">
            <v>637.19999999999993</v>
          </cell>
          <cell r="S14">
            <v>553.19999999999993</v>
          </cell>
          <cell r="T14">
            <v>715.19999999999993</v>
          </cell>
          <cell r="U14">
            <v>635.19999999999993</v>
          </cell>
          <cell r="V14">
            <v>81.018516402115651</v>
          </cell>
          <cell r="W14">
            <v>5577.8</v>
          </cell>
          <cell r="X14">
            <v>5246.8</v>
          </cell>
          <cell r="Y14">
            <v>5704.8</v>
          </cell>
          <cell r="Z14">
            <v>5509.8</v>
          </cell>
          <cell r="AA14">
            <v>236.45084055676352</v>
          </cell>
          <cell r="AB14">
            <v>1.4681102362204739</v>
          </cell>
          <cell r="AC14">
            <v>1.5130434782608699</v>
          </cell>
          <cell r="AD14">
            <v>1.4815384615384604</v>
          </cell>
          <cell r="AE14">
            <v>1.4875640586732679</v>
          </cell>
          <cell r="AG14">
            <v>0.86614173228346392</v>
          </cell>
          <cell r="AH14">
            <v>0.88695652173912953</v>
          </cell>
          <cell r="AI14">
            <v>0.90000000000000047</v>
          </cell>
          <cell r="AJ14">
            <v>0.88436608467419797</v>
          </cell>
          <cell r="BI14">
            <v>25</v>
          </cell>
          <cell r="BM14">
            <v>21.945432977461397</v>
          </cell>
          <cell r="BO14">
            <v>18.453216374269001</v>
          </cell>
          <cell r="BP14">
            <v>24.266743648960738</v>
          </cell>
          <cell r="BQ14">
            <v>21.204419889502759</v>
          </cell>
          <cell r="BR14">
            <v>21.318545316070072</v>
          </cell>
        </row>
        <row r="15">
          <cell r="B15">
            <v>28</v>
          </cell>
          <cell r="C15">
            <v>3600.0000000000014</v>
          </cell>
          <cell r="D15">
            <v>3366.6666666666661</v>
          </cell>
          <cell r="E15">
            <v>3866.6666666666665</v>
          </cell>
          <cell r="F15">
            <v>3611.1111111111113</v>
          </cell>
          <cell r="G15">
            <v>250.185116648838</v>
          </cell>
          <cell r="H15">
            <v>3033.3333333333326</v>
          </cell>
          <cell r="I15">
            <v>3000.0000000000023</v>
          </cell>
          <cell r="J15">
            <v>3299.9999999999973</v>
          </cell>
          <cell r="K15">
            <v>3111.1111111111109</v>
          </cell>
          <cell r="L15">
            <v>164.42942874387276</v>
          </cell>
          <cell r="M15">
            <v>5145</v>
          </cell>
          <cell r="N15">
            <v>5320</v>
          </cell>
          <cell r="O15">
            <v>6130</v>
          </cell>
          <cell r="P15">
            <v>5531.666666666667</v>
          </cell>
          <cell r="Q15">
            <v>525.5076910315712</v>
          </cell>
          <cell r="R15">
            <v>882</v>
          </cell>
          <cell r="S15">
            <v>892</v>
          </cell>
          <cell r="T15">
            <v>967</v>
          </cell>
          <cell r="U15">
            <v>913.66666666666663</v>
          </cell>
          <cell r="V15">
            <v>46.45786621588784</v>
          </cell>
          <cell r="W15">
            <v>4263</v>
          </cell>
          <cell r="X15">
            <v>4428</v>
          </cell>
          <cell r="Y15">
            <v>5163</v>
          </cell>
          <cell r="Z15">
            <v>4618</v>
          </cell>
          <cell r="AA15">
            <v>479.13985432230538</v>
          </cell>
          <cell r="AB15">
            <v>1.429166666666666</v>
          </cell>
          <cell r="AC15">
            <v>1.5801980198019805</v>
          </cell>
          <cell r="AD15">
            <v>1.585344827586207</v>
          </cell>
          <cell r="AE15">
            <v>1.5315698380182845</v>
          </cell>
          <cell r="AG15">
            <v>0.84259259259259212</v>
          </cell>
          <cell r="AH15">
            <v>0.89108910891089188</v>
          </cell>
          <cell r="AI15">
            <v>0.85344827586206828</v>
          </cell>
          <cell r="AJ15">
            <v>0.86237665912185069</v>
          </cell>
          <cell r="BI15">
            <v>28</v>
          </cell>
          <cell r="BM15">
            <v>33.57058125741392</v>
          </cell>
          <cell r="BO15">
            <v>37.675438596491226</v>
          </cell>
          <cell r="BP15">
            <v>36.085450346420323</v>
          </cell>
          <cell r="BQ15">
            <v>28.687845303867405</v>
          </cell>
          <cell r="BR15">
            <v>34.053693830921553</v>
          </cell>
        </row>
        <row r="16">
          <cell r="B16">
            <v>42</v>
          </cell>
          <cell r="C16">
            <v>3499.9999999999982</v>
          </cell>
          <cell r="D16">
            <v>3633.3333333333358</v>
          </cell>
          <cell r="E16">
            <v>3733.3333333333335</v>
          </cell>
          <cell r="F16">
            <v>3622.2222222222226</v>
          </cell>
          <cell r="G16">
            <v>117.06281947614268</v>
          </cell>
          <cell r="H16">
            <v>3100.0000000000009</v>
          </cell>
          <cell r="I16">
            <v>3033.3333333333367</v>
          </cell>
          <cell r="J16">
            <v>3200.0000000000041</v>
          </cell>
          <cell r="K16">
            <v>3111.1111111111136</v>
          </cell>
          <cell r="L16">
            <v>83.88704928078667</v>
          </cell>
          <cell r="M16">
            <v>5775</v>
          </cell>
          <cell r="N16">
            <v>5865</v>
          </cell>
          <cell r="O16">
            <v>6325</v>
          </cell>
          <cell r="P16">
            <v>5988.333333333333</v>
          </cell>
          <cell r="Q16">
            <v>295.01412395567326</v>
          </cell>
          <cell r="R16">
            <v>944</v>
          </cell>
          <cell r="S16">
            <v>511</v>
          </cell>
          <cell r="T16">
            <v>983</v>
          </cell>
          <cell r="U16">
            <v>812.66666666666663</v>
          </cell>
          <cell r="V16">
            <v>261.97773442285774</v>
          </cell>
          <cell r="W16">
            <v>4831</v>
          </cell>
          <cell r="X16">
            <v>5354</v>
          </cell>
          <cell r="Y16">
            <v>5342</v>
          </cell>
          <cell r="Z16">
            <v>5175.666666666667</v>
          </cell>
          <cell r="AA16">
            <v>298.55038659049387</v>
          </cell>
          <cell r="AB16">
            <v>1.6500000000000008</v>
          </cell>
          <cell r="AC16">
            <v>1.6142201834862375</v>
          </cell>
          <cell r="AD16">
            <v>1.6941964285714286</v>
          </cell>
          <cell r="AE16">
            <v>1.6528055373525559</v>
          </cell>
          <cell r="AG16">
            <v>0.88571428571428645</v>
          </cell>
          <cell r="AH16">
            <v>0.83486238532110124</v>
          </cell>
          <cell r="AI16">
            <v>0.85714285714285821</v>
          </cell>
          <cell r="AJ16">
            <v>0.85923984272608189</v>
          </cell>
          <cell r="AL16">
            <v>6.02</v>
          </cell>
          <cell r="AM16">
            <v>6.07</v>
          </cell>
          <cell r="AN16">
            <v>5.86</v>
          </cell>
          <cell r="AO16">
            <v>5.9833333333333334</v>
          </cell>
          <cell r="BI16">
            <v>42</v>
          </cell>
          <cell r="BM16">
            <v>33.570581257413863</v>
          </cell>
          <cell r="BO16">
            <v>29.371345029239766</v>
          </cell>
          <cell r="BP16">
            <v>22.719399538106234</v>
          </cell>
          <cell r="BQ16">
            <v>26.215469613259668</v>
          </cell>
          <cell r="BR16">
            <v>26.090060929169841</v>
          </cell>
        </row>
        <row r="17">
          <cell r="B17">
            <v>49</v>
          </cell>
          <cell r="C17">
            <v>3566.6666666666624</v>
          </cell>
          <cell r="D17">
            <v>3566.6666666666715</v>
          </cell>
          <cell r="E17">
            <v>4066.6666666666629</v>
          </cell>
          <cell r="F17">
            <v>3733.3333333333321</v>
          </cell>
          <cell r="G17">
            <v>288.67513459481052</v>
          </cell>
          <cell r="H17">
            <v>3133.3333333333303</v>
          </cell>
          <cell r="I17">
            <v>3233.3333333333376</v>
          </cell>
          <cell r="J17">
            <v>3666.6666666666606</v>
          </cell>
          <cell r="K17">
            <v>3344.444444444443</v>
          </cell>
          <cell r="L17">
            <v>283.49668493717627</v>
          </cell>
          <cell r="M17">
            <v>5470</v>
          </cell>
          <cell r="N17">
            <v>6085</v>
          </cell>
          <cell r="O17">
            <v>5770</v>
          </cell>
          <cell r="P17">
            <v>5775</v>
          </cell>
          <cell r="Q17">
            <v>307.53048629363559</v>
          </cell>
          <cell r="R17">
            <v>997</v>
          </cell>
          <cell r="S17">
            <v>765</v>
          </cell>
          <cell r="T17">
            <v>1131</v>
          </cell>
          <cell r="U17">
            <v>964.33333333333337</v>
          </cell>
          <cell r="V17">
            <v>185.17379224213468</v>
          </cell>
          <cell r="W17">
            <v>4473</v>
          </cell>
          <cell r="X17">
            <v>5320</v>
          </cell>
          <cell r="Y17">
            <v>4639</v>
          </cell>
          <cell r="Z17">
            <v>4810.666666666667</v>
          </cell>
          <cell r="AA17">
            <v>448.83664437446879</v>
          </cell>
          <cell r="AB17">
            <v>1.5336448598130858</v>
          </cell>
          <cell r="AC17">
            <v>1.7060747663551379</v>
          </cell>
          <cell r="AD17">
            <v>1.4188524590163947</v>
          </cell>
          <cell r="AE17">
            <v>1.5528573617282062</v>
          </cell>
          <cell r="AG17">
            <v>0.87850467289719647</v>
          </cell>
          <cell r="AH17">
            <v>0.90654205607476634</v>
          </cell>
          <cell r="AI17">
            <v>0.90163934426229442</v>
          </cell>
          <cell r="AJ17">
            <v>0.89556202441141908</v>
          </cell>
          <cell r="AL17">
            <v>5.62</v>
          </cell>
          <cell r="AM17">
            <v>5.86</v>
          </cell>
          <cell r="AN17">
            <v>5.5</v>
          </cell>
          <cell r="AO17">
            <v>5.66</v>
          </cell>
          <cell r="BI17">
            <v>49</v>
          </cell>
          <cell r="BM17">
            <v>28.58837485171999</v>
          </cell>
          <cell r="BO17">
            <v>34.60526315789474</v>
          </cell>
          <cell r="BP17">
            <v>23.210161662817551</v>
          </cell>
          <cell r="BQ17">
            <v>35.925414364640886</v>
          </cell>
          <cell r="BR17">
            <v>31.302361005331303</v>
          </cell>
        </row>
        <row r="18">
          <cell r="B18">
            <v>56</v>
          </cell>
          <cell r="C18">
            <v>3966.6666666666601</v>
          </cell>
          <cell r="D18">
            <v>3533.3333333333326</v>
          </cell>
          <cell r="E18">
            <v>3800.0000000000023</v>
          </cell>
          <cell r="F18">
            <v>3766.6666666666647</v>
          </cell>
          <cell r="G18">
            <v>218.58128414339762</v>
          </cell>
          <cell r="H18">
            <v>3433.3333333333298</v>
          </cell>
          <cell r="I18">
            <v>3333.3333333333267</v>
          </cell>
          <cell r="J18">
            <v>3533.3333333333326</v>
          </cell>
          <cell r="K18">
            <v>3433.3333333333298</v>
          </cell>
          <cell r="L18">
            <v>100.00000000000296</v>
          </cell>
          <cell r="M18">
            <v>6230</v>
          </cell>
          <cell r="N18">
            <v>5325</v>
          </cell>
          <cell r="O18">
            <v>6825</v>
          </cell>
          <cell r="P18">
            <v>6126.666666666667</v>
          </cell>
          <cell r="Q18">
            <v>755.32002047697358</v>
          </cell>
          <cell r="R18">
            <v>648</v>
          </cell>
          <cell r="S18">
            <v>538.5</v>
          </cell>
          <cell r="T18">
            <v>803</v>
          </cell>
          <cell r="U18">
            <v>663.16666666666663</v>
          </cell>
          <cell r="V18">
            <v>132.90065211778824</v>
          </cell>
          <cell r="W18">
            <v>5582</v>
          </cell>
          <cell r="X18">
            <v>4786.5</v>
          </cell>
          <cell r="Y18">
            <v>6022</v>
          </cell>
          <cell r="Z18">
            <v>5463.5</v>
          </cell>
          <cell r="AA18">
            <v>626.21621665364114</v>
          </cell>
          <cell r="AB18">
            <v>1.5705882352941203</v>
          </cell>
          <cell r="AC18">
            <v>1.5070754716981136</v>
          </cell>
          <cell r="AD18">
            <v>1.7960526315789462</v>
          </cell>
          <cell r="AE18">
            <v>1.62457211285706</v>
          </cell>
          <cell r="AG18">
            <v>0.86554621848739555</v>
          </cell>
          <cell r="AH18">
            <v>0.94339622641509269</v>
          </cell>
          <cell r="AI18">
            <v>0.929824561403508</v>
          </cell>
          <cell r="AJ18">
            <v>0.91292233543533208</v>
          </cell>
          <cell r="AL18">
            <v>5.78</v>
          </cell>
          <cell r="AM18">
            <v>6.07</v>
          </cell>
          <cell r="AN18">
            <v>5.58</v>
          </cell>
          <cell r="AO18">
            <v>5.81</v>
          </cell>
          <cell r="BI18">
            <v>56</v>
          </cell>
          <cell r="BM18">
            <v>26.690391459074718</v>
          </cell>
          <cell r="BO18">
            <v>18.391812865497077</v>
          </cell>
          <cell r="BP18">
            <v>30.910796766743648</v>
          </cell>
          <cell r="BQ18">
            <v>16.823204419889503</v>
          </cell>
          <cell r="BR18">
            <v>21.979722010662609</v>
          </cell>
        </row>
        <row r="19">
          <cell r="B19">
            <v>63</v>
          </cell>
          <cell r="C19">
            <v>3633.3333333333358</v>
          </cell>
          <cell r="D19">
            <v>3500.0000000000027</v>
          </cell>
          <cell r="E19">
            <v>3466.6666666666683</v>
          </cell>
          <cell r="F19">
            <v>3533.3333333333358</v>
          </cell>
          <cell r="G19">
            <v>88.191710368819912</v>
          </cell>
          <cell r="H19">
            <v>3000.0000000000023</v>
          </cell>
          <cell r="I19">
            <v>2966.6666666666683</v>
          </cell>
          <cell r="J19">
            <v>3066.6666666666711</v>
          </cell>
          <cell r="K19">
            <v>3011.1111111111136</v>
          </cell>
          <cell r="L19">
            <v>50.917507721732981</v>
          </cell>
          <cell r="M19">
            <v>6075</v>
          </cell>
          <cell r="N19">
            <v>5410</v>
          </cell>
          <cell r="O19">
            <v>5645</v>
          </cell>
          <cell r="P19">
            <v>5710</v>
          </cell>
          <cell r="R19">
            <v>1021</v>
          </cell>
          <cell r="S19">
            <v>680</v>
          </cell>
          <cell r="T19">
            <v>1109</v>
          </cell>
          <cell r="U19">
            <v>936.66666666666663</v>
          </cell>
          <cell r="V19">
            <v>226.59288014704535</v>
          </cell>
          <cell r="W19">
            <v>5054</v>
          </cell>
          <cell r="X19">
            <v>4730</v>
          </cell>
          <cell r="Y19">
            <v>4536</v>
          </cell>
          <cell r="Z19">
            <v>4773.333333333333</v>
          </cell>
          <cell r="AA19">
            <v>261.70466815349954</v>
          </cell>
          <cell r="AB19">
            <v>1.672018348623852</v>
          </cell>
          <cell r="AC19">
            <v>1.5457142857142845</v>
          </cell>
          <cell r="AD19">
            <v>1.6283653846153838</v>
          </cell>
          <cell r="AE19">
            <v>1.6153660063178401</v>
          </cell>
          <cell r="AG19">
            <v>0.82568807339449546</v>
          </cell>
          <cell r="AH19">
            <v>0.84761904761904738</v>
          </cell>
          <cell r="AI19">
            <v>0.88461538461538547</v>
          </cell>
          <cell r="AJ19">
            <v>0.85264083520964284</v>
          </cell>
          <cell r="AL19">
            <v>5.64</v>
          </cell>
          <cell r="AM19">
            <v>6.23</v>
          </cell>
          <cell r="AN19">
            <v>5.56</v>
          </cell>
          <cell r="AO19">
            <v>5.81</v>
          </cell>
          <cell r="BI19">
            <v>63</v>
          </cell>
          <cell r="BM19">
            <v>35.705812574139841</v>
          </cell>
          <cell r="BO19">
            <v>26.111111111111114</v>
          </cell>
          <cell r="BP19">
            <v>31.726327944572745</v>
          </cell>
          <cell r="BQ19">
            <v>37.348066298342545</v>
          </cell>
          <cell r="BR19">
            <v>31.835491241431839</v>
          </cell>
        </row>
        <row r="20">
          <cell r="B20">
            <v>70</v>
          </cell>
          <cell r="C20">
            <v>3699.999999999995</v>
          </cell>
          <cell r="D20">
            <v>3400.000000000005</v>
          </cell>
          <cell r="E20">
            <v>3666.6666666666702</v>
          </cell>
          <cell r="F20">
            <v>3588.8888888888901</v>
          </cell>
          <cell r="G20">
            <v>164.42942874387117</v>
          </cell>
          <cell r="K20">
            <v>3244.4444444444448</v>
          </cell>
          <cell r="L20">
            <v>50.917507721730004</v>
          </cell>
          <cell r="M20">
            <v>5910</v>
          </cell>
          <cell r="N20">
            <v>5365</v>
          </cell>
          <cell r="O20">
            <v>6155</v>
          </cell>
          <cell r="P20">
            <v>5810</v>
          </cell>
          <cell r="R20">
            <v>1043</v>
          </cell>
          <cell r="S20">
            <v>531</v>
          </cell>
          <cell r="T20">
            <v>1062</v>
          </cell>
          <cell r="U20">
            <v>878.66666666666663</v>
          </cell>
          <cell r="W20">
            <v>4867</v>
          </cell>
          <cell r="X20">
            <v>4834</v>
          </cell>
          <cell r="Y20">
            <v>5093</v>
          </cell>
          <cell r="Z20">
            <v>4931.333333333333</v>
          </cell>
          <cell r="AA20">
            <v>140.97635735588196</v>
          </cell>
          <cell r="AB20">
            <v>1.5972972972972994</v>
          </cell>
          <cell r="AC20">
            <v>1.577941176470586</v>
          </cell>
          <cell r="AD20">
            <v>1.6786363636363621</v>
          </cell>
          <cell r="AE20">
            <v>1.6179582791347491</v>
          </cell>
          <cell r="AG20">
            <v>0.89189189189189233</v>
          </cell>
          <cell r="AH20">
            <v>0.94117647058823362</v>
          </cell>
          <cell r="AI20">
            <v>0.88181818181818217</v>
          </cell>
          <cell r="AJ20">
            <v>0.90496218143276941</v>
          </cell>
          <cell r="BI20">
            <v>70</v>
          </cell>
          <cell r="BM20">
            <v>30.723606168445933</v>
          </cell>
          <cell r="BO20">
            <v>28.845029239766085</v>
          </cell>
          <cell r="BP20">
            <v>30.225173210161664</v>
          </cell>
          <cell r="BQ20">
            <v>29.654696132596687</v>
          </cell>
          <cell r="BR20">
            <v>29.57920792079209</v>
          </cell>
        </row>
        <row r="21">
          <cell r="B21">
            <v>77</v>
          </cell>
          <cell r="F21">
            <v>3522.2222222222213</v>
          </cell>
          <cell r="G21">
            <v>150.30832509409626</v>
          </cell>
          <cell r="K21">
            <v>3211.111111111109</v>
          </cell>
          <cell r="L21">
            <v>226.89530951846763</v>
          </cell>
          <cell r="M21">
            <v>6200</v>
          </cell>
          <cell r="N21">
            <v>5285</v>
          </cell>
          <cell r="O21">
            <v>6260</v>
          </cell>
          <cell r="P21">
            <v>5915</v>
          </cell>
          <cell r="R21">
            <v>940</v>
          </cell>
          <cell r="S21">
            <v>400</v>
          </cell>
          <cell r="T21">
            <v>1197</v>
          </cell>
          <cell r="U21">
            <v>845.66666666666663</v>
          </cell>
          <cell r="W21">
            <v>5260</v>
          </cell>
          <cell r="X21">
            <v>4885</v>
          </cell>
          <cell r="Y21">
            <v>5063</v>
          </cell>
          <cell r="Z21">
            <v>5069.333333333333</v>
          </cell>
          <cell r="AA21">
            <v>187.58020506794776</v>
          </cell>
          <cell r="AB21">
            <v>1.7547169811320757</v>
          </cell>
          <cell r="AC21">
            <v>1.4413636363636368</v>
          </cell>
          <cell r="AD21">
            <v>1.8594059405940597</v>
          </cell>
          <cell r="AE21">
            <v>1.685162186029924</v>
          </cell>
          <cell r="AG21">
            <v>0.88679245283018804</v>
          </cell>
          <cell r="AH21">
            <v>0.9454545454545451</v>
          </cell>
          <cell r="AI21">
            <v>0.9009900990099009</v>
          </cell>
          <cell r="AJ21">
            <v>0.91107903243154464</v>
          </cell>
          <cell r="BI21">
            <v>77</v>
          </cell>
          <cell r="BM21">
            <v>31.435349940687978</v>
          </cell>
          <cell r="BO21">
            <v>23.099415204678362</v>
          </cell>
          <cell r="BP21">
            <v>29.489030023094685</v>
          </cell>
          <cell r="BQ21">
            <v>30.069060773480661</v>
          </cell>
          <cell r="BR21">
            <v>27.608530083777616</v>
          </cell>
        </row>
        <row r="22">
          <cell r="B22">
            <v>84</v>
          </cell>
          <cell r="F22">
            <v>3511.1111111111095</v>
          </cell>
          <cell r="G22">
            <v>675.22287129949382</v>
          </cell>
          <cell r="K22">
            <v>3155.5555555555547</v>
          </cell>
          <cell r="L22">
            <v>850.05446448601208</v>
          </cell>
          <cell r="M22">
            <v>5730</v>
          </cell>
          <cell r="N22">
            <v>4865</v>
          </cell>
          <cell r="O22">
            <v>5880</v>
          </cell>
          <cell r="P22">
            <v>5491.666666666667</v>
          </cell>
          <cell r="R22">
            <v>981.59999999999991</v>
          </cell>
          <cell r="S22">
            <v>331.2</v>
          </cell>
          <cell r="T22">
            <v>1290</v>
          </cell>
          <cell r="U22">
            <v>867.6</v>
          </cell>
          <cell r="W22">
            <v>4748.3999999999996</v>
          </cell>
          <cell r="X22">
            <v>4533.8</v>
          </cell>
          <cell r="Y22">
            <v>4590</v>
          </cell>
          <cell r="Z22">
            <v>4624.0666666666666</v>
          </cell>
          <cell r="AB22">
            <v>1.3429687499999994</v>
          </cell>
          <cell r="AC22">
            <v>1.6398876404494398</v>
          </cell>
          <cell r="AD22">
            <v>1.7818181818181833</v>
          </cell>
          <cell r="AE22">
            <v>1.5882248574225406</v>
          </cell>
          <cell r="AG22">
            <v>0.93750000000000033</v>
          </cell>
          <cell r="AH22">
            <v>0.77528089887640406</v>
          </cell>
          <cell r="AI22">
            <v>0.95959595959595978</v>
          </cell>
          <cell r="AJ22">
            <v>0.89079228615745476</v>
          </cell>
          <cell r="BI22">
            <v>84</v>
          </cell>
          <cell r="BM22">
            <v>32.621589561091277</v>
          </cell>
          <cell r="BO22">
            <v>30.578947368421055</v>
          </cell>
          <cell r="BP22">
            <v>34.558314087759811</v>
          </cell>
          <cell r="BQ22">
            <v>36.60220994475138</v>
          </cell>
          <cell r="BR22">
            <v>33.967060167555218</v>
          </cell>
        </row>
        <row r="23">
          <cell r="B23">
            <v>120</v>
          </cell>
          <cell r="K23">
            <v>2783.3333333333321</v>
          </cell>
          <cell r="L23">
            <v>353.55339059327412</v>
          </cell>
          <cell r="M23">
            <v>6145</v>
          </cell>
          <cell r="N23">
            <v>5140</v>
          </cell>
          <cell r="O23">
            <v>6255</v>
          </cell>
          <cell r="P23">
            <v>5846.666666666667</v>
          </cell>
          <cell r="R23">
            <v>945</v>
          </cell>
          <cell r="S23">
            <v>516</v>
          </cell>
          <cell r="T23">
            <v>1236</v>
          </cell>
          <cell r="U23">
            <v>899</v>
          </cell>
          <cell r="Z23">
            <v>4947.666666666667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-1"/>
      <sheetName val="T15-2"/>
      <sheetName val="T15-3"/>
      <sheetName val="Mean"/>
      <sheetName val="kh"/>
      <sheetName val="Sheet1"/>
      <sheetName val="Sheet2"/>
      <sheetName val="NL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G5" t="str">
            <v>Average</v>
          </cell>
          <cell r="H5" t="str">
            <v>Contois</v>
          </cell>
          <cell r="I5" t="str">
            <v>First Order</v>
          </cell>
          <cell r="AM5" t="str">
            <v>Average</v>
          </cell>
          <cell r="AN5" t="str">
            <v>Contois</v>
          </cell>
        </row>
        <row r="6">
          <cell r="F6">
            <v>0</v>
          </cell>
          <cell r="G6">
            <v>6097.666666666667</v>
          </cell>
          <cell r="H6">
            <v>6168.9564393728324</v>
          </cell>
          <cell r="I6">
            <v>6094.9296009242853</v>
          </cell>
          <cell r="AL6">
            <v>0</v>
          </cell>
          <cell r="AM6">
            <v>6097.666666666667</v>
          </cell>
          <cell r="AN6">
            <v>6618.160261204067</v>
          </cell>
        </row>
        <row r="7">
          <cell r="F7">
            <v>2</v>
          </cell>
          <cell r="G7">
            <v>6018.333333333333</v>
          </cell>
          <cell r="H7">
            <v>6046.4158486540473</v>
          </cell>
          <cell r="I7">
            <v>6017.7591278596201</v>
          </cell>
          <cell r="AL7">
            <v>2</v>
          </cell>
          <cell r="AM7">
            <v>6018.333333333333</v>
          </cell>
          <cell r="AN7">
            <v>6022.46944755411</v>
          </cell>
        </row>
        <row r="8">
          <cell r="F8">
            <v>4</v>
          </cell>
          <cell r="G8">
            <v>5979</v>
          </cell>
          <cell r="H8">
            <v>5926.4188380222786</v>
          </cell>
          <cell r="I8">
            <v>5941.5657426865228</v>
          </cell>
          <cell r="AL8">
            <v>4</v>
          </cell>
          <cell r="AM8">
            <v>5979</v>
          </cell>
          <cell r="AN8">
            <v>5650.4347012743765</v>
          </cell>
        </row>
        <row r="9">
          <cell r="F9">
            <v>7</v>
          </cell>
          <cell r="G9">
            <v>5813.25</v>
          </cell>
          <cell r="H9">
            <v>5751.1979582179401</v>
          </cell>
          <cell r="I9">
            <v>5829.0806853426011</v>
          </cell>
          <cell r="AL9">
            <v>7</v>
          </cell>
          <cell r="AM9">
            <v>5813.25</v>
          </cell>
          <cell r="AN9">
            <v>5332.6967445929959</v>
          </cell>
        </row>
        <row r="10">
          <cell r="F10">
            <v>9</v>
          </cell>
          <cell r="G10">
            <v>6224.666666666667</v>
          </cell>
          <cell r="H10">
            <v>5637.6146046783433</v>
          </cell>
          <cell r="I10">
            <v>5755.2762374697704</v>
          </cell>
          <cell r="AL10">
            <v>9</v>
          </cell>
          <cell r="AM10">
            <v>6224.666666666667</v>
          </cell>
          <cell r="AN10">
            <v>5213.4054768876613</v>
          </cell>
        </row>
        <row r="11">
          <cell r="F11">
            <v>11</v>
          </cell>
          <cell r="G11">
            <v>5538.166666666667</v>
          </cell>
          <cell r="H11">
            <v>5526.7084586384808</v>
          </cell>
          <cell r="I11">
            <v>5682.406258824567</v>
          </cell>
          <cell r="AL11">
            <v>11</v>
          </cell>
          <cell r="AM11">
            <v>5538.166666666667</v>
          </cell>
          <cell r="AN11">
            <v>5136.9765267522398</v>
          </cell>
        </row>
        <row r="12">
          <cell r="F12">
            <v>15</v>
          </cell>
          <cell r="G12">
            <v>5569.333333333333</v>
          </cell>
          <cell r="H12">
            <v>5313.6533583433693</v>
          </cell>
          <cell r="I12">
            <v>5539.4225321879885</v>
          </cell>
          <cell r="AL12">
            <v>15</v>
          </cell>
          <cell r="AM12">
            <v>5569.333333333333</v>
          </cell>
          <cell r="AN12">
            <v>5056.2247460676454</v>
          </cell>
        </row>
        <row r="13">
          <cell r="F13">
            <v>29</v>
          </cell>
          <cell r="G13">
            <v>5001.333333333333</v>
          </cell>
          <cell r="H13">
            <v>4791.1165057793105</v>
          </cell>
          <cell r="I13">
            <v>5066.7239050604385</v>
          </cell>
          <cell r="AL13">
            <v>29</v>
          </cell>
          <cell r="AM13">
            <v>5001.333333333333</v>
          </cell>
          <cell r="AN13">
            <v>5001.3333319285539</v>
          </cell>
        </row>
        <row r="14">
          <cell r="F14">
            <v>31</v>
          </cell>
          <cell r="G14">
            <v>4858</v>
          </cell>
          <cell r="H14">
            <v>4785.4498991773171</v>
          </cell>
          <cell r="I14">
            <v>5002.5719777629893</v>
          </cell>
          <cell r="AL14">
            <v>31</v>
          </cell>
          <cell r="AM14">
            <v>4858</v>
          </cell>
          <cell r="AN14">
            <v>5000.3744989029701</v>
          </cell>
        </row>
        <row r="15">
          <cell r="F15">
            <v>35</v>
          </cell>
          <cell r="G15">
            <v>4833.333333333333</v>
          </cell>
          <cell r="H15">
            <v>4784.7152624212586</v>
          </cell>
          <cell r="I15">
            <v>4876.6946026567202</v>
          </cell>
          <cell r="AL15">
            <v>35</v>
          </cell>
          <cell r="AM15">
            <v>4833.333333333333</v>
          </cell>
          <cell r="AN15">
            <v>4999.3539167578083</v>
          </cell>
        </row>
        <row r="16">
          <cell r="F16">
            <v>45</v>
          </cell>
          <cell r="G16">
            <v>4281.666666666667</v>
          </cell>
          <cell r="H16">
            <v>4784.7084069996954</v>
          </cell>
          <cell r="I16">
            <v>4575.6847178988646</v>
          </cell>
          <cell r="AL16">
            <v>45</v>
          </cell>
          <cell r="AM16">
            <v>4281.666666666667</v>
          </cell>
          <cell r="AN16">
            <v>4998.7038070858653</v>
          </cell>
        </row>
        <row r="17">
          <cell r="F17">
            <v>68</v>
          </cell>
          <cell r="G17">
            <v>4233</v>
          </cell>
          <cell r="H17">
            <v>4784.7084069470147</v>
          </cell>
          <cell r="I17">
            <v>3951.9943790172874</v>
          </cell>
          <cell r="AL17">
            <v>68</v>
          </cell>
          <cell r="AM17">
            <v>4233</v>
          </cell>
          <cell r="AN17">
            <v>4998.6215751205482</v>
          </cell>
        </row>
        <row r="22">
          <cell r="BC22" t="str">
            <v>Average</v>
          </cell>
          <cell r="BD22" t="str">
            <v>First Order</v>
          </cell>
          <cell r="BE22" t="str">
            <v>Contois</v>
          </cell>
          <cell r="BF22" t="str">
            <v>Contois</v>
          </cell>
        </row>
        <row r="23">
          <cell r="BB23">
            <v>0</v>
          </cell>
          <cell r="BC23">
            <v>6097.666666666667</v>
          </cell>
          <cell r="BD23">
            <v>6094.9296009242853</v>
          </cell>
          <cell r="BE23">
            <v>6168.9564393728324</v>
          </cell>
          <cell r="BF23">
            <v>6618.160261204067</v>
          </cell>
          <cell r="BH23">
            <v>343.29190688586488</v>
          </cell>
        </row>
        <row r="24">
          <cell r="BB24">
            <v>2</v>
          </cell>
          <cell r="BC24">
            <v>6018.333333333333</v>
          </cell>
          <cell r="BD24">
            <v>6017.7591278596201</v>
          </cell>
          <cell r="BE24">
            <v>6071.6416156106679</v>
          </cell>
          <cell r="BF24">
            <v>6022.46944755411</v>
          </cell>
          <cell r="BH24">
            <v>458.25984259296968</v>
          </cell>
        </row>
        <row r="25">
          <cell r="BB25">
            <v>4</v>
          </cell>
          <cell r="BC25">
            <v>5979</v>
          </cell>
          <cell r="BD25">
            <v>5941.5657426865228</v>
          </cell>
          <cell r="BE25">
            <v>5975.8622558790876</v>
          </cell>
          <cell r="BF25">
            <v>5650.4347012743765</v>
          </cell>
          <cell r="BH25">
            <v>181.66727828643221</v>
          </cell>
        </row>
        <row r="26">
          <cell r="BB26">
            <v>7</v>
          </cell>
          <cell r="BC26">
            <v>5813.25</v>
          </cell>
          <cell r="BD26">
            <v>5829.0806853426011</v>
          </cell>
          <cell r="BE26">
            <v>5835.0196939419184</v>
          </cell>
          <cell r="BF26">
            <v>5332.6967445929959</v>
          </cell>
          <cell r="BH26">
            <v>21.5667568261897</v>
          </cell>
        </row>
        <row r="27">
          <cell r="BB27">
            <v>9</v>
          </cell>
          <cell r="BC27">
            <v>6224.666666666667</v>
          </cell>
          <cell r="BD27">
            <v>5755.2762374697704</v>
          </cell>
          <cell r="BE27">
            <v>5742.9747226353202</v>
          </cell>
          <cell r="BF27">
            <v>5213.4054768876613</v>
          </cell>
          <cell r="BH27">
            <v>587.41857591783162</v>
          </cell>
        </row>
        <row r="28">
          <cell r="BB28">
            <v>11</v>
          </cell>
          <cell r="BC28">
            <v>5538.166666666667</v>
          </cell>
          <cell r="BD28">
            <v>5682.406258824567</v>
          </cell>
          <cell r="BE28">
            <v>5652.383077785822</v>
          </cell>
          <cell r="BF28">
            <v>5136.9765267522398</v>
          </cell>
          <cell r="BH28">
            <v>248.88216756797448</v>
          </cell>
        </row>
        <row r="29">
          <cell r="BB29">
            <v>15</v>
          </cell>
          <cell r="BC29">
            <v>5569.333333333333</v>
          </cell>
          <cell r="BD29">
            <v>5539.4225321879885</v>
          </cell>
          <cell r="BE29">
            <v>5475.4715170674554</v>
          </cell>
          <cell r="BF29">
            <v>5056.2247460676454</v>
          </cell>
          <cell r="BH29">
            <v>569.82219448994204</v>
          </cell>
        </row>
        <row r="30">
          <cell r="BB30">
            <v>29</v>
          </cell>
          <cell r="BC30">
            <v>5001.333333333333</v>
          </cell>
          <cell r="BD30">
            <v>5066.7239050604385</v>
          </cell>
          <cell r="BE30">
            <v>4898.9419567929008</v>
          </cell>
          <cell r="BF30">
            <v>5001.3333319285539</v>
          </cell>
          <cell r="BH30">
            <v>188.49226332487319</v>
          </cell>
        </row>
        <row r="31">
          <cell r="BB31">
            <v>31</v>
          </cell>
          <cell r="BC31">
            <v>4858</v>
          </cell>
          <cell r="BD31">
            <v>5002.5719777629893</v>
          </cell>
          <cell r="BE31">
            <v>4821.2321319379917</v>
          </cell>
          <cell r="BF31">
            <v>5000.3744989029701</v>
          </cell>
          <cell r="BH31">
            <v>504.77420694801748</v>
          </cell>
        </row>
        <row r="32">
          <cell r="BB32">
            <v>35</v>
          </cell>
          <cell r="BC32">
            <v>4833.333333333333</v>
          </cell>
          <cell r="BD32">
            <v>4876.6946026567202</v>
          </cell>
          <cell r="BE32">
            <v>4669.9034476927654</v>
          </cell>
          <cell r="BF32">
            <v>4999.3539167578083</v>
          </cell>
          <cell r="BH32">
            <v>229.90940244655792</v>
          </cell>
        </row>
        <row r="33">
          <cell r="BB33">
            <v>45</v>
          </cell>
          <cell r="BC33">
            <v>4281.666666666667</v>
          </cell>
          <cell r="BD33">
            <v>4575.6847178988646</v>
          </cell>
          <cell r="BE33">
            <v>4312.3374428679663</v>
          </cell>
          <cell r="BF33">
            <v>4998.7038070858653</v>
          </cell>
          <cell r="BH33">
            <v>261.74096609689002</v>
          </cell>
        </row>
        <row r="34">
          <cell r="BB34">
            <v>68</v>
          </cell>
          <cell r="BC34">
            <v>4233</v>
          </cell>
          <cell r="BD34">
            <v>3951.9943790172874</v>
          </cell>
          <cell r="BE34">
            <v>3590.5352376737433</v>
          </cell>
          <cell r="BF34">
            <v>4998.6215751205482</v>
          </cell>
          <cell r="BH34">
            <v>138.61096637712328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7-1"/>
      <sheetName val="T37-2"/>
      <sheetName val="T37-3"/>
      <sheetName val="Mean"/>
      <sheetName val="Kh"/>
      <sheetName val="NLR"/>
      <sheetName val="Sheet1"/>
      <sheetName val="Enzyme"/>
      <sheetName val="NLR-VSS"/>
    </sheetNames>
    <sheetDataSet>
      <sheetData sheetId="0" refreshError="1"/>
      <sheetData sheetId="1">
        <row r="7">
          <cell r="C7">
            <v>0.12620000000000001</v>
          </cell>
          <cell r="D7">
            <v>3</v>
          </cell>
          <cell r="E7">
            <v>0.13750000000000001</v>
          </cell>
        </row>
      </sheetData>
      <sheetData sheetId="2" refreshError="1"/>
      <sheetData sheetId="3" refreshError="1"/>
      <sheetData sheetId="4" refreshError="1"/>
      <sheetData sheetId="5">
        <row r="5">
          <cell r="G5" t="str">
            <v>Average</v>
          </cell>
          <cell r="H5" t="str">
            <v>Contois</v>
          </cell>
          <cell r="I5" t="str">
            <v>First Order</v>
          </cell>
          <cell r="AK5" t="str">
            <v>Average</v>
          </cell>
          <cell r="AL5" t="str">
            <v>Contois</v>
          </cell>
        </row>
        <row r="6">
          <cell r="F6">
            <v>0</v>
          </cell>
          <cell r="G6">
            <v>5508.333333333333</v>
          </cell>
          <cell r="H6">
            <v>4987.8730980429646</v>
          </cell>
          <cell r="I6">
            <v>4719.5386254880777</v>
          </cell>
          <cell r="AJ6">
            <v>0</v>
          </cell>
          <cell r="AK6">
            <v>5508.333333333333</v>
          </cell>
          <cell r="AL6">
            <v>5508.4441160485576</v>
          </cell>
          <cell r="BF6">
            <v>0</v>
          </cell>
          <cell r="BG6">
            <v>5508.333333333333</v>
          </cell>
          <cell r="BH6">
            <v>4851.7156981740281</v>
          </cell>
          <cell r="BI6">
            <v>4685.3459499167311</v>
          </cell>
          <cell r="BM6">
            <v>0</v>
          </cell>
          <cell r="BN6">
            <v>4685.3459499167311</v>
          </cell>
          <cell r="BO6">
            <v>4851.7156981740281</v>
          </cell>
        </row>
        <row r="7">
          <cell r="F7">
            <v>2</v>
          </cell>
          <cell r="G7">
            <v>4792.666666666667</v>
          </cell>
          <cell r="H7">
            <v>4815.6569374408755</v>
          </cell>
          <cell r="I7">
            <v>4631.063709100581</v>
          </cell>
          <cell r="Y7">
            <v>0</v>
          </cell>
          <cell r="Z7">
            <v>5508.333333333333</v>
          </cell>
          <cell r="AA7">
            <v>4851.7156981740281</v>
          </cell>
          <cell r="AJ7">
            <v>2</v>
          </cell>
          <cell r="AK7">
            <v>4792.666666666667</v>
          </cell>
          <cell r="AL7">
            <v>5108.6645069774095</v>
          </cell>
          <cell r="BF7">
            <v>2</v>
          </cell>
          <cell r="BG7">
            <v>4792.666666666667</v>
          </cell>
          <cell r="BH7">
            <v>4749.3419293968136</v>
          </cell>
          <cell r="BI7">
            <v>4605.6334467542811</v>
          </cell>
          <cell r="BM7">
            <v>2</v>
          </cell>
          <cell r="BN7">
            <v>4579.4141991369006</v>
          </cell>
          <cell r="BO7">
            <v>4749.3419293968136</v>
          </cell>
        </row>
        <row r="8">
          <cell r="F8">
            <v>4</v>
          </cell>
          <cell r="G8">
            <v>4649.5</v>
          </cell>
          <cell r="H8">
            <v>4649.4999490710507</v>
          </cell>
          <cell r="I8">
            <v>4544.2473893368106</v>
          </cell>
          <cell r="Y8">
            <v>2</v>
          </cell>
          <cell r="Z8">
            <v>4792.666666666667</v>
          </cell>
          <cell r="AA8">
            <v>4749.3419293968136</v>
          </cell>
          <cell r="AJ8">
            <v>4</v>
          </cell>
          <cell r="AK8">
            <v>4649.5</v>
          </cell>
          <cell r="AL8">
            <v>4540.6302352222183</v>
          </cell>
          <cell r="BF8">
            <v>4</v>
          </cell>
          <cell r="BG8">
            <v>4649.5</v>
          </cell>
          <cell r="BH8">
            <v>4649.1283013173725</v>
          </cell>
          <cell r="BI8">
            <v>4527.7231765772503</v>
          </cell>
          <cell r="BM8">
            <v>4</v>
          </cell>
          <cell r="BN8">
            <v>4475.8774765883327</v>
          </cell>
          <cell r="BO8">
            <v>4649.1283013173725</v>
          </cell>
        </row>
        <row r="9">
          <cell r="F9">
            <v>7</v>
          </cell>
          <cell r="G9">
            <v>4413.5</v>
          </cell>
          <cell r="H9">
            <v>4411.2754803050993</v>
          </cell>
          <cell r="I9">
            <v>4417.0649222988532</v>
          </cell>
          <cell r="Y9">
            <v>4</v>
          </cell>
          <cell r="Z9">
            <v>4649.5</v>
          </cell>
          <cell r="AA9">
            <v>4649.1283013173725</v>
          </cell>
          <cell r="AJ9">
            <v>7</v>
          </cell>
          <cell r="AK9">
            <v>4413.5</v>
          </cell>
          <cell r="AL9">
            <v>4048.97956206453</v>
          </cell>
          <cell r="BF9">
            <v>7</v>
          </cell>
          <cell r="BG9">
            <v>4413.5</v>
          </cell>
          <cell r="BH9">
            <v>4502.7586800521349</v>
          </cell>
          <cell r="BI9">
            <v>4413.500000320556</v>
          </cell>
          <cell r="BM9">
            <v>7</v>
          </cell>
          <cell r="BN9">
            <v>4324.083710736495</v>
          </cell>
          <cell r="BO9">
            <v>4502.7586800521349</v>
          </cell>
        </row>
        <row r="10">
          <cell r="F10">
            <v>11</v>
          </cell>
          <cell r="G10">
            <v>4005</v>
          </cell>
          <cell r="H10">
            <v>4113.5833328034678</v>
          </cell>
          <cell r="I10">
            <v>4253.0080447454684</v>
          </cell>
          <cell r="Y10">
            <v>7</v>
          </cell>
          <cell r="Z10">
            <v>4413.5</v>
          </cell>
          <cell r="AA10">
            <v>4502.7586800521349</v>
          </cell>
          <cell r="AJ10">
            <v>11</v>
          </cell>
          <cell r="AK10">
            <v>4005</v>
          </cell>
          <cell r="AL10">
            <v>3745.0448328216876</v>
          </cell>
          <cell r="BF10">
            <v>11</v>
          </cell>
          <cell r="BG10">
            <v>4005</v>
          </cell>
          <cell r="BH10">
            <v>4314.7422717517084</v>
          </cell>
          <cell r="BI10">
            <v>4266.3674128227613</v>
          </cell>
          <cell r="BM10">
            <v>11</v>
          </cell>
          <cell r="BN10">
            <v>4128.5558829546417</v>
          </cell>
          <cell r="BO10">
            <v>4314.7422717517084</v>
          </cell>
        </row>
        <row r="11">
          <cell r="F11">
            <v>14</v>
          </cell>
          <cell r="G11">
            <v>4305.2666666666664</v>
          </cell>
          <cell r="H11">
            <v>3905.1066744428676</v>
          </cell>
          <cell r="I11">
            <v>4133.976660861691</v>
          </cell>
          <cell r="Y11">
            <v>11</v>
          </cell>
          <cell r="Z11">
            <v>4005</v>
          </cell>
          <cell r="AA11">
            <v>4314.7422717517084</v>
          </cell>
          <cell r="AJ11">
            <v>14</v>
          </cell>
          <cell r="AK11">
            <v>4305.2666666666664</v>
          </cell>
          <cell r="AL11">
            <v>3642.2434671192655</v>
          </cell>
          <cell r="BF11">
            <v>14</v>
          </cell>
          <cell r="BG11">
            <v>4305.2666666666664</v>
          </cell>
          <cell r="BH11">
            <v>4178.9002060478106</v>
          </cell>
          <cell r="BI11">
            <v>4161.0077892023683</v>
          </cell>
          <cell r="BM11">
            <v>14</v>
          </cell>
          <cell r="BN11">
            <v>3988.5410929427562</v>
          </cell>
          <cell r="BO11">
            <v>4178.9002060478106</v>
          </cell>
        </row>
        <row r="12">
          <cell r="F12">
            <v>16</v>
          </cell>
          <cell r="G12">
            <v>4139.333333333333</v>
          </cell>
          <cell r="H12">
            <v>3773.3783630358867</v>
          </cell>
          <cell r="I12">
            <v>4056.4789924577644</v>
          </cell>
          <cell r="Y12">
            <v>14</v>
          </cell>
          <cell r="Z12">
            <v>4305.2666666666664</v>
          </cell>
          <cell r="AA12">
            <v>4178.9002060478106</v>
          </cell>
          <cell r="AJ12">
            <v>16</v>
          </cell>
          <cell r="AK12">
            <v>4139.333333333333</v>
          </cell>
          <cell r="AL12">
            <v>3603.4216969030872</v>
          </cell>
          <cell r="BF12">
            <v>16</v>
          </cell>
          <cell r="BG12">
            <v>4139.333333333333</v>
          </cell>
          <cell r="BH12">
            <v>4090.7232002108849</v>
          </cell>
          <cell r="BI12">
            <v>4093.1501330371043</v>
          </cell>
          <cell r="BM12">
            <v>16</v>
          </cell>
          <cell r="BN12">
            <v>3898.3635168258352</v>
          </cell>
          <cell r="BO12">
            <v>4090.7232002108849</v>
          </cell>
        </row>
        <row r="13">
          <cell r="F13">
            <v>18</v>
          </cell>
          <cell r="G13">
            <v>3647.8333333333335</v>
          </cell>
          <cell r="H13">
            <v>3647.9308095693209</v>
          </cell>
          <cell r="I13">
            <v>3980.4341354992685</v>
          </cell>
          <cell r="Y13">
            <v>16</v>
          </cell>
          <cell r="Z13">
            <v>4139.333333333333</v>
          </cell>
          <cell r="AA13">
            <v>4090.7232002108849</v>
          </cell>
          <cell r="AJ13">
            <v>18</v>
          </cell>
          <cell r="AK13">
            <v>3647.8333333333335</v>
          </cell>
          <cell r="AL13">
            <v>3578.5747707446776</v>
          </cell>
          <cell r="BF13">
            <v>18</v>
          </cell>
          <cell r="BG13">
            <v>3647.8333333333335</v>
          </cell>
          <cell r="BH13">
            <v>4004.4067758607134</v>
          </cell>
          <cell r="BI13">
            <v>4026.8266816879286</v>
          </cell>
          <cell r="BM13">
            <v>18</v>
          </cell>
          <cell r="BN13">
            <v>3810.2247802356555</v>
          </cell>
          <cell r="BO13">
            <v>4004.4067758607134</v>
          </cell>
        </row>
        <row r="14">
          <cell r="F14">
            <v>21</v>
          </cell>
          <cell r="G14">
            <v>3553.5</v>
          </cell>
          <cell r="H14">
            <v>3473.9975178267068</v>
          </cell>
          <cell r="I14">
            <v>3869.0314344881394</v>
          </cell>
          <cell r="Y14">
            <v>18</v>
          </cell>
          <cell r="Z14">
            <v>3647.8333333333335</v>
          </cell>
          <cell r="AA14">
            <v>4004.4067758607134</v>
          </cell>
          <cell r="AJ14">
            <v>21</v>
          </cell>
          <cell r="AK14">
            <v>3553.5</v>
          </cell>
          <cell r="AL14">
            <v>3557.0150008871547</v>
          </cell>
          <cell r="BF14">
            <v>21</v>
          </cell>
          <cell r="BG14">
            <v>3553.5</v>
          </cell>
          <cell r="BH14">
            <v>3878.3350769986714</v>
          </cell>
          <cell r="BI14">
            <v>3929.5907812579153</v>
          </cell>
          <cell r="BM14">
            <v>21</v>
          </cell>
          <cell r="BN14">
            <v>3681.0057899573935</v>
          </cell>
          <cell r="BO14">
            <v>3878.3350769986714</v>
          </cell>
        </row>
        <row r="15">
          <cell r="F15">
            <v>23</v>
          </cell>
          <cell r="G15">
            <v>3796.5</v>
          </cell>
          <cell r="H15">
            <v>3372.0242198122228</v>
          </cell>
          <cell r="I15">
            <v>3796.5005665727331</v>
          </cell>
          <cell r="Y15">
            <v>21</v>
          </cell>
          <cell r="Z15">
            <v>3553.5</v>
          </cell>
          <cell r="AA15">
            <v>3878.3350769986714</v>
          </cell>
          <cell r="AJ15">
            <v>23</v>
          </cell>
          <cell r="AK15">
            <v>3796.5</v>
          </cell>
          <cell r="AL15">
            <v>3548.8695862170894</v>
          </cell>
          <cell r="BF15">
            <v>23</v>
          </cell>
          <cell r="BG15">
            <v>3796.5</v>
          </cell>
          <cell r="BH15">
            <v>3796.5001544448514</v>
          </cell>
          <cell r="BI15">
            <v>3866.9652699702824</v>
          </cell>
          <cell r="BM15">
            <v>23</v>
          </cell>
          <cell r="BN15">
            <v>3597.7813296658737</v>
          </cell>
          <cell r="BO15">
            <v>3796.5001544448514</v>
          </cell>
        </row>
        <row r="16">
          <cell r="F16">
            <v>25</v>
          </cell>
          <cell r="G16">
            <v>3544</v>
          </cell>
          <cell r="H16">
            <v>3293.2698134359366</v>
          </cell>
          <cell r="I16">
            <v>3725.3293998873737</v>
          </cell>
          <cell r="Y16">
            <v>23</v>
          </cell>
          <cell r="Z16">
            <v>3796.5</v>
          </cell>
          <cell r="AA16">
            <v>3796.5001544448514</v>
          </cell>
          <cell r="AJ16">
            <v>25</v>
          </cell>
          <cell r="AK16">
            <v>3544</v>
          </cell>
          <cell r="AL16">
            <v>3543.6552310334805</v>
          </cell>
          <cell r="BF16">
            <v>25</v>
          </cell>
          <cell r="BG16">
            <v>3544</v>
          </cell>
          <cell r="BH16">
            <v>3716.3919920642584</v>
          </cell>
          <cell r="BI16">
            <v>3805.7556690818164</v>
          </cell>
          <cell r="BM16">
            <v>25</v>
          </cell>
          <cell r="BN16">
            <v>3516.4385047713185</v>
          </cell>
          <cell r="BO16">
            <v>3716.3919920642584</v>
          </cell>
        </row>
        <row r="17">
          <cell r="F17">
            <v>30</v>
          </cell>
          <cell r="G17">
            <v>3508.6666666666665</v>
          </cell>
          <cell r="H17">
            <v>3269.8183641776136</v>
          </cell>
          <cell r="I17">
            <v>3553.1840738694909</v>
          </cell>
          <cell r="Y17">
            <v>25</v>
          </cell>
          <cell r="Z17">
            <v>3544</v>
          </cell>
          <cell r="AA17">
            <v>3716.3919920642584</v>
          </cell>
          <cell r="AJ17">
            <v>30</v>
          </cell>
          <cell r="AK17">
            <v>3508.6666666666665</v>
          </cell>
          <cell r="AL17">
            <v>3537.4201927578229</v>
          </cell>
          <cell r="BF17">
            <v>30</v>
          </cell>
          <cell r="BG17">
            <v>3508.6666666666665</v>
          </cell>
          <cell r="BH17">
            <v>3523.4389415438181</v>
          </cell>
          <cell r="BI17">
            <v>3656.19141148568</v>
          </cell>
          <cell r="BM17">
            <v>30</v>
          </cell>
          <cell r="BN17">
            <v>3317.6791755233608</v>
          </cell>
          <cell r="BO17">
            <v>3523.4389415438181</v>
          </cell>
        </row>
        <row r="18">
          <cell r="F18">
            <v>43</v>
          </cell>
          <cell r="G18">
            <v>2665.6666666666665</v>
          </cell>
          <cell r="H18">
            <v>3269.8010867659673</v>
          </cell>
          <cell r="I18">
            <v>3141.9232865706667</v>
          </cell>
          <cell r="Y18">
            <v>30</v>
          </cell>
          <cell r="Z18">
            <v>3508.6666666666665</v>
          </cell>
          <cell r="AA18">
            <v>3523.4389415438181</v>
          </cell>
          <cell r="AJ18">
            <v>43</v>
          </cell>
          <cell r="AK18">
            <v>2665.6666666666665</v>
          </cell>
          <cell r="AL18">
            <v>3534.5455669679086</v>
          </cell>
          <cell r="BF18">
            <v>43</v>
          </cell>
          <cell r="BG18">
            <v>2665.6666666666665</v>
          </cell>
          <cell r="BH18">
            <v>3067.3572403217113</v>
          </cell>
          <cell r="BI18">
            <v>3289.3042392499988</v>
          </cell>
          <cell r="BM18">
            <v>43</v>
          </cell>
          <cell r="BN18">
            <v>2830.1145030856892</v>
          </cell>
          <cell r="BO18">
            <v>3067.3572403217113</v>
          </cell>
        </row>
        <row r="19">
          <cell r="F19">
            <v>49</v>
          </cell>
          <cell r="G19">
            <v>3148.3333333333335</v>
          </cell>
          <cell r="H19">
            <v>3269.8010867686316</v>
          </cell>
          <cell r="I19">
            <v>2968.5147382681171</v>
          </cell>
          <cell r="Y19">
            <v>43</v>
          </cell>
          <cell r="Z19">
            <v>2665.6666666666665</v>
          </cell>
          <cell r="AA19">
            <v>3067.3572403217113</v>
          </cell>
          <cell r="AJ19">
            <v>49</v>
          </cell>
          <cell r="AK19">
            <v>3148.3333333333335</v>
          </cell>
          <cell r="AL19">
            <v>3534.4219597600845</v>
          </cell>
          <cell r="BF19">
            <v>49</v>
          </cell>
          <cell r="BG19">
            <v>3148.3333333333335</v>
          </cell>
          <cell r="BH19">
            <v>2877.2569003866151</v>
          </cell>
          <cell r="BI19">
            <v>3144.8567339715532</v>
          </cell>
          <cell r="BM19">
            <v>49</v>
          </cell>
          <cell r="BN19">
            <v>2638.15494187682</v>
          </cell>
          <cell r="BO19">
            <v>2877.2569003866151</v>
          </cell>
        </row>
        <row r="20">
          <cell r="F20">
            <v>59</v>
          </cell>
          <cell r="G20">
            <v>2930</v>
          </cell>
          <cell r="H20">
            <v>3269.8010867686335</v>
          </cell>
          <cell r="I20">
            <v>2700.5067273010627</v>
          </cell>
          <cell r="Y20">
            <v>49</v>
          </cell>
          <cell r="Z20">
            <v>3148.3333333333335</v>
          </cell>
          <cell r="AA20">
            <v>2877.2569003866151</v>
          </cell>
          <cell r="AJ20">
            <v>59</v>
          </cell>
          <cell r="AK20">
            <v>2930</v>
          </cell>
          <cell r="AL20">
            <v>3534.3827187596598</v>
          </cell>
          <cell r="BF20">
            <v>59</v>
          </cell>
          <cell r="BG20">
            <v>2930</v>
          </cell>
          <cell r="BH20">
            <v>2586.2416940550052</v>
          </cell>
          <cell r="BI20">
            <v>2920.4400778747649</v>
          </cell>
          <cell r="BM20">
            <v>59</v>
          </cell>
          <cell r="BN20">
            <v>2339.9225650056533</v>
          </cell>
          <cell r="BO20">
            <v>2586.2416940550052</v>
          </cell>
        </row>
        <row r="21">
          <cell r="F21">
            <v>82</v>
          </cell>
          <cell r="G21">
            <v>2882.3333333333335</v>
          </cell>
          <cell r="H21">
            <v>3269.8010867686335</v>
          </cell>
          <cell r="I21">
            <v>2172.3469461321952</v>
          </cell>
          <cell r="Y21">
            <v>59</v>
          </cell>
          <cell r="Z21">
            <v>2930</v>
          </cell>
          <cell r="AA21">
            <v>2586.2416940550052</v>
          </cell>
          <cell r="AJ21">
            <v>82</v>
          </cell>
          <cell r="AK21">
            <v>2882.3333333333335</v>
          </cell>
          <cell r="AL21">
            <v>3534.3780183897261</v>
          </cell>
          <cell r="BF21">
            <v>82</v>
          </cell>
          <cell r="BG21">
            <v>2882.3333333333335</v>
          </cell>
          <cell r="BH21">
            <v>2023.7515142544016</v>
          </cell>
          <cell r="BI21">
            <v>2462.6313058327596</v>
          </cell>
          <cell r="BM21">
            <v>82</v>
          </cell>
          <cell r="BN21">
            <v>1731.5301193946998</v>
          </cell>
          <cell r="BO21">
            <v>2023.7515142544016</v>
          </cell>
        </row>
        <row r="22">
          <cell r="Y22">
            <v>82</v>
          </cell>
          <cell r="Z22">
            <v>2882.3333333333335</v>
          </cell>
          <cell r="AA22">
            <v>2023.7515142544016</v>
          </cell>
        </row>
        <row r="50">
          <cell r="D50" t="str">
            <v>Average</v>
          </cell>
          <cell r="E50" t="str">
            <v>First Order</v>
          </cell>
          <cell r="F50" t="str">
            <v>Contois</v>
          </cell>
          <cell r="G50" t="str">
            <v>Contois</v>
          </cell>
        </row>
        <row r="51">
          <cell r="C51">
            <v>0</v>
          </cell>
          <cell r="D51">
            <v>5508.333333333333</v>
          </cell>
          <cell r="E51">
            <v>4851.7156981740281</v>
          </cell>
          <cell r="F51">
            <v>4987.8730980429646</v>
          </cell>
          <cell r="G51">
            <v>5508.4441160485576</v>
          </cell>
          <cell r="I51">
            <v>724.49729698138685</v>
          </cell>
        </row>
        <row r="52">
          <cell r="C52">
            <v>2</v>
          </cell>
          <cell r="D52">
            <v>4792.666666666667</v>
          </cell>
          <cell r="E52">
            <v>4749.3419293968136</v>
          </cell>
          <cell r="F52">
            <v>4815.6569374408755</v>
          </cell>
          <cell r="G52">
            <v>5108.6645069774095</v>
          </cell>
          <cell r="I52">
            <v>630.16056155025751</v>
          </cell>
        </row>
        <row r="53">
          <cell r="C53">
            <v>4</v>
          </cell>
          <cell r="D53">
            <v>4649.5</v>
          </cell>
          <cell r="E53">
            <v>4649.1283013173725</v>
          </cell>
          <cell r="F53">
            <v>4649.4999490710507</v>
          </cell>
          <cell r="G53">
            <v>4540.6302352222183</v>
          </cell>
          <cell r="I53">
            <v>490.60855067966355</v>
          </cell>
        </row>
        <row r="54">
          <cell r="C54">
            <v>7</v>
          </cell>
          <cell r="D54">
            <v>4413.5</v>
          </cell>
          <cell r="E54">
            <v>4502.7586800521349</v>
          </cell>
          <cell r="F54">
            <v>4411.2754803050993</v>
          </cell>
          <cell r="G54">
            <v>4048.97956206453</v>
          </cell>
          <cell r="I54">
            <v>153.29954337831538</v>
          </cell>
        </row>
        <row r="55">
          <cell r="C55">
            <v>11</v>
          </cell>
          <cell r="D55">
            <v>4005</v>
          </cell>
          <cell r="E55">
            <v>4314.7422717517084</v>
          </cell>
          <cell r="F55">
            <v>4113.5833328034678</v>
          </cell>
          <cell r="G55">
            <v>3745.0448328216876</v>
          </cell>
          <cell r="I55">
            <v>917.11749519895216</v>
          </cell>
        </row>
        <row r="56">
          <cell r="C56">
            <v>14</v>
          </cell>
          <cell r="D56">
            <v>4305.2666666666664</v>
          </cell>
          <cell r="E56">
            <v>4178.9002060478106</v>
          </cell>
          <cell r="F56">
            <v>3905.1066744428676</v>
          </cell>
          <cell r="G56">
            <v>3642.2434671192655</v>
          </cell>
          <cell r="I56">
            <v>196.03696930256112</v>
          </cell>
        </row>
        <row r="57">
          <cell r="C57">
            <v>16</v>
          </cell>
          <cell r="D57">
            <v>4139.333333333333</v>
          </cell>
          <cell r="E57">
            <v>4090.7232002108849</v>
          </cell>
          <cell r="F57">
            <v>3773.3783630358867</v>
          </cell>
          <cell r="G57">
            <v>3603.4216969030872</v>
          </cell>
          <cell r="I57">
            <v>234.4724575154475</v>
          </cell>
        </row>
        <row r="58">
          <cell r="C58">
            <v>18</v>
          </cell>
          <cell r="D58">
            <v>3647.8333333333335</v>
          </cell>
          <cell r="E58">
            <v>4004.4067758607134</v>
          </cell>
          <cell r="F58">
            <v>3647.9308095693209</v>
          </cell>
          <cell r="G58">
            <v>3578.5747707446776</v>
          </cell>
          <cell r="I58">
            <v>475.31156448516174</v>
          </cell>
        </row>
        <row r="59">
          <cell r="C59">
            <v>21</v>
          </cell>
          <cell r="D59">
            <v>3553.5</v>
          </cell>
          <cell r="E59">
            <v>3878.3350769986714</v>
          </cell>
          <cell r="F59">
            <v>3473.9975178267068</v>
          </cell>
          <cell r="G59">
            <v>3557.0150008871547</v>
          </cell>
          <cell r="I59">
            <v>561.81825353044553</v>
          </cell>
        </row>
        <row r="60">
          <cell r="C60">
            <v>23</v>
          </cell>
          <cell r="D60">
            <v>3796.5</v>
          </cell>
          <cell r="E60">
            <v>3796.5001544448514</v>
          </cell>
          <cell r="F60">
            <v>3372.0242198122228</v>
          </cell>
          <cell r="G60">
            <v>3548.8695862170894</v>
          </cell>
          <cell r="I60">
            <v>599.60424448130789</v>
          </cell>
        </row>
        <row r="61">
          <cell r="C61">
            <v>25</v>
          </cell>
          <cell r="D61">
            <v>3544</v>
          </cell>
          <cell r="E61">
            <v>3716.3919920642584</v>
          </cell>
          <cell r="F61">
            <v>3293.2698134359366</v>
          </cell>
          <cell r="G61">
            <v>3543.6552310334805</v>
          </cell>
          <cell r="I61">
            <v>867.32750446414411</v>
          </cell>
        </row>
        <row r="62">
          <cell r="C62">
            <v>30</v>
          </cell>
          <cell r="D62">
            <v>3508.6666666666665</v>
          </cell>
          <cell r="E62">
            <v>3523.4389415438181</v>
          </cell>
          <cell r="F62">
            <v>3269.8183641776136</v>
          </cell>
          <cell r="G62">
            <v>3537.4201927578229</v>
          </cell>
          <cell r="I62">
            <v>300.59995564426379</v>
          </cell>
        </row>
        <row r="63">
          <cell r="C63">
            <v>43</v>
          </cell>
          <cell r="D63">
            <v>2665.6666666666665</v>
          </cell>
          <cell r="E63">
            <v>3067.3572403217113</v>
          </cell>
          <cell r="F63">
            <v>3269.8010867659673</v>
          </cell>
          <cell r="G63">
            <v>3534.5455669679086</v>
          </cell>
          <cell r="I63">
            <v>216.55099476412786</v>
          </cell>
        </row>
        <row r="64">
          <cell r="C64">
            <v>49</v>
          </cell>
          <cell r="D64">
            <v>3148.3333333333335</v>
          </cell>
          <cell r="E64">
            <v>2877.2569003866151</v>
          </cell>
          <cell r="F64">
            <v>3269.8010867686316</v>
          </cell>
          <cell r="G64">
            <v>3534.4219597600845</v>
          </cell>
          <cell r="I64">
            <v>258.90796305508513</v>
          </cell>
        </row>
        <row r="65">
          <cell r="C65">
            <v>59</v>
          </cell>
          <cell r="D65">
            <v>2930</v>
          </cell>
          <cell r="E65">
            <v>2586.2416940550052</v>
          </cell>
          <cell r="F65">
            <v>3269.8010867686335</v>
          </cell>
          <cell r="G65">
            <v>3534.3827187596598</v>
          </cell>
          <cell r="I65">
            <v>66.143782776614771</v>
          </cell>
        </row>
        <row r="66">
          <cell r="C66">
            <v>82</v>
          </cell>
          <cell r="D66">
            <v>2882.3333333333335</v>
          </cell>
          <cell r="E66">
            <v>2023.7515142544016</v>
          </cell>
          <cell r="F66">
            <v>3269.8010867686335</v>
          </cell>
          <cell r="G66">
            <v>3534.3780183897261</v>
          </cell>
          <cell r="I66">
            <v>301.46365176142439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-1"/>
      <sheetName val="T7-2"/>
      <sheetName val="T7-3"/>
      <sheetName val="T7-Av"/>
      <sheetName val="kh"/>
      <sheetName val="Non First order"/>
      <sheetName val="NLR"/>
    </sheetNames>
    <sheetDataSet>
      <sheetData sheetId="0">
        <row r="15">
          <cell r="B15">
            <v>220324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G5" t="str">
            <v>Average</v>
          </cell>
          <cell r="H5" t="str">
            <v>Contois</v>
          </cell>
          <cell r="I5" t="str">
            <v>First Order</v>
          </cell>
        </row>
        <row r="6">
          <cell r="F6">
            <v>0</v>
          </cell>
          <cell r="G6">
            <v>11096.333333333334</v>
          </cell>
          <cell r="H6">
            <v>11077.458095842951</v>
          </cell>
          <cell r="I6">
            <v>10499.957888980394</v>
          </cell>
        </row>
        <row r="7">
          <cell r="F7">
            <v>2</v>
          </cell>
          <cell r="G7">
            <v>10621.333333333334</v>
          </cell>
          <cell r="H7">
            <v>10787.837441789759</v>
          </cell>
          <cell r="I7">
            <v>10309.194838838288</v>
          </cell>
        </row>
        <row r="8">
          <cell r="F8">
            <v>6</v>
          </cell>
          <cell r="G8">
            <v>10237.666666666666</v>
          </cell>
          <cell r="H8">
            <v>10232.467055573377</v>
          </cell>
          <cell r="I8">
            <v>9938.0031115422335</v>
          </cell>
        </row>
        <row r="9">
          <cell r="F9">
            <v>10</v>
          </cell>
          <cell r="G9">
            <v>9305.6666666666661</v>
          </cell>
          <cell r="H9">
            <v>9709.1956872586561</v>
          </cell>
          <cell r="I9">
            <v>9580.1764724579116</v>
          </cell>
        </row>
        <row r="10">
          <cell r="F10">
            <v>13</v>
          </cell>
          <cell r="G10">
            <v>8975.6666666666661</v>
          </cell>
          <cell r="H10">
            <v>9339.2097487655647</v>
          </cell>
          <cell r="I10">
            <v>9320.2871898506892</v>
          </cell>
        </row>
        <row r="11">
          <cell r="F11">
            <v>16</v>
          </cell>
          <cell r="G11">
            <v>8976.6666666666661</v>
          </cell>
          <cell r="H11">
            <v>8991.8845177178609</v>
          </cell>
          <cell r="I11">
            <v>9067.4481363711111</v>
          </cell>
        </row>
        <row r="12">
          <cell r="F12">
            <v>17</v>
          </cell>
          <cell r="G12">
            <v>8882.3333333333339</v>
          </cell>
          <cell r="H12">
            <v>8882.3329756092444</v>
          </cell>
          <cell r="I12">
            <v>8984.7019618111117</v>
          </cell>
        </row>
        <row r="13">
          <cell r="F13">
            <v>21</v>
          </cell>
          <cell r="G13">
            <v>9425</v>
          </cell>
          <cell r="H13">
            <v>8493.6693877746475</v>
          </cell>
          <cell r="I13">
            <v>8661.199778315593</v>
          </cell>
        </row>
        <row r="14">
          <cell r="F14">
            <v>23</v>
          </cell>
          <cell r="G14">
            <v>9043.3333333333339</v>
          </cell>
          <cell r="H14">
            <v>8356.3256270218171</v>
          </cell>
          <cell r="I14">
            <v>8503.8432531684175</v>
          </cell>
        </row>
        <row r="15">
          <cell r="F15">
            <v>27</v>
          </cell>
          <cell r="G15">
            <v>7810</v>
          </cell>
          <cell r="H15">
            <v>8295.3575333225399</v>
          </cell>
          <cell r="I15">
            <v>8197.6548150658946</v>
          </cell>
        </row>
        <row r="41">
          <cell r="G41" t="str">
            <v>Average</v>
          </cell>
          <cell r="H41" t="str">
            <v>MM</v>
          </cell>
          <cell r="I41" t="str">
            <v>First Order</v>
          </cell>
        </row>
        <row r="42">
          <cell r="F42">
            <v>0</v>
          </cell>
          <cell r="G42">
            <v>11096.333333333334</v>
          </cell>
          <cell r="H42">
            <v>11096.068334921569</v>
          </cell>
          <cell r="I42">
            <v>10499.957888980394</v>
          </cell>
        </row>
        <row r="43">
          <cell r="F43">
            <v>2</v>
          </cell>
          <cell r="G43">
            <v>10621.333333333334</v>
          </cell>
          <cell r="H43">
            <v>10348.63134158345</v>
          </cell>
          <cell r="I43">
            <v>10309.194838838288</v>
          </cell>
        </row>
        <row r="44">
          <cell r="F44">
            <v>6</v>
          </cell>
          <cell r="G44">
            <v>10237.666666666666</v>
          </cell>
          <cell r="H44">
            <v>9571.796033797018</v>
          </cell>
          <cell r="I44">
            <v>9938.0031115422335</v>
          </cell>
        </row>
        <row r="45">
          <cell r="F45">
            <v>10</v>
          </cell>
          <cell r="G45">
            <v>9305.6666666666661</v>
          </cell>
          <cell r="H45">
            <v>9254.1891531382425</v>
          </cell>
          <cell r="I45">
            <v>9580.1764724579116</v>
          </cell>
        </row>
        <row r="46">
          <cell r="F46">
            <v>13</v>
          </cell>
          <cell r="G46">
            <v>8975.6666666666661</v>
          </cell>
          <cell r="H46">
            <v>9146.0233796052926</v>
          </cell>
          <cell r="I46">
            <v>9320.2871898506892</v>
          </cell>
        </row>
        <row r="47">
          <cell r="F47">
            <v>16</v>
          </cell>
          <cell r="G47">
            <v>8976.6666666666661</v>
          </cell>
          <cell r="H47">
            <v>9090.2141769711125</v>
          </cell>
          <cell r="I47">
            <v>9067.4481363711111</v>
          </cell>
        </row>
        <row r="48">
          <cell r="F48">
            <v>17</v>
          </cell>
          <cell r="G48">
            <v>8882.3333333333339</v>
          </cell>
          <cell r="H48">
            <v>9078.4294910381541</v>
          </cell>
          <cell r="I48">
            <v>8984.7019618111117</v>
          </cell>
        </row>
        <row r="49">
          <cell r="F49">
            <v>21</v>
          </cell>
          <cell r="G49">
            <v>9425</v>
          </cell>
          <cell r="H49">
            <v>9050.402969706025</v>
          </cell>
          <cell r="I49">
            <v>8661.199778315593</v>
          </cell>
        </row>
        <row r="50">
          <cell r="F50">
            <v>23</v>
          </cell>
          <cell r="G50">
            <v>9043.3333333333339</v>
          </cell>
          <cell r="H50">
            <v>9043.3293440770321</v>
          </cell>
          <cell r="I50">
            <v>8503.8432531684175</v>
          </cell>
        </row>
        <row r="51">
          <cell r="F51">
            <v>27</v>
          </cell>
          <cell r="G51">
            <v>7810</v>
          </cell>
          <cell r="H51">
            <v>9035.8352907942844</v>
          </cell>
          <cell r="I51">
            <v>8197.6548150658946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0-1"/>
      <sheetName val="T20-2"/>
      <sheetName val="T20-3"/>
      <sheetName val="T20-Av"/>
      <sheetName val="Non First Order"/>
      <sheetName val="kh"/>
      <sheetName val="NL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6">
          <cell r="F6">
            <v>0</v>
          </cell>
          <cell r="G6">
            <v>8319.3333333333339</v>
          </cell>
          <cell r="H6">
            <v>8969.3973817825645</v>
          </cell>
          <cell r="I6">
            <v>9064.545668941746</v>
          </cell>
        </row>
        <row r="7">
          <cell r="F7">
            <v>2</v>
          </cell>
          <cell r="G7">
            <v>9742</v>
          </cell>
          <cell r="H7">
            <v>8697.5241618002492</v>
          </cell>
          <cell r="I7">
            <v>8805.989284685862</v>
          </cell>
        </row>
        <row r="8">
          <cell r="F8">
            <v>6</v>
          </cell>
          <cell r="G8">
            <v>9214.3333333333339</v>
          </cell>
          <cell r="H8">
            <v>8179.4293906371995</v>
          </cell>
          <cell r="I8">
            <v>8310.791276672182</v>
          </cell>
        </row>
        <row r="9">
          <cell r="F9">
            <v>10</v>
          </cell>
          <cell r="G9">
            <v>7507.666666666667</v>
          </cell>
          <cell r="H9">
            <v>7695.1993390783164</v>
          </cell>
          <cell r="I9">
            <v>7843.4403462795435</v>
          </cell>
        </row>
        <row r="10">
          <cell r="F10">
            <v>13</v>
          </cell>
          <cell r="G10">
            <v>7355</v>
          </cell>
          <cell r="H10">
            <v>7354.9934073536342</v>
          </cell>
          <cell r="I10">
            <v>7510.2564125960507</v>
          </cell>
        </row>
        <row r="11">
          <cell r="F11">
            <v>16</v>
          </cell>
          <cell r="G11">
            <v>7221</v>
          </cell>
          <cell r="H11">
            <v>7036.8633850929637</v>
          </cell>
          <cell r="I11">
            <v>7191.2259025077874</v>
          </cell>
        </row>
        <row r="12">
          <cell r="F12">
            <v>17</v>
          </cell>
          <cell r="G12">
            <v>6876.5</v>
          </cell>
          <cell r="H12">
            <v>6936.5961788416898</v>
          </cell>
          <cell r="I12">
            <v>7087.9229421639202</v>
          </cell>
        </row>
        <row r="13">
          <cell r="F13">
            <v>21</v>
          </cell>
          <cell r="G13">
            <v>6810</v>
          </cell>
          <cell r="H13">
            <v>6577.7686093327293</v>
          </cell>
          <cell r="I13">
            <v>6689.339068343178</v>
          </cell>
        </row>
        <row r="14">
          <cell r="F14">
            <v>23</v>
          </cell>
          <cell r="G14">
            <v>6443</v>
          </cell>
          <cell r="H14">
            <v>6443.0374279454354</v>
          </cell>
          <cell r="I14">
            <v>6498.5328894412896</v>
          </cell>
        </row>
        <row r="15">
          <cell r="F15">
            <v>27</v>
          </cell>
          <cell r="G15">
            <v>6128.333333333333</v>
          </cell>
          <cell r="H15">
            <v>6363.3446218176123</v>
          </cell>
          <cell r="I15">
            <v>6133.0929101468437</v>
          </cell>
        </row>
        <row r="41">
          <cell r="G41" t="str">
            <v>Average</v>
          </cell>
          <cell r="H41" t="str">
            <v>MM</v>
          </cell>
          <cell r="I41" t="str">
            <v>First Order</v>
          </cell>
          <cell r="J41" t="str">
            <v>Contois</v>
          </cell>
        </row>
        <row r="42">
          <cell r="F42">
            <v>0</v>
          </cell>
          <cell r="G42">
            <v>8319.3333333333339</v>
          </cell>
          <cell r="H42">
            <v>8367.565724215101</v>
          </cell>
          <cell r="I42">
            <v>9064.545668941746</v>
          </cell>
          <cell r="J42">
            <v>8969.3493506539562</v>
          </cell>
          <cell r="L42">
            <v>463.90827637463946</v>
          </cell>
        </row>
        <row r="43">
          <cell r="F43">
            <v>2</v>
          </cell>
          <cell r="G43">
            <v>9742</v>
          </cell>
          <cell r="H43">
            <v>7680.7025482136678</v>
          </cell>
          <cell r="I43">
            <v>8805.989284685862</v>
          </cell>
          <cell r="J43">
            <v>8697.4767378986508</v>
          </cell>
          <cell r="L43">
            <v>894.62729669958094</v>
          </cell>
        </row>
        <row r="44">
          <cell r="F44">
            <v>6</v>
          </cell>
          <cell r="G44">
            <v>9214.3333333333339</v>
          </cell>
          <cell r="H44">
            <v>6978.6033092254156</v>
          </cell>
          <cell r="I44">
            <v>8310.791276672182</v>
          </cell>
          <cell r="J44">
            <v>8179.3831924777278</v>
          </cell>
          <cell r="L44">
            <v>271.48767109310057</v>
          </cell>
        </row>
        <row r="45">
          <cell r="F45">
            <v>10</v>
          </cell>
          <cell r="G45">
            <v>7507.666666666667</v>
          </cell>
          <cell r="H45">
            <v>6694.9786406250923</v>
          </cell>
          <cell r="I45">
            <v>7843.4403462795435</v>
          </cell>
          <cell r="J45">
            <v>7695.1543630715823</v>
          </cell>
          <cell r="L45">
            <v>497.71767990386769</v>
          </cell>
        </row>
        <row r="46">
          <cell r="F46">
            <v>13</v>
          </cell>
          <cell r="G46">
            <v>7355</v>
          </cell>
          <cell r="H46">
            <v>6598.7248233842847</v>
          </cell>
          <cell r="I46">
            <v>7510.2564125960507</v>
          </cell>
          <cell r="J46">
            <v>7354.9493230552316</v>
          </cell>
          <cell r="L46">
            <v>626</v>
          </cell>
        </row>
        <row r="47">
          <cell r="F47">
            <v>16</v>
          </cell>
          <cell r="G47">
            <v>7221</v>
          </cell>
          <cell r="H47">
            <v>6549.0702309475746</v>
          </cell>
          <cell r="I47">
            <v>7191.2259025077874</v>
          </cell>
          <cell r="J47">
            <v>7036.8201349879255</v>
          </cell>
          <cell r="L47">
            <v>425.89278776080096</v>
          </cell>
        </row>
        <row r="48">
          <cell r="F48">
            <v>17</v>
          </cell>
          <cell r="G48">
            <v>6876.5</v>
          </cell>
          <cell r="H48">
            <v>6538.5785139687514</v>
          </cell>
          <cell r="I48">
            <v>7087.9229421639202</v>
          </cell>
          <cell r="J48">
            <v>6936.5531829358069</v>
          </cell>
          <cell r="L48">
            <v>77.5</v>
          </cell>
        </row>
        <row r="49">
          <cell r="F49">
            <v>21</v>
          </cell>
          <cell r="G49">
            <v>6810</v>
          </cell>
          <cell r="H49">
            <v>6513.5987170010476</v>
          </cell>
          <cell r="I49">
            <v>6689.339068343178</v>
          </cell>
          <cell r="J49">
            <v>6577.7263526000288</v>
          </cell>
          <cell r="L49">
            <v>131.59280628767922</v>
          </cell>
        </row>
        <row r="50">
          <cell r="F50">
            <v>23</v>
          </cell>
          <cell r="G50">
            <v>6443</v>
          </cell>
          <cell r="H50">
            <v>6507.2815331352267</v>
          </cell>
          <cell r="I50">
            <v>6498.5328894412896</v>
          </cell>
          <cell r="J50">
            <v>6442.9951691650494</v>
          </cell>
          <cell r="L50">
            <v>46.504480070920764</v>
          </cell>
        </row>
        <row r="51">
          <cell r="F51">
            <v>27</v>
          </cell>
          <cell r="G51">
            <v>6128.333333333333</v>
          </cell>
          <cell r="H51">
            <v>6500.57568899135</v>
          </cell>
          <cell r="I51">
            <v>6133.0929101468437</v>
          </cell>
          <cell r="J51">
            <v>6363.3018796206761</v>
          </cell>
          <cell r="L51">
            <v>93.660142121514099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T10"/>
      <sheetName val="T10 - NLR"/>
      <sheetName val="T10- 35 rpm"/>
      <sheetName val="T10 - 35 rpm NLR"/>
      <sheetName val="T10 - 85 rpm"/>
      <sheetName val="T10 85 rpm NLR"/>
      <sheetName val="Non first order fitting"/>
    </sheetNames>
    <sheetDataSet>
      <sheetData sheetId="0"/>
      <sheetData sheetId="1">
        <row r="35">
          <cell r="C35">
            <v>44663</v>
          </cell>
          <cell r="D35">
            <v>0</v>
          </cell>
        </row>
        <row r="36">
          <cell r="C36">
            <v>44665</v>
          </cell>
          <cell r="D36">
            <v>2</v>
          </cell>
        </row>
        <row r="37">
          <cell r="C37">
            <v>44671</v>
          </cell>
          <cell r="D37">
            <v>8</v>
          </cell>
        </row>
        <row r="38">
          <cell r="C38">
            <v>44673</v>
          </cell>
          <cell r="D38">
            <v>10</v>
          </cell>
        </row>
        <row r="39">
          <cell r="C39">
            <v>44678</v>
          </cell>
          <cell r="D39">
            <v>15</v>
          </cell>
        </row>
        <row r="40">
          <cell r="C40">
            <v>44680</v>
          </cell>
          <cell r="D40">
            <v>17</v>
          </cell>
        </row>
        <row r="41">
          <cell r="C41">
            <v>44684</v>
          </cell>
          <cell r="D41">
            <v>21</v>
          </cell>
        </row>
        <row r="42">
          <cell r="C42">
            <v>44686</v>
          </cell>
          <cell r="D42">
            <v>23</v>
          </cell>
        </row>
      </sheetData>
      <sheetData sheetId="2">
        <row r="5">
          <cell r="G5" t="str">
            <v>Average</v>
          </cell>
          <cell r="H5" t="str">
            <v>Contois</v>
          </cell>
          <cell r="I5" t="str">
            <v>First Order</v>
          </cell>
        </row>
        <row r="6">
          <cell r="F6">
            <v>0</v>
          </cell>
          <cell r="G6">
            <v>9095</v>
          </cell>
          <cell r="H6">
            <v>8996.8758121363371</v>
          </cell>
          <cell r="I6">
            <v>9058</v>
          </cell>
        </row>
        <row r="7">
          <cell r="F7">
            <v>2</v>
          </cell>
          <cell r="G7">
            <v>8640.6666666666661</v>
          </cell>
          <cell r="H7">
            <v>8872.58146961686</v>
          </cell>
          <cell r="I7">
            <v>8926.7139204508167</v>
          </cell>
        </row>
        <row r="8">
          <cell r="F8">
            <v>8</v>
          </cell>
          <cell r="G8">
            <v>8509.5</v>
          </cell>
          <cell r="H8">
            <v>8513.5217982365957</v>
          </cell>
          <cell r="I8">
            <v>8544.1628751083008</v>
          </cell>
        </row>
        <row r="9">
          <cell r="F9">
            <v>10</v>
          </cell>
          <cell r="G9">
            <v>8674</v>
          </cell>
          <cell r="H9">
            <v>8399.4352907544435</v>
          </cell>
          <cell r="I9">
            <v>8420.3243183736304</v>
          </cell>
        </row>
        <row r="10">
          <cell r="F10">
            <v>15</v>
          </cell>
          <cell r="G10">
            <v>8271</v>
          </cell>
          <cell r="H10">
            <v>8132.690013355289</v>
          </cell>
          <cell r="I10">
            <v>8118.5238447919828</v>
          </cell>
        </row>
        <row r="11">
          <cell r="F11">
            <v>17</v>
          </cell>
          <cell r="G11">
            <v>7746</v>
          </cell>
          <cell r="H11">
            <v>8036.8264370192855</v>
          </cell>
          <cell r="I11">
            <v>8000.8544732630253</v>
          </cell>
        </row>
        <row r="12">
          <cell r="F12">
            <v>21</v>
          </cell>
          <cell r="G12">
            <v>7876</v>
          </cell>
          <cell r="H12">
            <v>7875.9999232682139</v>
          </cell>
          <cell r="I12">
            <v>7770.6074882088351</v>
          </cell>
        </row>
        <row r="34">
          <cell r="G34" t="str">
            <v>Average</v>
          </cell>
          <cell r="H34" t="str">
            <v>MM</v>
          </cell>
          <cell r="I34" t="str">
            <v>First Order</v>
          </cell>
        </row>
        <row r="35">
          <cell r="F35">
            <v>0</v>
          </cell>
          <cell r="G35">
            <v>9095</v>
          </cell>
          <cell r="H35">
            <v>9095.0002476583541</v>
          </cell>
          <cell r="I35">
            <v>9058</v>
          </cell>
        </row>
        <row r="36">
          <cell r="F36">
            <v>2</v>
          </cell>
          <cell r="G36">
            <v>8640.6666666666661</v>
          </cell>
          <cell r="H36">
            <v>8790.20245708517</v>
          </cell>
          <cell r="I36">
            <v>8926.7139204508167</v>
          </cell>
        </row>
        <row r="37">
          <cell r="F37">
            <v>8</v>
          </cell>
          <cell r="G37">
            <v>8509.5</v>
          </cell>
          <cell r="H37">
            <v>8387.4757762199461</v>
          </cell>
          <cell r="I37">
            <v>8544.1628751083008</v>
          </cell>
        </row>
        <row r="38">
          <cell r="F38">
            <v>10</v>
          </cell>
          <cell r="G38">
            <v>8674</v>
          </cell>
          <cell r="H38">
            <v>8334.9342310842621</v>
          </cell>
          <cell r="I38">
            <v>8420.3243183736304</v>
          </cell>
        </row>
        <row r="39">
          <cell r="F39">
            <v>15</v>
          </cell>
          <cell r="G39">
            <v>8271</v>
          </cell>
          <cell r="H39">
            <v>8270.9950712426853</v>
          </cell>
          <cell r="I39">
            <v>8118.5238447919828</v>
          </cell>
        </row>
        <row r="40">
          <cell r="F40">
            <v>17</v>
          </cell>
          <cell r="G40">
            <v>7746</v>
          </cell>
          <cell r="H40">
            <v>8259.5043402289011</v>
          </cell>
          <cell r="I40">
            <v>8000.8544732630253</v>
          </cell>
        </row>
        <row r="41">
          <cell r="F41">
            <v>21</v>
          </cell>
          <cell r="G41">
            <v>7876</v>
          </cell>
          <cell r="H41">
            <v>8247.2253649053418</v>
          </cell>
          <cell r="I41">
            <v>7770.6074882088351</v>
          </cell>
        </row>
        <row r="65">
          <cell r="E65" t="str">
            <v>Average</v>
          </cell>
          <cell r="F65" t="str">
            <v>First Order</v>
          </cell>
          <cell r="G65" t="str">
            <v>Contois</v>
          </cell>
          <cell r="H65" t="str">
            <v>MM</v>
          </cell>
        </row>
        <row r="66">
          <cell r="D66">
            <v>0</v>
          </cell>
          <cell r="E66">
            <v>9095</v>
          </cell>
          <cell r="F66">
            <v>9058</v>
          </cell>
          <cell r="G66">
            <v>8996.8758121363371</v>
          </cell>
          <cell r="H66">
            <v>9095.0002476583541</v>
          </cell>
          <cell r="J66">
            <v>35</v>
          </cell>
        </row>
        <row r="67">
          <cell r="D67">
            <v>2</v>
          </cell>
          <cell r="E67">
            <v>8640.6666666666661</v>
          </cell>
          <cell r="F67">
            <v>8926.7139204508167</v>
          </cell>
          <cell r="G67">
            <v>8872.58146961686</v>
          </cell>
          <cell r="H67">
            <v>8790.20245708517</v>
          </cell>
          <cell r="J67">
            <v>538.4188786520109</v>
          </cell>
        </row>
        <row r="68">
          <cell r="D68">
            <v>8</v>
          </cell>
          <cell r="E68">
            <v>8509.5</v>
          </cell>
          <cell r="F68">
            <v>8544.1628751083008</v>
          </cell>
          <cell r="G68">
            <v>8513.5217982365957</v>
          </cell>
          <cell r="H68">
            <v>8387.4757762199461</v>
          </cell>
          <cell r="J68">
            <v>313.10567971000887</v>
          </cell>
        </row>
        <row r="69">
          <cell r="D69">
            <v>10</v>
          </cell>
          <cell r="E69">
            <v>8674</v>
          </cell>
          <cell r="F69">
            <v>8420.3243183736304</v>
          </cell>
          <cell r="G69">
            <v>8399.4352907544435</v>
          </cell>
          <cell r="H69">
            <v>8334.9342310842621</v>
          </cell>
          <cell r="J69">
            <v>110.69176422239671</v>
          </cell>
        </row>
        <row r="70">
          <cell r="D70">
            <v>15</v>
          </cell>
          <cell r="E70">
            <v>8271</v>
          </cell>
          <cell r="F70">
            <v>8118.5238447919828</v>
          </cell>
          <cell r="G70">
            <v>8132.690013355289</v>
          </cell>
          <cell r="H70">
            <v>8270.9950712426853</v>
          </cell>
          <cell r="J70">
            <v>260</v>
          </cell>
        </row>
        <row r="71">
          <cell r="D71">
            <v>17</v>
          </cell>
          <cell r="E71">
            <v>7746</v>
          </cell>
          <cell r="F71">
            <v>8000.8544732630253</v>
          </cell>
          <cell r="G71">
            <v>8036.8264370192855</v>
          </cell>
          <cell r="H71">
            <v>8259.5043402289011</v>
          </cell>
          <cell r="J71">
            <v>333.23365176204317</v>
          </cell>
        </row>
        <row r="72">
          <cell r="D72">
            <v>21</v>
          </cell>
          <cell r="E72">
            <v>7876</v>
          </cell>
          <cell r="F72">
            <v>7770.6074882088351</v>
          </cell>
          <cell r="G72">
            <v>7875.9999232682139</v>
          </cell>
          <cell r="H72">
            <v>8247.2253649053418</v>
          </cell>
          <cell r="J72">
            <v>319.38169431992605</v>
          </cell>
        </row>
      </sheetData>
      <sheetData sheetId="3">
        <row r="33">
          <cell r="C33">
            <v>44663</v>
          </cell>
        </row>
        <row r="34">
          <cell r="C34">
            <v>44665</v>
          </cell>
        </row>
        <row r="35">
          <cell r="C35">
            <v>44671</v>
          </cell>
        </row>
        <row r="36">
          <cell r="C36">
            <v>44673</v>
          </cell>
        </row>
        <row r="37">
          <cell r="C37">
            <v>44678</v>
          </cell>
        </row>
        <row r="38">
          <cell r="C38">
            <v>44680</v>
          </cell>
        </row>
        <row r="39">
          <cell r="C39">
            <v>44684</v>
          </cell>
        </row>
        <row r="40">
          <cell r="C40">
            <v>44686</v>
          </cell>
        </row>
      </sheetData>
      <sheetData sheetId="4">
        <row r="5">
          <cell r="G5" t="str">
            <v>Average</v>
          </cell>
          <cell r="H5" t="str">
            <v>Contois</v>
          </cell>
          <cell r="I5" t="str">
            <v>First Order</v>
          </cell>
        </row>
        <row r="6">
          <cell r="F6">
            <v>0</v>
          </cell>
          <cell r="G6">
            <v>8309.6666666666661</v>
          </cell>
          <cell r="H6">
            <v>8144.1006593328157</v>
          </cell>
          <cell r="I6">
            <v>8297.5</v>
          </cell>
        </row>
        <row r="7">
          <cell r="F7">
            <v>2</v>
          </cell>
          <cell r="G7">
            <v>6806.666666666667</v>
          </cell>
          <cell r="H7">
            <v>7821.28379918672</v>
          </cell>
          <cell r="I7">
            <v>7946.6802640841688</v>
          </cell>
        </row>
        <row r="8">
          <cell r="F8">
            <v>8</v>
          </cell>
          <cell r="G8">
            <v>6933.333333333333</v>
          </cell>
          <cell r="H8">
            <v>6931.2347369816416</v>
          </cell>
          <cell r="I8">
            <v>6980.7353666411891</v>
          </cell>
        </row>
        <row r="9">
          <cell r="F9">
            <v>10</v>
          </cell>
          <cell r="G9">
            <v>6612.5</v>
          </cell>
          <cell r="H9">
            <v>6659.96248023516</v>
          </cell>
          <cell r="I9">
            <v>6685.5886672951974</v>
          </cell>
        </row>
        <row r="10">
          <cell r="F10">
            <v>15</v>
          </cell>
          <cell r="G10">
            <v>5794.666666666667</v>
          </cell>
          <cell r="H10">
            <v>6039.209605223622</v>
          </cell>
          <cell r="I10">
            <v>6001.1688861467419</v>
          </cell>
        </row>
        <row r="11">
          <cell r="F11">
            <v>17</v>
          </cell>
          <cell r="G11">
            <v>5843.333333333333</v>
          </cell>
          <cell r="H11">
            <v>5817.18086037988</v>
          </cell>
          <cell r="I11">
            <v>5747.4384271139852</v>
          </cell>
        </row>
        <row r="12">
          <cell r="F12">
            <v>21</v>
          </cell>
          <cell r="G12">
            <v>5659</v>
          </cell>
          <cell r="H12">
            <v>5447.047085434825</v>
          </cell>
          <cell r="I12">
            <v>5271.7072403238644</v>
          </cell>
        </row>
        <row r="13">
          <cell r="F13">
            <v>23</v>
          </cell>
          <cell r="G13">
            <v>5344</v>
          </cell>
          <cell r="H13">
            <v>5344.0085372654121</v>
          </cell>
          <cell r="I13">
            <v>5048.8185459127781</v>
          </cell>
        </row>
        <row r="34">
          <cell r="G34" t="str">
            <v>Average</v>
          </cell>
          <cell r="H34" t="str">
            <v>MM</v>
          </cell>
          <cell r="I34" t="str">
            <v>First Order</v>
          </cell>
        </row>
        <row r="35">
          <cell r="F35">
            <v>0</v>
          </cell>
          <cell r="G35">
            <v>8309.6666666666661</v>
          </cell>
          <cell r="H35">
            <v>8309.0376965960713</v>
          </cell>
          <cell r="I35">
            <v>8297.5</v>
          </cell>
        </row>
        <row r="36">
          <cell r="F36">
            <v>2</v>
          </cell>
          <cell r="G36">
            <v>6806.666666666667</v>
          </cell>
          <cell r="H36">
            <v>7331.1781304248643</v>
          </cell>
          <cell r="I36">
            <v>7946.6802640841688</v>
          </cell>
        </row>
        <row r="37">
          <cell r="F37">
            <v>8</v>
          </cell>
          <cell r="G37">
            <v>6933.333333333333</v>
          </cell>
          <cell r="H37">
            <v>6119.0244241734326</v>
          </cell>
          <cell r="I37">
            <v>6980.7353666411891</v>
          </cell>
        </row>
        <row r="38">
          <cell r="F38">
            <v>10</v>
          </cell>
          <cell r="G38">
            <v>6612.5</v>
          </cell>
          <cell r="H38">
            <v>5970.3674610720782</v>
          </cell>
          <cell r="I38">
            <v>6685.5886672951974</v>
          </cell>
        </row>
        <row r="39">
          <cell r="F39">
            <v>15</v>
          </cell>
          <cell r="G39">
            <v>5794.666666666667</v>
          </cell>
          <cell r="H39">
            <v>5794.6666687851548</v>
          </cell>
          <cell r="I39">
            <v>6001.1688861467419</v>
          </cell>
        </row>
        <row r="40">
          <cell r="F40">
            <v>17</v>
          </cell>
          <cell r="G40">
            <v>5843.333333333333</v>
          </cell>
          <cell r="H40">
            <v>5764.0541489984525</v>
          </cell>
          <cell r="I40">
            <v>5747.4384271139852</v>
          </cell>
        </row>
        <row r="41">
          <cell r="F41">
            <v>21</v>
          </cell>
          <cell r="G41">
            <v>5659</v>
          </cell>
          <cell r="H41">
            <v>5731.9840692188263</v>
          </cell>
          <cell r="I41">
            <v>5271.7072403238644</v>
          </cell>
        </row>
        <row r="42">
          <cell r="F42">
            <v>23</v>
          </cell>
          <cell r="G42">
            <v>5344</v>
          </cell>
          <cell r="H42">
            <v>5723.9820096105977</v>
          </cell>
          <cell r="I42">
            <v>5048.8185459127781</v>
          </cell>
        </row>
        <row r="61">
          <cell r="G61" t="str">
            <v>Average</v>
          </cell>
          <cell r="H61" t="str">
            <v>First Order</v>
          </cell>
          <cell r="I61" t="str">
            <v>Contois</v>
          </cell>
          <cell r="J61" t="str">
            <v>MM</v>
          </cell>
        </row>
        <row r="62">
          <cell r="F62">
            <v>0</v>
          </cell>
          <cell r="G62">
            <v>8309.6666666666661</v>
          </cell>
          <cell r="H62">
            <v>8297.5</v>
          </cell>
          <cell r="I62">
            <v>8144.1006593328157</v>
          </cell>
          <cell r="J62">
            <v>8309.0376965960713</v>
          </cell>
          <cell r="L62">
            <v>1039.7372531344424</v>
          </cell>
        </row>
        <row r="63">
          <cell r="F63">
            <v>2</v>
          </cell>
          <cell r="G63">
            <v>6806.666666666667</v>
          </cell>
          <cell r="H63">
            <v>7946.6802640841688</v>
          </cell>
          <cell r="I63">
            <v>7821.28379918672</v>
          </cell>
          <cell r="J63">
            <v>7331.1781304248643</v>
          </cell>
          <cell r="L63">
            <v>1482.8554286316053</v>
          </cell>
        </row>
        <row r="64">
          <cell r="F64">
            <v>8</v>
          </cell>
          <cell r="G64">
            <v>6933.333333333333</v>
          </cell>
          <cell r="H64">
            <v>6980.7353666411891</v>
          </cell>
          <cell r="I64">
            <v>6931.2347369816416</v>
          </cell>
          <cell r="J64">
            <v>6119.0244241734326</v>
          </cell>
          <cell r="L64">
            <v>434.81515868495455</v>
          </cell>
        </row>
        <row r="65">
          <cell r="F65">
            <v>10</v>
          </cell>
          <cell r="G65">
            <v>6612.5</v>
          </cell>
          <cell r="H65">
            <v>6685.5886672951974</v>
          </cell>
          <cell r="I65">
            <v>6659.96248023516</v>
          </cell>
          <cell r="J65">
            <v>5970.3674610720782</v>
          </cell>
          <cell r="L65">
            <v>591.06697308060336</v>
          </cell>
        </row>
        <row r="66">
          <cell r="F66">
            <v>15</v>
          </cell>
          <cell r="G66">
            <v>5794.666666666667</v>
          </cell>
          <cell r="H66">
            <v>6001.1688861467419</v>
          </cell>
          <cell r="I66">
            <v>6039.209605223622</v>
          </cell>
          <cell r="J66">
            <v>5794.6666687851548</v>
          </cell>
          <cell r="L66">
            <v>1070.2997503295774</v>
          </cell>
        </row>
        <row r="67">
          <cell r="F67">
            <v>17</v>
          </cell>
          <cell r="G67">
            <v>5843.333333333333</v>
          </cell>
          <cell r="H67">
            <v>5747.4384271139852</v>
          </cell>
          <cell r="I67">
            <v>5817.18086037988</v>
          </cell>
          <cell r="J67">
            <v>5764.0541489984525</v>
          </cell>
          <cell r="L67">
            <v>52.130178932702272</v>
          </cell>
        </row>
        <row r="68">
          <cell r="F68">
            <v>21</v>
          </cell>
          <cell r="G68">
            <v>5659</v>
          </cell>
          <cell r="H68">
            <v>5271.7072403238644</v>
          </cell>
          <cell r="I68">
            <v>5447.047085434825</v>
          </cell>
          <cell r="J68">
            <v>5731.9840692188263</v>
          </cell>
          <cell r="L68">
            <v>0</v>
          </cell>
        </row>
        <row r="69">
          <cell r="F69">
            <v>23</v>
          </cell>
          <cell r="G69">
            <v>5344</v>
          </cell>
          <cell r="H69">
            <v>5048.8185459127781</v>
          </cell>
          <cell r="I69">
            <v>5344.0085372654121</v>
          </cell>
          <cell r="J69">
            <v>5723.9820096105977</v>
          </cell>
          <cell r="L69">
            <v>0</v>
          </cell>
        </row>
      </sheetData>
      <sheetData sheetId="5"/>
      <sheetData sheetId="6">
        <row r="63">
          <cell r="G63" t="str">
            <v>Average</v>
          </cell>
          <cell r="H63" t="str">
            <v>First Order</v>
          </cell>
          <cell r="I63" t="str">
            <v>Contois</v>
          </cell>
          <cell r="J63" t="str">
            <v>MM</v>
          </cell>
        </row>
        <row r="64">
          <cell r="F64">
            <v>0</v>
          </cell>
          <cell r="G64">
            <v>8048.333333333333</v>
          </cell>
          <cell r="H64">
            <v>8191.7</v>
          </cell>
          <cell r="I64">
            <v>8048.5120273411621</v>
          </cell>
          <cell r="J64">
            <v>8053.4647905386873</v>
          </cell>
          <cell r="L64">
            <v>460.83860756475497</v>
          </cell>
        </row>
        <row r="65">
          <cell r="F65">
            <v>2</v>
          </cell>
          <cell r="G65">
            <v>7944.166666666667</v>
          </cell>
          <cell r="H65">
            <v>8137.8128033592957</v>
          </cell>
          <cell r="I65">
            <v>8005.8072583402191</v>
          </cell>
          <cell r="J65">
            <v>7939.5219504813231</v>
          </cell>
          <cell r="L65">
            <v>432.36372291033956</v>
          </cell>
        </row>
        <row r="66">
          <cell r="F66">
            <v>8</v>
          </cell>
          <cell r="G66">
            <v>8102.333333333333</v>
          </cell>
          <cell r="H66">
            <v>7978.2688076783061</v>
          </cell>
          <cell r="I66">
            <v>7879.616857081689</v>
          </cell>
          <cell r="J66">
            <v>7786.4890682844289</v>
          </cell>
          <cell r="L66">
            <v>477.83562957243873</v>
          </cell>
        </row>
        <row r="67">
          <cell r="F67">
            <v>10</v>
          </cell>
          <cell r="G67">
            <v>8631.5</v>
          </cell>
          <cell r="H67">
            <v>7925.7856185854735</v>
          </cell>
          <cell r="I67">
            <v>7838.37385370437</v>
          </cell>
          <cell r="J67">
            <v>7766.2078504510919</v>
          </cell>
          <cell r="L67">
            <v>440.24557540839254</v>
          </cell>
        </row>
        <row r="68">
          <cell r="F68">
            <v>15</v>
          </cell>
          <cell r="G68">
            <v>7741.333333333333</v>
          </cell>
          <cell r="H68">
            <v>7796.0831439064568</v>
          </cell>
          <cell r="I68">
            <v>7738.1890076811269</v>
          </cell>
          <cell r="J68">
            <v>7741.3264287158681</v>
          </cell>
          <cell r="L68">
            <v>166.51393001454531</v>
          </cell>
        </row>
        <row r="69">
          <cell r="F69">
            <v>17</v>
          </cell>
          <cell r="G69">
            <v>7430.666666666667</v>
          </cell>
          <cell r="H69">
            <v>7744.798420905985</v>
          </cell>
          <cell r="I69">
            <v>7699.9259043114471</v>
          </cell>
          <cell r="J69">
            <v>7736.8143969728653</v>
          </cell>
          <cell r="L69">
            <v>56.60584971734125</v>
          </cell>
        </row>
        <row r="70">
          <cell r="F70">
            <v>21</v>
          </cell>
          <cell r="G70">
            <v>7629</v>
          </cell>
          <cell r="H70">
            <v>7643.2388495615933</v>
          </cell>
          <cell r="I70">
            <v>7629.0000430206219</v>
          </cell>
          <cell r="J70">
            <v>7731.9635956893726</v>
          </cell>
          <cell r="L70">
            <v>196.21077102612554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3"/>
  <sheetViews>
    <sheetView zoomScale="70" zoomScaleNormal="70" workbookViewId="0">
      <selection activeCell="E81" sqref="E81"/>
    </sheetView>
  </sheetViews>
  <sheetFormatPr defaultRowHeight="14.25" x14ac:dyDescent="0.2"/>
  <cols>
    <col min="2" max="2" width="10.125" bestFit="1" customWidth="1"/>
  </cols>
  <sheetData>
    <row r="1" spans="1:40" x14ac:dyDescent="0.2">
      <c r="A1" t="s">
        <v>22</v>
      </c>
    </row>
    <row r="2" spans="1:40" x14ac:dyDescent="0.2">
      <c r="A2">
        <v>190513</v>
      </c>
      <c r="C2" s="1">
        <v>0.4375</v>
      </c>
    </row>
    <row r="4" spans="1:40" x14ac:dyDescent="0.2">
      <c r="C4" t="s">
        <v>0</v>
      </c>
      <c r="D4" s="9" t="s">
        <v>1</v>
      </c>
      <c r="E4" s="9"/>
      <c r="F4" s="9"/>
      <c r="G4" s="9"/>
      <c r="H4" s="9"/>
      <c r="I4" s="9" t="s">
        <v>2</v>
      </c>
      <c r="J4" s="9"/>
      <c r="K4" s="9"/>
      <c r="L4" s="9"/>
      <c r="M4" s="9" t="s">
        <v>3</v>
      </c>
      <c r="N4" s="9"/>
      <c r="O4" s="9"/>
      <c r="P4" s="9" t="s">
        <v>4</v>
      </c>
      <c r="Q4" s="9"/>
      <c r="R4" s="9"/>
      <c r="S4" s="9" t="s">
        <v>5</v>
      </c>
      <c r="T4" s="9"/>
      <c r="U4" s="9"/>
      <c r="V4" s="9" t="s">
        <v>23</v>
      </c>
      <c r="W4" s="9"/>
      <c r="X4" s="9"/>
      <c r="Y4" s="9" t="s">
        <v>24</v>
      </c>
      <c r="Z4" s="9"/>
      <c r="AA4" s="9"/>
      <c r="AB4" s="9"/>
      <c r="AC4" s="9"/>
      <c r="AD4" s="9" t="s">
        <v>25</v>
      </c>
      <c r="AE4" s="9" t="s">
        <v>26</v>
      </c>
      <c r="AF4" s="9"/>
      <c r="AG4" s="9"/>
      <c r="AH4" s="9"/>
      <c r="AI4" s="9"/>
      <c r="AJ4" s="9" t="s">
        <v>27</v>
      </c>
      <c r="AK4" s="9"/>
      <c r="AL4" s="9"/>
      <c r="AM4" s="9"/>
    </row>
    <row r="5" spans="1:40" x14ac:dyDescent="0.2">
      <c r="A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17</v>
      </c>
      <c r="Q5" t="s">
        <v>18</v>
      </c>
      <c r="R5" t="s">
        <v>20</v>
      </c>
      <c r="S5" t="s">
        <v>21</v>
      </c>
      <c r="T5" t="s">
        <v>18</v>
      </c>
      <c r="U5" t="s">
        <v>19</v>
      </c>
      <c r="V5" t="s">
        <v>34</v>
      </c>
      <c r="W5" t="s">
        <v>18</v>
      </c>
      <c r="X5" t="s">
        <v>35</v>
      </c>
      <c r="Y5" t="s">
        <v>30</v>
      </c>
      <c r="Z5" t="s">
        <v>31</v>
      </c>
      <c r="AA5" t="s">
        <v>32</v>
      </c>
      <c r="AD5" s="9"/>
      <c r="AJ5" t="s">
        <v>28</v>
      </c>
      <c r="AK5" t="s">
        <v>29</v>
      </c>
    </row>
    <row r="6" spans="1:40" x14ac:dyDescent="0.2">
      <c r="A6">
        <v>190513</v>
      </c>
      <c r="B6" s="5">
        <v>43598</v>
      </c>
      <c r="C6">
        <v>0</v>
      </c>
      <c r="D6">
        <v>0.38579999999999998</v>
      </c>
      <c r="E6">
        <v>2</v>
      </c>
      <c r="M6">
        <v>7020</v>
      </c>
      <c r="N6" t="s">
        <v>33</v>
      </c>
      <c r="O6">
        <f>M6</f>
        <v>7020</v>
      </c>
      <c r="P6">
        <v>90</v>
      </c>
      <c r="Q6">
        <v>1</v>
      </c>
      <c r="R6">
        <f>P6*2</f>
        <v>180</v>
      </c>
      <c r="S6">
        <v>69.3</v>
      </c>
      <c r="T6" t="s">
        <v>33</v>
      </c>
      <c r="U6">
        <f>S6</f>
        <v>69.3</v>
      </c>
      <c r="V6">
        <v>109</v>
      </c>
      <c r="W6">
        <v>1</v>
      </c>
      <c r="X6">
        <f>V6*2</f>
        <v>218</v>
      </c>
      <c r="AD6">
        <v>7.18</v>
      </c>
    </row>
    <row r="7" spans="1:40" x14ac:dyDescent="0.2">
      <c r="A7">
        <v>190515</v>
      </c>
      <c r="B7" s="5">
        <v>43600</v>
      </c>
      <c r="C7">
        <v>2</v>
      </c>
      <c r="D7">
        <v>0.38279999999999997</v>
      </c>
      <c r="E7">
        <v>2</v>
      </c>
      <c r="F7">
        <v>0.3911</v>
      </c>
      <c r="G7">
        <f t="shared" ref="G7:G26" si="0">F7-D7</f>
        <v>8.3000000000000296E-3</v>
      </c>
      <c r="H7">
        <f>(G7*1000)/(E7/1000)</f>
        <v>4150.0000000000146</v>
      </c>
      <c r="I7">
        <v>0.38350000000000001</v>
      </c>
      <c r="J7">
        <f>I7-D7</f>
        <v>7.0000000000003393E-4</v>
      </c>
      <c r="K7">
        <f>G7-J7</f>
        <v>7.5999999999999956E-3</v>
      </c>
      <c r="L7">
        <f>(K7*1000)/(E7/1000)</f>
        <v>3799.9999999999982</v>
      </c>
      <c r="M7">
        <v>6040</v>
      </c>
      <c r="N7" t="s">
        <v>33</v>
      </c>
      <c r="O7">
        <f t="shared" ref="O7:O22" si="1">M7</f>
        <v>6040</v>
      </c>
      <c r="P7">
        <v>106</v>
      </c>
      <c r="Q7">
        <v>1</v>
      </c>
      <c r="R7">
        <f>P7*2</f>
        <v>212</v>
      </c>
    </row>
    <row r="8" spans="1:40" x14ac:dyDescent="0.2">
      <c r="A8">
        <v>190517</v>
      </c>
      <c r="B8" s="5">
        <v>43602</v>
      </c>
      <c r="C8">
        <v>4</v>
      </c>
      <c r="D8">
        <v>0.38429999999999997</v>
      </c>
      <c r="E8">
        <v>2</v>
      </c>
      <c r="F8">
        <v>0.39500000000000002</v>
      </c>
      <c r="G8">
        <f t="shared" si="0"/>
        <v>1.0700000000000043E-2</v>
      </c>
      <c r="H8">
        <f>(G8*1000)/(E8/1000)</f>
        <v>5350.0000000000209</v>
      </c>
      <c r="I8">
        <v>0.3851</v>
      </c>
      <c r="J8">
        <f t="shared" ref="J8:J9" si="2">I8-D8</f>
        <v>8.0000000000002292E-4</v>
      </c>
      <c r="K8">
        <f t="shared" ref="K8:K9" si="3">G8-J8</f>
        <v>9.9000000000000199E-3</v>
      </c>
      <c r="L8">
        <f t="shared" ref="L8:L9" si="4">(K8*1000)/(E8/1000)</f>
        <v>4950.00000000001</v>
      </c>
      <c r="M8">
        <v>6140</v>
      </c>
      <c r="N8" t="s">
        <v>33</v>
      </c>
      <c r="O8">
        <f t="shared" si="1"/>
        <v>6140</v>
      </c>
      <c r="P8">
        <v>17</v>
      </c>
      <c r="Q8" s="1">
        <v>4.3055555555555562E-2</v>
      </c>
      <c r="R8">
        <f>P8*3</f>
        <v>51</v>
      </c>
    </row>
    <row r="9" spans="1:40" x14ac:dyDescent="0.2">
      <c r="A9">
        <v>190520</v>
      </c>
      <c r="B9" s="5">
        <v>43605</v>
      </c>
      <c r="C9">
        <f t="shared" ref="C9:C14" si="5">A9-$A$6</f>
        <v>7</v>
      </c>
      <c r="D9">
        <v>0.38429999999999997</v>
      </c>
      <c r="E9">
        <v>2</v>
      </c>
      <c r="F9">
        <v>0.39429999999999998</v>
      </c>
      <c r="G9">
        <f t="shared" si="0"/>
        <v>1.0000000000000009E-2</v>
      </c>
      <c r="H9">
        <f>(G9*1000)/(E9/1000)</f>
        <v>5000.0000000000045</v>
      </c>
      <c r="I9">
        <v>0.3846</v>
      </c>
      <c r="J9">
        <f t="shared" si="2"/>
        <v>3.0000000000002247E-4</v>
      </c>
      <c r="K9">
        <f t="shared" si="3"/>
        <v>9.6999999999999864E-3</v>
      </c>
      <c r="L9">
        <f t="shared" si="4"/>
        <v>4849.9999999999936</v>
      </c>
      <c r="M9">
        <v>6430</v>
      </c>
      <c r="O9">
        <f t="shared" si="1"/>
        <v>6430</v>
      </c>
      <c r="P9">
        <v>20</v>
      </c>
      <c r="R9">
        <f>P9*2</f>
        <v>40</v>
      </c>
      <c r="S9">
        <v>69.599999999999994</v>
      </c>
      <c r="T9" t="s">
        <v>33</v>
      </c>
      <c r="U9">
        <f>S9</f>
        <v>69.599999999999994</v>
      </c>
    </row>
    <row r="10" spans="1:40" x14ac:dyDescent="0.2">
      <c r="A10">
        <v>190522</v>
      </c>
      <c r="B10" s="5">
        <f>B9+2</f>
        <v>43607</v>
      </c>
      <c r="C10">
        <f t="shared" si="5"/>
        <v>9</v>
      </c>
      <c r="D10">
        <v>0.3826</v>
      </c>
      <c r="E10">
        <v>2</v>
      </c>
      <c r="F10">
        <v>0.39489999999999997</v>
      </c>
      <c r="G10">
        <f t="shared" si="0"/>
        <v>1.2299999999999978E-2</v>
      </c>
      <c r="H10">
        <f t="shared" ref="H10:H11" si="6">(G10*1000)/(E10/1000)</f>
        <v>6149.9999999999891</v>
      </c>
      <c r="I10">
        <v>0.38369999999999999</v>
      </c>
      <c r="J10">
        <f t="shared" ref="J10:J26" si="7">I10-D10</f>
        <v>1.0999999999999899E-3</v>
      </c>
      <c r="K10">
        <f t="shared" ref="K10:K26" si="8">G10-J10</f>
        <v>1.1199999999999988E-2</v>
      </c>
      <c r="L10">
        <f t="shared" ref="L10:L26" si="9">(K10*1000)/(E10/1000)</f>
        <v>5599.9999999999945</v>
      </c>
      <c r="M10">
        <v>5970</v>
      </c>
      <c r="O10">
        <f t="shared" si="1"/>
        <v>5970</v>
      </c>
      <c r="P10">
        <v>81</v>
      </c>
      <c r="Q10">
        <v>1</v>
      </c>
      <c r="R10">
        <f>P10*(3/2)</f>
        <v>121.5</v>
      </c>
    </row>
    <row r="11" spans="1:40" x14ac:dyDescent="0.2">
      <c r="A11">
        <v>190524</v>
      </c>
      <c r="B11" s="5">
        <f>B10+2</f>
        <v>43609</v>
      </c>
      <c r="C11">
        <f t="shared" si="5"/>
        <v>11</v>
      </c>
      <c r="D11">
        <v>0.38009999999999999</v>
      </c>
      <c r="E11">
        <v>2</v>
      </c>
      <c r="F11">
        <v>0.39129999999999998</v>
      </c>
      <c r="G11">
        <f t="shared" si="0"/>
        <v>1.1199999999999988E-2</v>
      </c>
      <c r="H11">
        <f t="shared" si="6"/>
        <v>5599.9999999999945</v>
      </c>
      <c r="I11">
        <v>0.38069999999999998</v>
      </c>
      <c r="J11">
        <f t="shared" si="7"/>
        <v>5.9999999999998943E-4</v>
      </c>
      <c r="K11">
        <f t="shared" si="8"/>
        <v>1.0599999999999998E-2</v>
      </c>
      <c r="L11">
        <f t="shared" si="9"/>
        <v>5299.9999999999991</v>
      </c>
      <c r="M11">
        <v>6615</v>
      </c>
      <c r="O11">
        <f t="shared" si="1"/>
        <v>6615</v>
      </c>
      <c r="P11">
        <v>88</v>
      </c>
      <c r="R11">
        <f>P11*2</f>
        <v>176</v>
      </c>
    </row>
    <row r="12" spans="1:40" x14ac:dyDescent="0.2">
      <c r="A12">
        <v>190528</v>
      </c>
      <c r="B12" s="5">
        <f>B11+4</f>
        <v>43613</v>
      </c>
      <c r="C12">
        <f t="shared" si="5"/>
        <v>15</v>
      </c>
      <c r="D12">
        <v>0.38490000000000002</v>
      </c>
      <c r="E12">
        <v>5</v>
      </c>
      <c r="F12">
        <v>0.40560000000000002</v>
      </c>
      <c r="G12">
        <f t="shared" si="0"/>
        <v>2.0699999999999996E-2</v>
      </c>
      <c r="H12">
        <f t="shared" ref="H12:H26" si="10">(G12*1000)/(E12/1000)</f>
        <v>4139.9999999999991</v>
      </c>
      <c r="I12">
        <v>0.38640000000000002</v>
      </c>
      <c r="J12">
        <f t="shared" si="7"/>
        <v>1.5000000000000013E-3</v>
      </c>
      <c r="K12">
        <f t="shared" si="8"/>
        <v>1.9199999999999995E-2</v>
      </c>
      <c r="L12">
        <f t="shared" si="9"/>
        <v>3839.9999999999991</v>
      </c>
      <c r="M12">
        <v>6160</v>
      </c>
      <c r="N12" t="s">
        <v>33</v>
      </c>
      <c r="O12">
        <f t="shared" si="1"/>
        <v>6160</v>
      </c>
      <c r="P12">
        <v>209</v>
      </c>
      <c r="Q12" s="1">
        <v>8.4027777777777771E-2</v>
      </c>
      <c r="R12">
        <f>P12*(3/2)</f>
        <v>313.5</v>
      </c>
      <c r="AN12" t="s">
        <v>45</v>
      </c>
    </row>
    <row r="13" spans="1:40" x14ac:dyDescent="0.2">
      <c r="A13">
        <v>190529</v>
      </c>
      <c r="B13" s="5">
        <f>B12+1</f>
        <v>43614</v>
      </c>
      <c r="C13">
        <f t="shared" si="5"/>
        <v>16</v>
      </c>
      <c r="D13">
        <v>0.1245</v>
      </c>
      <c r="E13">
        <v>3</v>
      </c>
      <c r="F13">
        <v>0.1394</v>
      </c>
      <c r="G13">
        <f t="shared" si="0"/>
        <v>1.4899999999999997E-2</v>
      </c>
      <c r="H13" s="4">
        <f t="shared" si="10"/>
        <v>4966.6666666666652</v>
      </c>
      <c r="I13">
        <v>0.12640000000000001</v>
      </c>
      <c r="J13">
        <f t="shared" si="7"/>
        <v>1.9000000000000128E-3</v>
      </c>
      <c r="K13">
        <f t="shared" si="8"/>
        <v>1.2999999999999984E-2</v>
      </c>
      <c r="L13">
        <f t="shared" si="9"/>
        <v>4333.3333333333276</v>
      </c>
      <c r="M13">
        <v>6290</v>
      </c>
      <c r="O13">
        <f t="shared" si="1"/>
        <v>6290</v>
      </c>
      <c r="P13">
        <v>154</v>
      </c>
      <c r="Q13">
        <v>1</v>
      </c>
      <c r="R13">
        <f>P13*2</f>
        <v>308</v>
      </c>
      <c r="S13">
        <v>36.4</v>
      </c>
      <c r="T13" s="1">
        <v>4.2361111111111106E-2</v>
      </c>
      <c r="U13">
        <f>S13*2</f>
        <v>72.8</v>
      </c>
    </row>
    <row r="14" spans="1:40" x14ac:dyDescent="0.2">
      <c r="A14">
        <v>190531</v>
      </c>
      <c r="B14" s="5">
        <f>B13+2</f>
        <v>43616</v>
      </c>
      <c r="C14">
        <f t="shared" si="5"/>
        <v>18</v>
      </c>
      <c r="D14">
        <v>0.1232</v>
      </c>
      <c r="E14">
        <v>3</v>
      </c>
      <c r="F14">
        <v>0.13619999999999999</v>
      </c>
      <c r="G14">
        <f t="shared" si="0"/>
        <v>1.2999999999999984E-2</v>
      </c>
      <c r="H14">
        <f t="shared" si="10"/>
        <v>4333.3333333333276</v>
      </c>
      <c r="I14">
        <v>0.12429999999999999</v>
      </c>
      <c r="J14">
        <f t="shared" si="7"/>
        <v>1.0999999999999899E-3</v>
      </c>
      <c r="K14">
        <f t="shared" si="8"/>
        <v>1.1899999999999994E-2</v>
      </c>
      <c r="L14">
        <f t="shared" si="9"/>
        <v>3966.6666666666642</v>
      </c>
      <c r="M14">
        <v>7350</v>
      </c>
      <c r="O14">
        <f t="shared" si="1"/>
        <v>7350</v>
      </c>
      <c r="P14">
        <v>473</v>
      </c>
      <c r="R14">
        <f>P14</f>
        <v>473</v>
      </c>
    </row>
    <row r="15" spans="1:40" x14ac:dyDescent="0.2">
      <c r="A15">
        <v>190603</v>
      </c>
      <c r="B15" s="5">
        <f>B14+3</f>
        <v>43619</v>
      </c>
      <c r="C15">
        <f>C14+3</f>
        <v>21</v>
      </c>
      <c r="D15">
        <v>0.1244</v>
      </c>
      <c r="E15">
        <v>3</v>
      </c>
      <c r="F15">
        <v>0.13730000000000001</v>
      </c>
      <c r="G15">
        <f t="shared" si="0"/>
        <v>1.2900000000000009E-2</v>
      </c>
      <c r="H15">
        <f t="shared" si="10"/>
        <v>4300.0000000000027</v>
      </c>
      <c r="I15">
        <v>0.12620000000000001</v>
      </c>
      <c r="J15">
        <f t="shared" si="7"/>
        <v>1.8000000000000099E-3</v>
      </c>
      <c r="K15">
        <f t="shared" si="8"/>
        <v>1.1099999999999999E-2</v>
      </c>
      <c r="L15">
        <f t="shared" si="9"/>
        <v>3699.9999999999991</v>
      </c>
      <c r="M15">
        <v>6540</v>
      </c>
      <c r="O15">
        <f t="shared" si="1"/>
        <v>6540</v>
      </c>
      <c r="P15">
        <v>327</v>
      </c>
      <c r="R15">
        <f>P15/(2/3)</f>
        <v>490.5</v>
      </c>
      <c r="AD15">
        <v>6.54</v>
      </c>
    </row>
    <row r="16" spans="1:40" x14ac:dyDescent="0.2">
      <c r="A16">
        <v>190605</v>
      </c>
      <c r="B16" s="5">
        <f>B15+2</f>
        <v>43621</v>
      </c>
      <c r="C16">
        <f>C15+(A16-A15)</f>
        <v>23</v>
      </c>
      <c r="D16">
        <v>0.1246</v>
      </c>
      <c r="E16">
        <v>3</v>
      </c>
      <c r="F16">
        <v>0.1356</v>
      </c>
      <c r="G16">
        <f t="shared" si="0"/>
        <v>1.0999999999999996E-2</v>
      </c>
      <c r="H16">
        <f t="shared" si="10"/>
        <v>3666.6666666666656</v>
      </c>
      <c r="I16">
        <v>0.12670000000000001</v>
      </c>
      <c r="J16">
        <f t="shared" si="7"/>
        <v>2.1000000000000046E-3</v>
      </c>
      <c r="K16">
        <f t="shared" si="8"/>
        <v>8.8999999999999913E-3</v>
      </c>
      <c r="L16">
        <f t="shared" si="9"/>
        <v>2966.6666666666638</v>
      </c>
      <c r="M16">
        <v>5860</v>
      </c>
      <c r="O16">
        <f t="shared" si="1"/>
        <v>5860</v>
      </c>
      <c r="P16">
        <v>612</v>
      </c>
      <c r="R16">
        <f>P16</f>
        <v>612</v>
      </c>
    </row>
    <row r="17" spans="1:30" x14ac:dyDescent="0.2">
      <c r="A17">
        <v>190607</v>
      </c>
      <c r="B17" s="5">
        <f>B16+2</f>
        <v>43623</v>
      </c>
      <c r="C17">
        <f>C16+(A17-A16)</f>
        <v>25</v>
      </c>
      <c r="D17">
        <v>0.1245</v>
      </c>
      <c r="E17">
        <v>3</v>
      </c>
      <c r="F17">
        <v>0.13719999999999999</v>
      </c>
      <c r="G17">
        <f t="shared" si="0"/>
        <v>1.2699999999999989E-2</v>
      </c>
      <c r="H17">
        <f t="shared" si="10"/>
        <v>4233.3333333333294</v>
      </c>
      <c r="I17">
        <v>0.12620000000000001</v>
      </c>
      <c r="J17">
        <f t="shared" si="7"/>
        <v>1.7000000000000071E-3</v>
      </c>
      <c r="K17">
        <f t="shared" si="8"/>
        <v>1.0999999999999982E-2</v>
      </c>
      <c r="L17">
        <f t="shared" si="9"/>
        <v>3666.6666666666606</v>
      </c>
      <c r="M17">
        <v>6215</v>
      </c>
      <c r="O17">
        <f t="shared" si="1"/>
        <v>6215</v>
      </c>
      <c r="P17">
        <v>531</v>
      </c>
      <c r="Q17" t="s">
        <v>47</v>
      </c>
      <c r="R17">
        <f>P17/(2.5/3)</f>
        <v>637.19999999999993</v>
      </c>
    </row>
    <row r="18" spans="1:30" x14ac:dyDescent="0.2">
      <c r="A18">
        <v>190610</v>
      </c>
      <c r="B18" s="5">
        <f>B17+3</f>
        <v>43626</v>
      </c>
      <c r="C18">
        <f>C17+(A18-A17)</f>
        <v>28</v>
      </c>
      <c r="D18">
        <v>0.1237</v>
      </c>
      <c r="E18">
        <v>3</v>
      </c>
      <c r="F18">
        <v>0.13450000000000001</v>
      </c>
      <c r="G18">
        <f t="shared" si="0"/>
        <v>1.0800000000000004E-2</v>
      </c>
      <c r="H18">
        <f t="shared" si="10"/>
        <v>3600.0000000000014</v>
      </c>
      <c r="I18">
        <v>0.12540000000000001</v>
      </c>
      <c r="J18">
        <f t="shared" si="7"/>
        <v>1.7000000000000071E-3</v>
      </c>
      <c r="K18">
        <f t="shared" si="8"/>
        <v>9.099999999999997E-3</v>
      </c>
      <c r="L18">
        <f t="shared" si="9"/>
        <v>3033.3333333333326</v>
      </c>
      <c r="M18">
        <v>5145</v>
      </c>
      <c r="O18">
        <f t="shared" si="1"/>
        <v>5145</v>
      </c>
      <c r="P18">
        <v>882</v>
      </c>
      <c r="R18">
        <v>882</v>
      </c>
      <c r="S18">
        <v>41</v>
      </c>
      <c r="U18">
        <f>S18*2</f>
        <v>82</v>
      </c>
    </row>
    <row r="19" spans="1:30" x14ac:dyDescent="0.2">
      <c r="A19">
        <v>190624</v>
      </c>
      <c r="B19" s="5">
        <f>B18+14</f>
        <v>43640</v>
      </c>
      <c r="C19">
        <f>C18+(A19-A18)</f>
        <v>42</v>
      </c>
      <c r="D19">
        <v>0.1241</v>
      </c>
      <c r="E19">
        <v>3</v>
      </c>
      <c r="F19">
        <v>0.1346</v>
      </c>
      <c r="G19">
        <f t="shared" si="0"/>
        <v>1.0499999999999995E-2</v>
      </c>
      <c r="H19">
        <f t="shared" si="10"/>
        <v>3499.9999999999982</v>
      </c>
      <c r="I19">
        <v>0.12529999999999999</v>
      </c>
      <c r="J19">
        <f t="shared" si="7"/>
        <v>1.1999999999999927E-3</v>
      </c>
      <c r="K19">
        <f t="shared" si="8"/>
        <v>9.3000000000000027E-3</v>
      </c>
      <c r="L19">
        <f t="shared" si="9"/>
        <v>3100.0000000000009</v>
      </c>
      <c r="M19">
        <v>5775</v>
      </c>
      <c r="O19">
        <f t="shared" si="1"/>
        <v>5775</v>
      </c>
      <c r="P19">
        <v>944</v>
      </c>
      <c r="R19">
        <f>P19</f>
        <v>944</v>
      </c>
      <c r="AD19">
        <v>6.02</v>
      </c>
    </row>
    <row r="20" spans="1:30" x14ac:dyDescent="0.2">
      <c r="A20">
        <v>190701</v>
      </c>
      <c r="B20" s="5">
        <f>B19+7</f>
        <v>43647</v>
      </c>
      <c r="C20">
        <f>C19+7</f>
        <v>49</v>
      </c>
      <c r="D20">
        <v>0.126</v>
      </c>
      <c r="E20">
        <v>3</v>
      </c>
      <c r="F20">
        <v>0.13669999999999999</v>
      </c>
      <c r="G20">
        <f t="shared" si="0"/>
        <v>1.0699999999999987E-2</v>
      </c>
      <c r="H20">
        <f t="shared" si="10"/>
        <v>3566.6666666666624</v>
      </c>
      <c r="I20">
        <v>0.1273</v>
      </c>
      <c r="J20">
        <f t="shared" si="7"/>
        <v>1.2999999999999956E-3</v>
      </c>
      <c r="K20">
        <f t="shared" si="8"/>
        <v>9.3999999999999917E-3</v>
      </c>
      <c r="L20">
        <f t="shared" si="9"/>
        <v>3133.3333333333303</v>
      </c>
      <c r="M20">
        <v>5470</v>
      </c>
      <c r="O20">
        <f t="shared" si="1"/>
        <v>5470</v>
      </c>
      <c r="P20">
        <v>997</v>
      </c>
      <c r="R20">
        <f>P20</f>
        <v>997</v>
      </c>
      <c r="AD20">
        <v>5.62</v>
      </c>
    </row>
    <row r="21" spans="1:30" x14ac:dyDescent="0.2">
      <c r="A21">
        <f>A20+7</f>
        <v>190708</v>
      </c>
      <c r="B21" s="5">
        <f>B20+7</f>
        <v>43654</v>
      </c>
      <c r="C21">
        <f>C20+7</f>
        <v>56</v>
      </c>
      <c r="D21">
        <v>0.12330000000000001</v>
      </c>
      <c r="E21">
        <v>3</v>
      </c>
      <c r="F21">
        <v>0.13519999999999999</v>
      </c>
      <c r="G21">
        <f t="shared" si="0"/>
        <v>1.189999999999998E-2</v>
      </c>
      <c r="H21">
        <f t="shared" si="10"/>
        <v>3966.6666666666601</v>
      </c>
      <c r="I21">
        <v>0.1249</v>
      </c>
      <c r="J21">
        <f t="shared" si="7"/>
        <v>1.5999999999999903E-3</v>
      </c>
      <c r="K21">
        <f t="shared" si="8"/>
        <v>1.029999999999999E-2</v>
      </c>
      <c r="L21">
        <f t="shared" si="9"/>
        <v>3433.3333333333298</v>
      </c>
      <c r="M21">
        <v>6230</v>
      </c>
      <c r="O21">
        <f t="shared" si="1"/>
        <v>6230</v>
      </c>
      <c r="P21" s="6">
        <v>216</v>
      </c>
      <c r="Q21" s="7">
        <v>4.3055555555555562E-2</v>
      </c>
      <c r="R21" s="6">
        <f>P21*3</f>
        <v>648</v>
      </c>
      <c r="S21">
        <v>41.6</v>
      </c>
      <c r="U21">
        <f>S21*2</f>
        <v>83.2</v>
      </c>
      <c r="AD21">
        <v>5.78</v>
      </c>
    </row>
    <row r="22" spans="1:30" x14ac:dyDescent="0.2">
      <c r="A22">
        <f>A21+7</f>
        <v>190715</v>
      </c>
      <c r="B22" s="5">
        <f>B21+7</f>
        <v>43661</v>
      </c>
      <c r="C22">
        <f>C21+A22-A21</f>
        <v>63</v>
      </c>
      <c r="D22">
        <v>0.12239999999999999</v>
      </c>
      <c r="E22">
        <v>3</v>
      </c>
      <c r="F22">
        <v>0.1333</v>
      </c>
      <c r="G22">
        <f t="shared" si="0"/>
        <v>1.0900000000000007E-2</v>
      </c>
      <c r="H22">
        <f t="shared" si="10"/>
        <v>3633.3333333333358</v>
      </c>
      <c r="I22">
        <v>0.12429999999999999</v>
      </c>
      <c r="J22">
        <f t="shared" si="7"/>
        <v>1.8999999999999989E-3</v>
      </c>
      <c r="K22">
        <f t="shared" si="8"/>
        <v>9.000000000000008E-3</v>
      </c>
      <c r="L22">
        <f t="shared" si="9"/>
        <v>3000.0000000000023</v>
      </c>
      <c r="M22">
        <v>6075</v>
      </c>
      <c r="O22">
        <f t="shared" si="1"/>
        <v>6075</v>
      </c>
      <c r="P22">
        <v>1021</v>
      </c>
      <c r="R22">
        <f>P22</f>
        <v>1021</v>
      </c>
      <c r="AD22">
        <v>5.72</v>
      </c>
    </row>
    <row r="23" spans="1:30" x14ac:dyDescent="0.2">
      <c r="A23">
        <v>190722</v>
      </c>
      <c r="B23" s="5">
        <f>B22+7</f>
        <v>43668</v>
      </c>
      <c r="C23">
        <f>C22+A23-A22</f>
        <v>70</v>
      </c>
      <c r="D23">
        <v>0.1236</v>
      </c>
      <c r="E23">
        <v>3</v>
      </c>
      <c r="F23">
        <v>0.13469999999999999</v>
      </c>
      <c r="G23">
        <f t="shared" si="0"/>
        <v>1.1099999999999985E-2</v>
      </c>
      <c r="H23">
        <f t="shared" si="10"/>
        <v>3699.999999999995</v>
      </c>
      <c r="I23">
        <v>0.12479999999999999</v>
      </c>
      <c r="J23">
        <f t="shared" si="7"/>
        <v>1.1999999999999927E-3</v>
      </c>
      <c r="K23">
        <f t="shared" si="8"/>
        <v>9.8999999999999921E-3</v>
      </c>
      <c r="L23">
        <f t="shared" si="9"/>
        <v>3299.9999999999973</v>
      </c>
      <c r="M23">
        <v>5910</v>
      </c>
      <c r="O23">
        <v>5910</v>
      </c>
      <c r="P23">
        <v>1043</v>
      </c>
      <c r="R23">
        <v>1043</v>
      </c>
      <c r="AD23">
        <v>5.64</v>
      </c>
    </row>
    <row r="24" spans="1:30" x14ac:dyDescent="0.2">
      <c r="A24">
        <v>190729</v>
      </c>
      <c r="B24" s="5">
        <f>B23+7</f>
        <v>43675</v>
      </c>
      <c r="C24">
        <f>C23+A24-A23</f>
        <v>77</v>
      </c>
      <c r="D24">
        <v>0.1263</v>
      </c>
      <c r="E24">
        <v>3</v>
      </c>
      <c r="F24">
        <v>0.13689999999999999</v>
      </c>
      <c r="G24">
        <f t="shared" si="0"/>
        <v>1.0599999999999998E-2</v>
      </c>
      <c r="H24">
        <f t="shared" si="10"/>
        <v>3533.3333333333326</v>
      </c>
      <c r="I24">
        <v>0.1275</v>
      </c>
      <c r="J24">
        <f t="shared" si="7"/>
        <v>1.2000000000000066E-3</v>
      </c>
      <c r="K24">
        <f t="shared" si="8"/>
        <v>9.3999999999999917E-3</v>
      </c>
      <c r="L24">
        <f t="shared" si="9"/>
        <v>3133.3333333333303</v>
      </c>
      <c r="M24">
        <v>6200</v>
      </c>
      <c r="O24">
        <f>M24</f>
        <v>6200</v>
      </c>
      <c r="P24">
        <v>470</v>
      </c>
      <c r="R24">
        <f>P24*2</f>
        <v>940</v>
      </c>
      <c r="AD24">
        <v>6.37</v>
      </c>
    </row>
    <row r="25" spans="1:30" x14ac:dyDescent="0.2">
      <c r="A25">
        <v>190805</v>
      </c>
      <c r="B25" s="5">
        <v>43682</v>
      </c>
      <c r="C25">
        <f>C24+7</f>
        <v>84</v>
      </c>
      <c r="D25" s="8">
        <v>0.123</v>
      </c>
      <c r="E25" s="8">
        <v>3</v>
      </c>
      <c r="F25" s="8">
        <v>0.1358</v>
      </c>
      <c r="G25" s="8">
        <f t="shared" si="0"/>
        <v>1.2800000000000006E-2</v>
      </c>
      <c r="H25" s="8">
        <f t="shared" si="10"/>
        <v>4266.6666666666688</v>
      </c>
      <c r="I25" s="8">
        <v>0.12379999999999999</v>
      </c>
      <c r="J25" s="8">
        <f t="shared" si="7"/>
        <v>7.9999999999999516E-4</v>
      </c>
      <c r="K25" s="8">
        <f t="shared" si="8"/>
        <v>1.2000000000000011E-2</v>
      </c>
      <c r="L25" s="8">
        <f t="shared" si="9"/>
        <v>4000.0000000000036</v>
      </c>
      <c r="M25">
        <v>5730</v>
      </c>
      <c r="O25">
        <f>M25</f>
        <v>5730</v>
      </c>
      <c r="P25">
        <v>818</v>
      </c>
      <c r="Q25" t="s">
        <v>47</v>
      </c>
      <c r="R25">
        <f>P25/(2.5/3)</f>
        <v>981.59999999999991</v>
      </c>
      <c r="AD25">
        <v>5.81</v>
      </c>
    </row>
    <row r="26" spans="1:30" x14ac:dyDescent="0.2">
      <c r="B26" s="5"/>
    </row>
    <row r="28" spans="1:30" x14ac:dyDescent="0.2">
      <c r="B28" t="s">
        <v>0</v>
      </c>
      <c r="C28" s="9" t="s">
        <v>1</v>
      </c>
      <c r="D28" s="9"/>
      <c r="E28" s="9"/>
      <c r="F28" s="9"/>
      <c r="G28" s="9"/>
      <c r="H28" s="9" t="s">
        <v>2</v>
      </c>
      <c r="I28" s="9"/>
      <c r="J28" s="9"/>
      <c r="K28" s="9"/>
      <c r="L28" s="9" t="s">
        <v>3</v>
      </c>
      <c r="M28" s="9"/>
      <c r="N28" s="9"/>
      <c r="O28" s="9" t="s">
        <v>4</v>
      </c>
      <c r="P28" s="9"/>
      <c r="Q28" s="9"/>
      <c r="R28" s="9" t="s">
        <v>5</v>
      </c>
      <c r="S28" s="9"/>
      <c r="T28" s="9"/>
      <c r="U28" s="9" t="s">
        <v>23</v>
      </c>
      <c r="V28" s="9"/>
      <c r="W28" s="9"/>
      <c r="X28" s="9" t="s">
        <v>24</v>
      </c>
      <c r="Y28" s="9"/>
      <c r="Z28" s="9"/>
      <c r="AA28" s="9"/>
      <c r="AB28" s="9"/>
      <c r="AC28" s="9" t="s">
        <v>25</v>
      </c>
    </row>
    <row r="29" spans="1:30" x14ac:dyDescent="0.2">
      <c r="A29" t="s">
        <v>6</v>
      </c>
      <c r="B29" t="s">
        <v>7</v>
      </c>
      <c r="C29" t="s">
        <v>8</v>
      </c>
      <c r="D29" t="s">
        <v>9</v>
      </c>
      <c r="E29" t="s">
        <v>10</v>
      </c>
      <c r="F29" t="s">
        <v>11</v>
      </c>
      <c r="G29" t="s">
        <v>12</v>
      </c>
      <c r="H29" t="s">
        <v>13</v>
      </c>
      <c r="I29" t="s">
        <v>14</v>
      </c>
      <c r="J29" t="s">
        <v>15</v>
      </c>
      <c r="K29" t="s">
        <v>16</v>
      </c>
      <c r="L29" t="s">
        <v>17</v>
      </c>
      <c r="M29" t="s">
        <v>18</v>
      </c>
      <c r="N29" t="s">
        <v>19</v>
      </c>
      <c r="O29" t="s">
        <v>17</v>
      </c>
      <c r="P29" t="s">
        <v>18</v>
      </c>
      <c r="Q29" t="s">
        <v>20</v>
      </c>
      <c r="R29" t="s">
        <v>21</v>
      </c>
      <c r="S29" t="s">
        <v>18</v>
      </c>
      <c r="T29" t="s">
        <v>19</v>
      </c>
      <c r="U29" t="s">
        <v>21</v>
      </c>
      <c r="V29" t="s">
        <v>18</v>
      </c>
      <c r="W29" t="s">
        <v>19</v>
      </c>
      <c r="X29" t="s">
        <v>30</v>
      </c>
      <c r="Y29" t="s">
        <v>31</v>
      </c>
      <c r="Z29" t="s">
        <v>32</v>
      </c>
      <c r="AC29" s="9"/>
    </row>
    <row r="30" spans="1:30" x14ac:dyDescent="0.2">
      <c r="A30">
        <v>190513</v>
      </c>
      <c r="B30">
        <v>0</v>
      </c>
      <c r="C30">
        <v>0.38729999999999998</v>
      </c>
      <c r="D30">
        <v>2</v>
      </c>
      <c r="L30">
        <v>7110</v>
      </c>
      <c r="M30" s="3" t="s">
        <v>33</v>
      </c>
      <c r="N30">
        <f t="shared" ref="N30:N50" si="11">L30</f>
        <v>7110</v>
      </c>
      <c r="O30">
        <v>91</v>
      </c>
      <c r="P30">
        <v>1</v>
      </c>
      <c r="Q30">
        <f>O30*(P30+1)</f>
        <v>182</v>
      </c>
      <c r="R30">
        <v>70.5</v>
      </c>
      <c r="S30" t="s">
        <v>33</v>
      </c>
      <c r="T30">
        <f>R30</f>
        <v>70.5</v>
      </c>
      <c r="U30">
        <v>107</v>
      </c>
      <c r="V30">
        <v>1</v>
      </c>
      <c r="W30">
        <f>U30*2</f>
        <v>214</v>
      </c>
      <c r="AC30">
        <v>6.79</v>
      </c>
    </row>
    <row r="31" spans="1:30" x14ac:dyDescent="0.2">
      <c r="A31">
        <v>190515</v>
      </c>
      <c r="B31">
        <v>2</v>
      </c>
      <c r="C31">
        <v>0.38190000000000002</v>
      </c>
      <c r="D31">
        <v>2</v>
      </c>
      <c r="E31">
        <v>0.39029999999999998</v>
      </c>
      <c r="F31">
        <f t="shared" ref="F31:F50" si="12">E31-C31</f>
        <v>8.3999999999999631E-3</v>
      </c>
      <c r="G31">
        <f>(F31*1000)/(D31/1000)</f>
        <v>4199.9999999999818</v>
      </c>
      <c r="H31">
        <v>0.38250000000000001</v>
      </c>
      <c r="I31">
        <f>H31-C31</f>
        <v>5.9999999999998943E-4</v>
      </c>
      <c r="J31">
        <f>F31-I31</f>
        <v>7.7999999999999736E-3</v>
      </c>
      <c r="K31">
        <f>(J31*1000)/(D31/1000)</f>
        <v>3899.9999999999868</v>
      </c>
      <c r="L31">
        <v>5725</v>
      </c>
      <c r="M31" t="s">
        <v>33</v>
      </c>
      <c r="N31">
        <f t="shared" si="11"/>
        <v>5725</v>
      </c>
      <c r="O31">
        <v>105</v>
      </c>
      <c r="P31">
        <v>1</v>
      </c>
      <c r="Q31">
        <f>O31*2</f>
        <v>210</v>
      </c>
    </row>
    <row r="32" spans="1:30" x14ac:dyDescent="0.2">
      <c r="A32">
        <v>190517</v>
      </c>
      <c r="B32">
        <v>4</v>
      </c>
      <c r="C32">
        <v>0.38690000000000002</v>
      </c>
      <c r="D32">
        <v>2</v>
      </c>
      <c r="E32">
        <v>0.39689999999999998</v>
      </c>
      <c r="F32">
        <f t="shared" si="12"/>
        <v>9.9999999999999534E-3</v>
      </c>
      <c r="G32">
        <f t="shared" ref="G32:G34" si="13">(F32*1000)/(D32/1000)</f>
        <v>4999.9999999999764</v>
      </c>
      <c r="H32">
        <v>0.38800000000000001</v>
      </c>
      <c r="I32">
        <f t="shared" ref="I32:I50" si="14">H32-C32</f>
        <v>1.0999999999999899E-3</v>
      </c>
      <c r="J32">
        <f t="shared" ref="J32:J50" si="15">F32-I32</f>
        <v>8.8999999999999635E-3</v>
      </c>
      <c r="K32">
        <f t="shared" ref="K32:K50" si="16">(J32*1000)/(D32/1000)</f>
        <v>4449.9999999999818</v>
      </c>
      <c r="L32">
        <v>6455</v>
      </c>
      <c r="M32" t="s">
        <v>33</v>
      </c>
      <c r="N32">
        <f t="shared" si="11"/>
        <v>6455</v>
      </c>
      <c r="O32">
        <v>35</v>
      </c>
      <c r="P32">
        <v>2</v>
      </c>
      <c r="Q32">
        <f>O32*3</f>
        <v>105</v>
      </c>
    </row>
    <row r="33" spans="1:29" x14ac:dyDescent="0.2">
      <c r="A33">
        <v>190520</v>
      </c>
      <c r="B33">
        <f>A33-$A$6</f>
        <v>7</v>
      </c>
      <c r="C33">
        <v>0.3831</v>
      </c>
      <c r="D33">
        <v>2</v>
      </c>
      <c r="E33">
        <v>0.39140000000000003</v>
      </c>
      <c r="F33">
        <f t="shared" si="12"/>
        <v>8.3000000000000296E-3</v>
      </c>
      <c r="G33">
        <f t="shared" si="13"/>
        <v>4150.0000000000146</v>
      </c>
      <c r="H33">
        <v>0.3836</v>
      </c>
      <c r="I33">
        <f t="shared" si="14"/>
        <v>5.0000000000000044E-4</v>
      </c>
      <c r="J33">
        <f t="shared" si="15"/>
        <v>7.8000000000000291E-3</v>
      </c>
      <c r="K33">
        <f t="shared" si="16"/>
        <v>3900.0000000000146</v>
      </c>
      <c r="L33">
        <v>5530</v>
      </c>
      <c r="N33">
        <f t="shared" si="11"/>
        <v>5530</v>
      </c>
      <c r="O33">
        <v>50</v>
      </c>
      <c r="P33">
        <v>1</v>
      </c>
      <c r="Q33">
        <f>O33*2</f>
        <v>100</v>
      </c>
      <c r="R33">
        <v>69.7</v>
      </c>
      <c r="T33">
        <v>69.7</v>
      </c>
    </row>
    <row r="34" spans="1:29" x14ac:dyDescent="0.2">
      <c r="A34">
        <v>190522</v>
      </c>
      <c r="B34">
        <f>A34-$A$6</f>
        <v>9</v>
      </c>
      <c r="C34">
        <v>0.38200000000000001</v>
      </c>
      <c r="D34">
        <v>2</v>
      </c>
      <c r="E34">
        <v>0.39040000000000002</v>
      </c>
      <c r="F34">
        <f t="shared" si="12"/>
        <v>8.4000000000000186E-3</v>
      </c>
      <c r="G34">
        <f t="shared" si="13"/>
        <v>4200.0000000000091</v>
      </c>
      <c r="H34">
        <v>0.38369999999999999</v>
      </c>
      <c r="I34">
        <f t="shared" si="14"/>
        <v>1.6999999999999793E-3</v>
      </c>
      <c r="J34">
        <f t="shared" si="15"/>
        <v>6.7000000000000393E-3</v>
      </c>
      <c r="K34">
        <f t="shared" si="16"/>
        <v>3350.0000000000196</v>
      </c>
      <c r="L34">
        <v>5695</v>
      </c>
      <c r="N34">
        <f t="shared" si="11"/>
        <v>5695</v>
      </c>
      <c r="O34">
        <v>139</v>
      </c>
      <c r="P34" s="1">
        <v>8.4027777777777771E-2</v>
      </c>
      <c r="Q34">
        <f>O34/(2/3)</f>
        <v>208.5</v>
      </c>
    </row>
    <row r="35" spans="1:29" x14ac:dyDescent="0.2">
      <c r="A35">
        <v>190524</v>
      </c>
      <c r="B35">
        <v>11</v>
      </c>
      <c r="C35">
        <v>0.38650000000000001</v>
      </c>
      <c r="D35">
        <v>2</v>
      </c>
      <c r="E35">
        <v>0.3916</v>
      </c>
      <c r="F35">
        <f t="shared" si="12"/>
        <v>5.0999999999999934E-3</v>
      </c>
      <c r="G35">
        <f>(F35*1000)/(D35/1000)</f>
        <v>2549.9999999999968</v>
      </c>
      <c r="H35">
        <v>0.38729999999999998</v>
      </c>
      <c r="I35">
        <f t="shared" si="14"/>
        <v>7.999999999999674E-4</v>
      </c>
      <c r="J35">
        <f t="shared" si="15"/>
        <v>4.300000000000026E-3</v>
      </c>
      <c r="K35">
        <f t="shared" si="16"/>
        <v>2150.0000000000127</v>
      </c>
      <c r="L35">
        <v>6395</v>
      </c>
      <c r="N35">
        <f t="shared" si="11"/>
        <v>6395</v>
      </c>
      <c r="O35">
        <v>53</v>
      </c>
      <c r="Q35">
        <f>O35*2</f>
        <v>106</v>
      </c>
    </row>
    <row r="36" spans="1:29" x14ac:dyDescent="0.2">
      <c r="A36">
        <v>190528</v>
      </c>
      <c r="B36">
        <v>15</v>
      </c>
      <c r="C36">
        <v>0.3856</v>
      </c>
      <c r="D36">
        <v>5</v>
      </c>
      <c r="E36">
        <v>0.40689999999999998</v>
      </c>
      <c r="F36">
        <f t="shared" si="12"/>
        <v>2.1299999999999986E-2</v>
      </c>
      <c r="G36">
        <f t="shared" ref="G36:G50" si="17">(F36*1000)/(D36/1000)</f>
        <v>4259.9999999999973</v>
      </c>
      <c r="H36">
        <v>0.38740000000000002</v>
      </c>
      <c r="I36">
        <f t="shared" si="14"/>
        <v>1.8000000000000238E-3</v>
      </c>
      <c r="J36">
        <f t="shared" si="15"/>
        <v>1.9499999999999962E-2</v>
      </c>
      <c r="K36">
        <f t="shared" si="16"/>
        <v>3899.9999999999923</v>
      </c>
      <c r="L36">
        <v>6500</v>
      </c>
      <c r="M36" t="s">
        <v>33</v>
      </c>
      <c r="N36">
        <f t="shared" si="11"/>
        <v>6500</v>
      </c>
      <c r="O36">
        <v>108</v>
      </c>
      <c r="P36" s="1">
        <v>4.2361111111111106E-2</v>
      </c>
      <c r="Q36">
        <f>O36*2</f>
        <v>216</v>
      </c>
    </row>
    <row r="37" spans="1:29" x14ac:dyDescent="0.2">
      <c r="A37">
        <v>190529</v>
      </c>
      <c r="B37">
        <f>A37-$A$6</f>
        <v>16</v>
      </c>
      <c r="C37">
        <v>0.12509999999999999</v>
      </c>
      <c r="D37">
        <v>3</v>
      </c>
      <c r="E37">
        <v>0.1389</v>
      </c>
      <c r="F37">
        <f t="shared" si="12"/>
        <v>1.3800000000000007E-2</v>
      </c>
      <c r="G37">
        <f t="shared" si="17"/>
        <v>4600.0000000000018</v>
      </c>
      <c r="H37">
        <v>0.1265</v>
      </c>
      <c r="I37">
        <f t="shared" si="14"/>
        <v>1.4000000000000123E-3</v>
      </c>
      <c r="J37">
        <f t="shared" si="15"/>
        <v>1.2399999999999994E-2</v>
      </c>
      <c r="K37">
        <f t="shared" si="16"/>
        <v>4133.3333333333312</v>
      </c>
      <c r="L37">
        <v>6185</v>
      </c>
      <c r="N37">
        <f t="shared" si="11"/>
        <v>6185</v>
      </c>
      <c r="O37">
        <v>110</v>
      </c>
      <c r="P37">
        <v>1</v>
      </c>
      <c r="Q37">
        <f>O37*2</f>
        <v>220</v>
      </c>
    </row>
    <row r="38" spans="1:29" x14ac:dyDescent="0.2">
      <c r="A38">
        <v>190531</v>
      </c>
      <c r="B38">
        <f>A38-$A$6</f>
        <v>18</v>
      </c>
      <c r="C38">
        <v>0.1227</v>
      </c>
      <c r="D38">
        <v>3</v>
      </c>
      <c r="E38">
        <v>0.13500000000000001</v>
      </c>
      <c r="F38">
        <f t="shared" si="12"/>
        <v>1.2300000000000005E-2</v>
      </c>
      <c r="G38">
        <f t="shared" si="17"/>
        <v>4100.0000000000018</v>
      </c>
      <c r="H38">
        <v>0.1245</v>
      </c>
      <c r="I38">
        <f t="shared" si="14"/>
        <v>1.799999999999996E-3</v>
      </c>
      <c r="J38">
        <f t="shared" si="15"/>
        <v>1.0500000000000009E-2</v>
      </c>
      <c r="K38">
        <f t="shared" si="16"/>
        <v>3500.0000000000027</v>
      </c>
      <c r="L38">
        <v>6645</v>
      </c>
      <c r="N38">
        <f t="shared" si="11"/>
        <v>6645</v>
      </c>
      <c r="O38">
        <v>363</v>
      </c>
      <c r="Q38">
        <f>O38</f>
        <v>363</v>
      </c>
    </row>
    <row r="39" spans="1:29" x14ac:dyDescent="0.2">
      <c r="A39">
        <v>190603</v>
      </c>
      <c r="B39">
        <f>B38+3</f>
        <v>21</v>
      </c>
      <c r="C39">
        <v>0.12429999999999999</v>
      </c>
      <c r="D39">
        <v>3</v>
      </c>
      <c r="E39">
        <v>0.13650000000000001</v>
      </c>
      <c r="F39">
        <f t="shared" si="12"/>
        <v>1.2200000000000016E-2</v>
      </c>
      <c r="G39">
        <f t="shared" si="17"/>
        <v>4066.6666666666724</v>
      </c>
      <c r="H39">
        <v>0.12540000000000001</v>
      </c>
      <c r="I39">
        <f t="shared" si="14"/>
        <v>1.1000000000000176E-3</v>
      </c>
      <c r="J39">
        <f t="shared" si="15"/>
        <v>1.1099999999999999E-2</v>
      </c>
      <c r="K39">
        <f t="shared" si="16"/>
        <v>3699.9999999999991</v>
      </c>
      <c r="L39">
        <v>6435</v>
      </c>
      <c r="N39">
        <f t="shared" si="11"/>
        <v>6435</v>
      </c>
      <c r="O39">
        <v>338</v>
      </c>
      <c r="Q39">
        <f>O39/(2/3)</f>
        <v>507</v>
      </c>
      <c r="AC39">
        <v>6.53</v>
      </c>
    </row>
    <row r="40" spans="1:29" x14ac:dyDescent="0.2">
      <c r="A40">
        <v>190605</v>
      </c>
      <c r="B40">
        <f>B39+(A40-A39)</f>
        <v>23</v>
      </c>
      <c r="C40">
        <v>0.12330000000000001</v>
      </c>
      <c r="D40">
        <v>3</v>
      </c>
      <c r="E40">
        <v>0.13489999999999999</v>
      </c>
      <c r="F40">
        <f t="shared" si="12"/>
        <v>1.1599999999999985E-2</v>
      </c>
      <c r="G40">
        <f t="shared" si="17"/>
        <v>3866.6666666666615</v>
      </c>
      <c r="H40">
        <v>0.12479999999999999</v>
      </c>
      <c r="I40">
        <f t="shared" si="14"/>
        <v>1.4999999999999875E-3</v>
      </c>
      <c r="J40">
        <f t="shared" si="15"/>
        <v>1.0099999999999998E-2</v>
      </c>
      <c r="K40">
        <f t="shared" si="16"/>
        <v>3366.6666666666661</v>
      </c>
      <c r="L40">
        <v>5690</v>
      </c>
      <c r="N40">
        <f t="shared" si="11"/>
        <v>5690</v>
      </c>
      <c r="O40">
        <v>428</v>
      </c>
      <c r="P40" t="s">
        <v>47</v>
      </c>
      <c r="Q40">
        <f>O40/(2.5/3)</f>
        <v>513.6</v>
      </c>
    </row>
    <row r="41" spans="1:29" x14ac:dyDescent="0.2">
      <c r="A41">
        <v>190607</v>
      </c>
      <c r="B41">
        <f>B40+(A41-A40)</f>
        <v>25</v>
      </c>
      <c r="C41">
        <v>0.1246</v>
      </c>
      <c r="D41">
        <v>3</v>
      </c>
      <c r="E41">
        <v>0.1361</v>
      </c>
      <c r="F41">
        <f t="shared" si="12"/>
        <v>1.1499999999999996E-2</v>
      </c>
      <c r="G41">
        <f t="shared" si="17"/>
        <v>3833.3333333333321</v>
      </c>
      <c r="H41">
        <v>0.12590000000000001</v>
      </c>
      <c r="I41">
        <f t="shared" si="14"/>
        <v>1.3000000000000095E-3</v>
      </c>
      <c r="J41">
        <f t="shared" si="15"/>
        <v>1.0199999999999987E-2</v>
      </c>
      <c r="K41">
        <f t="shared" si="16"/>
        <v>3399.9999999999955</v>
      </c>
      <c r="L41">
        <v>5800</v>
      </c>
      <c r="N41">
        <f t="shared" si="11"/>
        <v>5800</v>
      </c>
      <c r="O41">
        <v>461</v>
      </c>
      <c r="P41" t="s">
        <v>47</v>
      </c>
      <c r="Q41">
        <f>O41/(2.5/3)</f>
        <v>553.19999999999993</v>
      </c>
    </row>
    <row r="42" spans="1:29" x14ac:dyDescent="0.2">
      <c r="A42">
        <v>190610</v>
      </c>
      <c r="B42">
        <f>B41+(A42-A41)</f>
        <v>28</v>
      </c>
      <c r="C42">
        <v>0.12470000000000001</v>
      </c>
      <c r="D42">
        <v>3</v>
      </c>
      <c r="E42">
        <v>0.1348</v>
      </c>
      <c r="F42">
        <f t="shared" si="12"/>
        <v>1.0099999999999998E-2</v>
      </c>
      <c r="G42">
        <f t="shared" si="17"/>
        <v>3366.6666666666661</v>
      </c>
      <c r="H42">
        <v>0.1258</v>
      </c>
      <c r="I42">
        <f t="shared" si="14"/>
        <v>1.0999999999999899E-3</v>
      </c>
      <c r="J42">
        <f t="shared" si="15"/>
        <v>9.000000000000008E-3</v>
      </c>
      <c r="K42">
        <f t="shared" si="16"/>
        <v>3000.0000000000023</v>
      </c>
      <c r="L42">
        <v>5320</v>
      </c>
      <c r="N42">
        <f t="shared" si="11"/>
        <v>5320</v>
      </c>
      <c r="O42">
        <v>892</v>
      </c>
      <c r="Q42">
        <v>892</v>
      </c>
      <c r="R42">
        <v>38.5</v>
      </c>
      <c r="T42">
        <f>R42*2</f>
        <v>77</v>
      </c>
    </row>
    <row r="43" spans="1:29" x14ac:dyDescent="0.2">
      <c r="A43">
        <v>190624</v>
      </c>
      <c r="B43">
        <f>B42+(A43-A42)</f>
        <v>42</v>
      </c>
      <c r="C43">
        <v>0.12230000000000001</v>
      </c>
      <c r="D43">
        <v>3</v>
      </c>
      <c r="E43">
        <v>0.13320000000000001</v>
      </c>
      <c r="F43">
        <f t="shared" si="12"/>
        <v>1.0900000000000007E-2</v>
      </c>
      <c r="G43">
        <f t="shared" si="17"/>
        <v>3633.3333333333358</v>
      </c>
      <c r="H43">
        <v>0.1241</v>
      </c>
      <c r="I43">
        <f t="shared" si="14"/>
        <v>1.799999999999996E-3</v>
      </c>
      <c r="J43">
        <f t="shared" si="15"/>
        <v>9.1000000000000109E-3</v>
      </c>
      <c r="K43">
        <f t="shared" si="16"/>
        <v>3033.3333333333367</v>
      </c>
      <c r="L43">
        <v>5865</v>
      </c>
      <c r="N43">
        <f t="shared" si="11"/>
        <v>5865</v>
      </c>
      <c r="O43">
        <v>511</v>
      </c>
      <c r="Q43">
        <f>O43</f>
        <v>511</v>
      </c>
      <c r="AC43">
        <v>6.07</v>
      </c>
    </row>
    <row r="44" spans="1:29" x14ac:dyDescent="0.2">
      <c r="A44">
        <v>190701</v>
      </c>
      <c r="B44">
        <v>49</v>
      </c>
      <c r="C44">
        <v>0.1258</v>
      </c>
      <c r="D44">
        <v>3</v>
      </c>
      <c r="E44">
        <v>0.13650000000000001</v>
      </c>
      <c r="F44">
        <f t="shared" si="12"/>
        <v>1.0700000000000015E-2</v>
      </c>
      <c r="G44">
        <f t="shared" si="17"/>
        <v>3566.6666666666715</v>
      </c>
      <c r="H44">
        <v>0.1268</v>
      </c>
      <c r="I44">
        <f t="shared" si="14"/>
        <v>1.0000000000000009E-3</v>
      </c>
      <c r="J44">
        <f t="shared" si="15"/>
        <v>9.7000000000000142E-3</v>
      </c>
      <c r="K44">
        <f t="shared" si="16"/>
        <v>3233.3333333333376</v>
      </c>
      <c r="L44">
        <v>6085</v>
      </c>
      <c r="N44">
        <f t="shared" si="11"/>
        <v>6085</v>
      </c>
      <c r="O44">
        <v>765</v>
      </c>
      <c r="Q44">
        <f>O44</f>
        <v>765</v>
      </c>
      <c r="AC44">
        <v>5.86</v>
      </c>
    </row>
    <row r="45" spans="1:29" x14ac:dyDescent="0.2">
      <c r="A45">
        <v>190708</v>
      </c>
      <c r="B45">
        <v>56</v>
      </c>
      <c r="C45">
        <v>0.12479999999999999</v>
      </c>
      <c r="D45">
        <v>3</v>
      </c>
      <c r="E45">
        <v>0.13539999999999999</v>
      </c>
      <c r="F45">
        <f t="shared" si="12"/>
        <v>1.0599999999999998E-2</v>
      </c>
      <c r="G45">
        <f t="shared" si="17"/>
        <v>3533.3333333333326</v>
      </c>
      <c r="H45">
        <v>0.12540000000000001</v>
      </c>
      <c r="I45">
        <f t="shared" si="14"/>
        <v>6.0000000000001719E-4</v>
      </c>
      <c r="J45">
        <f t="shared" si="15"/>
        <v>9.9999999999999811E-3</v>
      </c>
      <c r="K45">
        <f t="shared" si="16"/>
        <v>3333.3333333333267</v>
      </c>
      <c r="L45">
        <v>5325</v>
      </c>
      <c r="N45">
        <f t="shared" si="11"/>
        <v>5325</v>
      </c>
      <c r="O45">
        <v>359</v>
      </c>
      <c r="P45" s="1">
        <v>8.4027777777777771E-2</v>
      </c>
      <c r="Q45">
        <f>O45/(2/3)</f>
        <v>538.5</v>
      </c>
      <c r="R45">
        <v>36.799999999999997</v>
      </c>
      <c r="T45">
        <f>R45*2</f>
        <v>73.599999999999994</v>
      </c>
      <c r="AC45">
        <v>6.07</v>
      </c>
    </row>
    <row r="46" spans="1:29" x14ac:dyDescent="0.2">
      <c r="A46">
        <f>A45+7</f>
        <v>190715</v>
      </c>
      <c r="B46">
        <v>63</v>
      </c>
      <c r="C46">
        <v>0.123</v>
      </c>
      <c r="D46">
        <v>3</v>
      </c>
      <c r="E46">
        <v>0.13350000000000001</v>
      </c>
      <c r="F46">
        <f t="shared" si="12"/>
        <v>1.0500000000000009E-2</v>
      </c>
      <c r="G46">
        <f t="shared" si="17"/>
        <v>3500.0000000000027</v>
      </c>
      <c r="H46">
        <v>0.1246</v>
      </c>
      <c r="I46">
        <f t="shared" si="14"/>
        <v>1.6000000000000042E-3</v>
      </c>
      <c r="J46">
        <f t="shared" si="15"/>
        <v>8.9000000000000051E-3</v>
      </c>
      <c r="K46">
        <f t="shared" si="16"/>
        <v>2966.6666666666683</v>
      </c>
      <c r="L46">
        <v>5410</v>
      </c>
      <c r="N46">
        <f t="shared" si="11"/>
        <v>5410</v>
      </c>
      <c r="O46">
        <v>680</v>
      </c>
      <c r="Q46">
        <f>O46</f>
        <v>680</v>
      </c>
      <c r="AC46">
        <v>6.14</v>
      </c>
    </row>
    <row r="47" spans="1:29" x14ac:dyDescent="0.2">
      <c r="A47">
        <v>190722</v>
      </c>
      <c r="B47">
        <v>70</v>
      </c>
      <c r="C47">
        <v>0.12479999999999999</v>
      </c>
      <c r="D47">
        <v>3</v>
      </c>
      <c r="E47">
        <v>0.13500000000000001</v>
      </c>
      <c r="F47">
        <f t="shared" si="12"/>
        <v>1.0200000000000015E-2</v>
      </c>
      <c r="G47">
        <f t="shared" si="17"/>
        <v>3400.000000000005</v>
      </c>
      <c r="H47">
        <v>0.12540000000000001</v>
      </c>
      <c r="I47">
        <f t="shared" si="14"/>
        <v>6.0000000000001719E-4</v>
      </c>
      <c r="J47">
        <f t="shared" si="15"/>
        <v>9.5999999999999974E-3</v>
      </c>
      <c r="K47">
        <f t="shared" si="16"/>
        <v>3199.9999999999991</v>
      </c>
      <c r="L47">
        <v>5365</v>
      </c>
      <c r="N47">
        <f t="shared" si="11"/>
        <v>5365</v>
      </c>
      <c r="O47">
        <v>531</v>
      </c>
      <c r="Q47">
        <v>531</v>
      </c>
      <c r="AC47">
        <v>6.23</v>
      </c>
    </row>
    <row r="48" spans="1:29" x14ac:dyDescent="0.2">
      <c r="A48">
        <v>190729</v>
      </c>
      <c r="B48">
        <v>77</v>
      </c>
      <c r="C48">
        <v>0.12239999999999999</v>
      </c>
      <c r="D48">
        <v>3</v>
      </c>
      <c r="E48">
        <v>0.13339999999999999</v>
      </c>
      <c r="F48">
        <f t="shared" si="12"/>
        <v>1.0999999999999996E-2</v>
      </c>
      <c r="G48">
        <f t="shared" si="17"/>
        <v>3666.6666666666656</v>
      </c>
      <c r="H48">
        <v>0.123</v>
      </c>
      <c r="I48">
        <f t="shared" si="14"/>
        <v>6.0000000000000331E-4</v>
      </c>
      <c r="J48">
        <f t="shared" si="15"/>
        <v>1.0399999999999993E-2</v>
      </c>
      <c r="K48">
        <f t="shared" si="16"/>
        <v>3466.6666666666642</v>
      </c>
      <c r="L48">
        <v>5285</v>
      </c>
      <c r="N48">
        <f t="shared" si="11"/>
        <v>5285</v>
      </c>
      <c r="O48">
        <v>200</v>
      </c>
      <c r="Q48">
        <f>O48*2</f>
        <v>400</v>
      </c>
      <c r="AC48">
        <v>6.73</v>
      </c>
    </row>
    <row r="49" spans="1:29" x14ac:dyDescent="0.2">
      <c r="A49">
        <v>190805</v>
      </c>
      <c r="B49">
        <v>84</v>
      </c>
      <c r="C49">
        <v>0.12470000000000001</v>
      </c>
      <c r="D49">
        <v>3</v>
      </c>
      <c r="E49">
        <v>0.1336</v>
      </c>
      <c r="F49">
        <f t="shared" si="12"/>
        <v>8.8999999999999913E-3</v>
      </c>
      <c r="G49">
        <f t="shared" si="17"/>
        <v>2966.6666666666638</v>
      </c>
      <c r="H49">
        <v>0.12670000000000001</v>
      </c>
      <c r="I49">
        <f t="shared" si="14"/>
        <v>2.0000000000000018E-3</v>
      </c>
      <c r="J49">
        <f t="shared" si="15"/>
        <v>6.8999999999999895E-3</v>
      </c>
      <c r="K49">
        <f t="shared" si="16"/>
        <v>2299.9999999999964</v>
      </c>
      <c r="L49">
        <v>4865</v>
      </c>
      <c r="N49">
        <f t="shared" si="11"/>
        <v>4865</v>
      </c>
      <c r="O49">
        <v>276</v>
      </c>
      <c r="P49" t="s">
        <v>47</v>
      </c>
      <c r="Q49">
        <f>O49/(2.5/3)</f>
        <v>331.2</v>
      </c>
      <c r="AC49">
        <v>6.33</v>
      </c>
    </row>
    <row r="52" spans="1:29" x14ac:dyDescent="0.2">
      <c r="B52" t="s">
        <v>0</v>
      </c>
      <c r="C52" s="9" t="s">
        <v>1</v>
      </c>
      <c r="D52" s="9"/>
      <c r="E52" s="9"/>
      <c r="F52" s="9"/>
      <c r="G52" s="9"/>
      <c r="H52" s="9" t="s">
        <v>2</v>
      </c>
      <c r="I52" s="9"/>
      <c r="J52" s="9"/>
      <c r="K52" s="9"/>
      <c r="L52" s="9" t="s">
        <v>3</v>
      </c>
      <c r="M52" s="9"/>
      <c r="N52" s="9"/>
      <c r="O52" s="9" t="s">
        <v>4</v>
      </c>
      <c r="P52" s="9"/>
      <c r="Q52" s="9"/>
      <c r="R52" s="9" t="s">
        <v>5</v>
      </c>
      <c r="S52" s="9"/>
      <c r="T52" s="9"/>
      <c r="U52" s="9" t="s">
        <v>23</v>
      </c>
      <c r="V52" s="9"/>
      <c r="W52" s="9"/>
      <c r="X52" s="9" t="s">
        <v>24</v>
      </c>
      <c r="Y52" s="9"/>
      <c r="Z52" s="9"/>
      <c r="AA52" s="9"/>
      <c r="AB52" s="9"/>
      <c r="AC52" s="9" t="s">
        <v>25</v>
      </c>
    </row>
    <row r="53" spans="1:29" x14ac:dyDescent="0.2">
      <c r="A53" t="s">
        <v>6</v>
      </c>
      <c r="B53" t="s">
        <v>7</v>
      </c>
      <c r="C53" t="s">
        <v>8</v>
      </c>
      <c r="D53" t="s">
        <v>9</v>
      </c>
      <c r="E53" t="s">
        <v>10</v>
      </c>
      <c r="F53" t="s">
        <v>11</v>
      </c>
      <c r="G53" t="s">
        <v>12</v>
      </c>
      <c r="H53" t="s">
        <v>13</v>
      </c>
      <c r="I53" t="s">
        <v>14</v>
      </c>
      <c r="J53" t="s">
        <v>15</v>
      </c>
      <c r="K53" t="s">
        <v>16</v>
      </c>
      <c r="L53" t="s">
        <v>17</v>
      </c>
      <c r="M53" t="s">
        <v>18</v>
      </c>
      <c r="N53" t="s">
        <v>19</v>
      </c>
      <c r="O53" t="s">
        <v>17</v>
      </c>
      <c r="P53" t="s">
        <v>18</v>
      </c>
      <c r="Q53" t="s">
        <v>20</v>
      </c>
      <c r="R53" t="s">
        <v>21</v>
      </c>
      <c r="S53" t="s">
        <v>18</v>
      </c>
      <c r="T53" t="s">
        <v>19</v>
      </c>
      <c r="U53" t="s">
        <v>21</v>
      </c>
      <c r="V53" t="s">
        <v>18</v>
      </c>
      <c r="W53" t="s">
        <v>19</v>
      </c>
      <c r="X53" t="s">
        <v>30</v>
      </c>
      <c r="Y53" t="s">
        <v>31</v>
      </c>
      <c r="Z53" t="s">
        <v>32</v>
      </c>
      <c r="AC53" s="9"/>
    </row>
    <row r="54" spans="1:29" x14ac:dyDescent="0.2">
      <c r="A54">
        <v>190513</v>
      </c>
      <c r="B54">
        <v>0</v>
      </c>
      <c r="C54">
        <v>0.38690000000000002</v>
      </c>
      <c r="D54">
        <v>2</v>
      </c>
      <c r="L54">
        <v>7420</v>
      </c>
      <c r="M54" s="3" t="s">
        <v>33</v>
      </c>
      <c r="N54">
        <f t="shared" ref="N54:N68" si="18">L54</f>
        <v>7420</v>
      </c>
      <c r="O54">
        <v>90</v>
      </c>
      <c r="P54">
        <v>1</v>
      </c>
      <c r="Q54">
        <f>O54*2</f>
        <v>180</v>
      </c>
      <c r="R54">
        <v>68.8</v>
      </c>
      <c r="S54" t="s">
        <v>33</v>
      </c>
      <c r="T54">
        <f>R54</f>
        <v>68.8</v>
      </c>
      <c r="AC54">
        <v>7.2</v>
      </c>
    </row>
    <row r="55" spans="1:29" x14ac:dyDescent="0.2">
      <c r="A55">
        <v>190515</v>
      </c>
      <c r="B55">
        <v>2</v>
      </c>
      <c r="D55">
        <v>2</v>
      </c>
      <c r="L55">
        <v>5945</v>
      </c>
      <c r="M55" t="s">
        <v>33</v>
      </c>
      <c r="N55">
        <f t="shared" si="18"/>
        <v>5945</v>
      </c>
      <c r="O55">
        <v>103</v>
      </c>
      <c r="P55">
        <v>1</v>
      </c>
      <c r="Q55">
        <f>O55*2</f>
        <v>206</v>
      </c>
    </row>
    <row r="56" spans="1:29" x14ac:dyDescent="0.2">
      <c r="A56">
        <v>190517</v>
      </c>
      <c r="B56">
        <v>4</v>
      </c>
      <c r="C56">
        <v>0.38479999999999998</v>
      </c>
      <c r="D56">
        <v>2</v>
      </c>
      <c r="E56">
        <v>0.39489999999999997</v>
      </c>
      <c r="F56">
        <f>E56-C56</f>
        <v>1.0099999999999998E-2</v>
      </c>
      <c r="G56">
        <f t="shared" ref="G56:G73" si="19">(F56*1000)/(D56/1000)</f>
        <v>5049.9999999999991</v>
      </c>
      <c r="H56">
        <v>0.3856</v>
      </c>
      <c r="I56">
        <f t="shared" ref="I56:I73" si="20">H56-C56</f>
        <v>8.0000000000002292E-4</v>
      </c>
      <c r="J56">
        <f t="shared" ref="J56:J73" si="21">F56-I56</f>
        <v>9.299999999999975E-3</v>
      </c>
      <c r="K56">
        <f t="shared" ref="K56:K73" si="22">(J56*1000)/(D56/1000)</f>
        <v>4649.9999999999882</v>
      </c>
      <c r="L56">
        <v>6480</v>
      </c>
      <c r="N56">
        <f t="shared" si="18"/>
        <v>6480</v>
      </c>
      <c r="O56">
        <v>40</v>
      </c>
      <c r="Q56">
        <f>O56*3</f>
        <v>120</v>
      </c>
    </row>
    <row r="57" spans="1:29" x14ac:dyDescent="0.2">
      <c r="A57">
        <v>190520</v>
      </c>
      <c r="B57">
        <f>A57-A54</f>
        <v>7</v>
      </c>
      <c r="C57">
        <v>0.38700000000000001</v>
      </c>
      <c r="D57">
        <v>2</v>
      </c>
      <c r="E57">
        <v>0.39689999999999998</v>
      </c>
      <c r="F57">
        <f>E57-C57</f>
        <v>9.8999999999999644E-3</v>
      </c>
      <c r="G57">
        <f t="shared" si="19"/>
        <v>4949.9999999999827</v>
      </c>
      <c r="H57">
        <v>0.38729999999999998</v>
      </c>
      <c r="I57">
        <f t="shared" si="20"/>
        <v>2.9999999999996696E-4</v>
      </c>
      <c r="J57">
        <f t="shared" si="21"/>
        <v>9.5999999999999974E-3</v>
      </c>
      <c r="K57">
        <f t="shared" si="22"/>
        <v>4799.9999999999991</v>
      </c>
      <c r="L57">
        <v>6835</v>
      </c>
      <c r="N57">
        <f t="shared" si="18"/>
        <v>6835</v>
      </c>
      <c r="O57">
        <v>57</v>
      </c>
      <c r="Q57">
        <f>O57*2</f>
        <v>114</v>
      </c>
      <c r="R57">
        <v>70.2</v>
      </c>
      <c r="T57">
        <v>70.2</v>
      </c>
    </row>
    <row r="58" spans="1:29" x14ac:dyDescent="0.2">
      <c r="A58">
        <v>190522</v>
      </c>
      <c r="B58">
        <f>A58-$A$6</f>
        <v>9</v>
      </c>
      <c r="C58">
        <v>0.38479999999999998</v>
      </c>
      <c r="D58">
        <v>2</v>
      </c>
      <c r="E58">
        <v>0.39329999999999998</v>
      </c>
      <c r="F58">
        <f t="shared" ref="F58:F73" si="23">E58-C58</f>
        <v>8.5000000000000075E-3</v>
      </c>
      <c r="G58">
        <f t="shared" si="19"/>
        <v>4250.0000000000036</v>
      </c>
      <c r="H58">
        <v>0.38579999999999998</v>
      </c>
      <c r="I58">
        <f t="shared" si="20"/>
        <v>1.0000000000000009E-3</v>
      </c>
      <c r="J58">
        <f t="shared" si="21"/>
        <v>7.5000000000000067E-3</v>
      </c>
      <c r="K58">
        <f t="shared" si="22"/>
        <v>3750.0000000000036</v>
      </c>
      <c r="L58">
        <v>8085</v>
      </c>
      <c r="N58">
        <f t="shared" si="18"/>
        <v>8085</v>
      </c>
      <c r="O58">
        <v>185</v>
      </c>
      <c r="Q58">
        <f>O58/(2/3)</f>
        <v>277.5</v>
      </c>
    </row>
    <row r="59" spans="1:29" x14ac:dyDescent="0.2">
      <c r="A59">
        <v>190524</v>
      </c>
      <c r="B59">
        <v>11</v>
      </c>
      <c r="C59">
        <v>0.38479999999999998</v>
      </c>
      <c r="D59">
        <v>2</v>
      </c>
      <c r="E59">
        <v>0.39660000000000001</v>
      </c>
      <c r="F59">
        <f t="shared" si="23"/>
        <v>1.1800000000000033E-2</v>
      </c>
      <c r="G59">
        <f t="shared" si="19"/>
        <v>5900.0000000000164</v>
      </c>
      <c r="H59">
        <v>0.38529999999999998</v>
      </c>
      <c r="I59">
        <f t="shared" si="20"/>
        <v>5.0000000000000044E-4</v>
      </c>
      <c r="J59">
        <f t="shared" si="21"/>
        <v>1.1300000000000032E-2</v>
      </c>
      <c r="K59">
        <f t="shared" si="22"/>
        <v>5650.0000000000164</v>
      </c>
      <c r="L59">
        <v>6425</v>
      </c>
      <c r="N59">
        <f t="shared" si="18"/>
        <v>6425</v>
      </c>
      <c r="O59">
        <v>44</v>
      </c>
      <c r="Q59">
        <f>O59*2</f>
        <v>88</v>
      </c>
    </row>
    <row r="60" spans="1:29" x14ac:dyDescent="0.2">
      <c r="A60">
        <v>190528</v>
      </c>
      <c r="B60">
        <v>15</v>
      </c>
      <c r="C60">
        <v>0.12509999999999999</v>
      </c>
      <c r="D60">
        <v>5</v>
      </c>
      <c r="E60">
        <v>0.1484</v>
      </c>
      <c r="F60">
        <f t="shared" si="23"/>
        <v>2.3300000000000015E-2</v>
      </c>
      <c r="G60">
        <f t="shared" si="19"/>
        <v>4660.0000000000027</v>
      </c>
      <c r="H60">
        <v>0.12770000000000001</v>
      </c>
      <c r="I60">
        <f t="shared" si="20"/>
        <v>2.600000000000019E-3</v>
      </c>
      <c r="J60">
        <f t="shared" si="21"/>
        <v>2.0699999999999996E-2</v>
      </c>
      <c r="K60">
        <f t="shared" si="22"/>
        <v>4139.9999999999991</v>
      </c>
      <c r="L60">
        <v>5860</v>
      </c>
      <c r="M60" t="s">
        <v>33</v>
      </c>
      <c r="N60">
        <f t="shared" si="18"/>
        <v>5860</v>
      </c>
      <c r="O60">
        <v>180</v>
      </c>
      <c r="P60" s="1">
        <v>4.2361111111111106E-2</v>
      </c>
      <c r="Q60">
        <f>O60*2</f>
        <v>360</v>
      </c>
    </row>
    <row r="61" spans="1:29" x14ac:dyDescent="0.2">
      <c r="A61">
        <v>190529</v>
      </c>
      <c r="B61">
        <f>A61-$A$6</f>
        <v>16</v>
      </c>
      <c r="C61">
        <v>0.12529999999999999</v>
      </c>
      <c r="D61">
        <v>3</v>
      </c>
      <c r="E61">
        <v>0.13980000000000001</v>
      </c>
      <c r="F61">
        <f t="shared" si="23"/>
        <v>1.4500000000000013E-2</v>
      </c>
      <c r="G61">
        <f t="shared" si="19"/>
        <v>4833.3333333333376</v>
      </c>
      <c r="H61">
        <v>0.1268</v>
      </c>
      <c r="I61">
        <f t="shared" si="20"/>
        <v>1.5000000000000013E-3</v>
      </c>
      <c r="J61">
        <f t="shared" si="21"/>
        <v>1.3000000000000012E-2</v>
      </c>
      <c r="K61">
        <f t="shared" si="22"/>
        <v>4333.3333333333367</v>
      </c>
      <c r="L61">
        <v>6785</v>
      </c>
      <c r="N61">
        <f t="shared" si="18"/>
        <v>6785</v>
      </c>
      <c r="O61">
        <v>198</v>
      </c>
      <c r="P61">
        <v>1</v>
      </c>
      <c r="Q61">
        <f>O61*2</f>
        <v>396</v>
      </c>
      <c r="R61">
        <v>36.9</v>
      </c>
      <c r="S61" s="1">
        <v>4.2361111111111106E-2</v>
      </c>
      <c r="T61">
        <f>R61*2</f>
        <v>73.8</v>
      </c>
    </row>
    <row r="62" spans="1:29" x14ac:dyDescent="0.2">
      <c r="A62">
        <v>190531</v>
      </c>
      <c r="B62">
        <f>A62-$A$6</f>
        <v>18</v>
      </c>
      <c r="C62">
        <v>0.1242</v>
      </c>
      <c r="D62">
        <v>3</v>
      </c>
      <c r="E62">
        <v>0.1371</v>
      </c>
      <c r="F62">
        <f t="shared" si="23"/>
        <v>1.2899999999999995E-2</v>
      </c>
      <c r="G62">
        <f t="shared" si="19"/>
        <v>4299.9999999999982</v>
      </c>
      <c r="H62">
        <v>0.12559999999999999</v>
      </c>
      <c r="I62">
        <f t="shared" si="20"/>
        <v>1.3999999999999846E-3</v>
      </c>
      <c r="J62">
        <f t="shared" si="21"/>
        <v>1.150000000000001E-2</v>
      </c>
      <c r="K62">
        <f t="shared" si="22"/>
        <v>3833.3333333333367</v>
      </c>
      <c r="L62">
        <v>6615</v>
      </c>
      <c r="N62">
        <f t="shared" si="18"/>
        <v>6615</v>
      </c>
      <c r="O62">
        <v>538</v>
      </c>
      <c r="Q62">
        <f>O62</f>
        <v>538</v>
      </c>
    </row>
    <row r="63" spans="1:29" x14ac:dyDescent="0.2">
      <c r="A63">
        <v>190603</v>
      </c>
      <c r="B63">
        <f>B62+3</f>
        <v>21</v>
      </c>
      <c r="C63">
        <v>0.12330000000000001</v>
      </c>
      <c r="D63">
        <v>3</v>
      </c>
      <c r="E63">
        <v>0.13589999999999999</v>
      </c>
      <c r="F63">
        <f t="shared" si="23"/>
        <v>1.2599999999999986E-2</v>
      </c>
      <c r="G63">
        <f t="shared" si="19"/>
        <v>4199.9999999999955</v>
      </c>
      <c r="H63">
        <v>0.1246</v>
      </c>
      <c r="I63">
        <f t="shared" si="20"/>
        <v>1.2999999999999956E-3</v>
      </c>
      <c r="J63">
        <f t="shared" si="21"/>
        <v>1.1299999999999991E-2</v>
      </c>
      <c r="K63">
        <f t="shared" si="22"/>
        <v>3766.6666666666633</v>
      </c>
      <c r="L63">
        <v>5850</v>
      </c>
      <c r="N63">
        <f t="shared" si="18"/>
        <v>5850</v>
      </c>
      <c r="O63">
        <v>436</v>
      </c>
      <c r="Q63">
        <f>O63/(2/3)</f>
        <v>654</v>
      </c>
      <c r="AC63">
        <v>6.34</v>
      </c>
    </row>
    <row r="64" spans="1:29" x14ac:dyDescent="0.2">
      <c r="A64">
        <v>190605</v>
      </c>
      <c r="B64">
        <f>B63+(A64-A63)</f>
        <v>23</v>
      </c>
      <c r="C64">
        <v>0.12280000000000001</v>
      </c>
      <c r="D64">
        <v>3</v>
      </c>
      <c r="E64">
        <v>0.1353</v>
      </c>
      <c r="F64">
        <f t="shared" si="23"/>
        <v>1.2499999999999997E-2</v>
      </c>
      <c r="G64">
        <f t="shared" si="19"/>
        <v>4166.6666666666652</v>
      </c>
      <c r="H64">
        <v>0.1244</v>
      </c>
      <c r="I64">
        <f t="shared" si="20"/>
        <v>1.5999999999999903E-3</v>
      </c>
      <c r="J64">
        <f t="shared" si="21"/>
        <v>1.0900000000000007E-2</v>
      </c>
      <c r="K64">
        <f t="shared" si="22"/>
        <v>3633.3333333333358</v>
      </c>
      <c r="L64">
        <v>6130</v>
      </c>
      <c r="N64">
        <f t="shared" si="18"/>
        <v>6130</v>
      </c>
      <c r="O64">
        <v>583</v>
      </c>
      <c r="Q64">
        <f>O64/(2.5/3)</f>
        <v>699.6</v>
      </c>
    </row>
    <row r="65" spans="1:29" x14ac:dyDescent="0.2">
      <c r="A65">
        <v>190607</v>
      </c>
      <c r="B65">
        <f>B64+(A65-A64)</f>
        <v>25</v>
      </c>
      <c r="C65">
        <v>0.124</v>
      </c>
      <c r="D65">
        <v>3</v>
      </c>
      <c r="E65">
        <v>0.13700000000000001</v>
      </c>
      <c r="F65">
        <f t="shared" si="23"/>
        <v>1.3000000000000012E-2</v>
      </c>
      <c r="G65">
        <f t="shared" si="19"/>
        <v>4333.3333333333367</v>
      </c>
      <c r="H65">
        <v>0.12529999999999999</v>
      </c>
      <c r="I65">
        <f t="shared" si="20"/>
        <v>1.2999999999999956E-3</v>
      </c>
      <c r="J65">
        <f t="shared" si="21"/>
        <v>1.1700000000000016E-2</v>
      </c>
      <c r="K65">
        <f t="shared" si="22"/>
        <v>3900.000000000005</v>
      </c>
      <c r="L65">
        <v>6420</v>
      </c>
      <c r="N65">
        <f t="shared" si="18"/>
        <v>6420</v>
      </c>
      <c r="O65">
        <v>596</v>
      </c>
      <c r="P65" t="s">
        <v>47</v>
      </c>
      <c r="Q65">
        <f>O65/(2.5/3)</f>
        <v>715.19999999999993</v>
      </c>
    </row>
    <row r="66" spans="1:29" x14ac:dyDescent="0.2">
      <c r="A66">
        <v>190610</v>
      </c>
      <c r="B66">
        <f>B65+(A66-A65)</f>
        <v>28</v>
      </c>
      <c r="C66">
        <v>0.1237</v>
      </c>
      <c r="D66">
        <v>3</v>
      </c>
      <c r="E66">
        <v>0.1353</v>
      </c>
      <c r="F66">
        <f t="shared" si="23"/>
        <v>1.1599999999999999E-2</v>
      </c>
      <c r="G66">
        <f t="shared" si="19"/>
        <v>3866.6666666666665</v>
      </c>
      <c r="H66">
        <v>0.12540000000000001</v>
      </c>
      <c r="I66">
        <f t="shared" si="20"/>
        <v>1.7000000000000071E-3</v>
      </c>
      <c r="J66">
        <f t="shared" si="21"/>
        <v>9.8999999999999921E-3</v>
      </c>
      <c r="K66">
        <f t="shared" si="22"/>
        <v>3299.9999999999973</v>
      </c>
      <c r="L66">
        <v>6130</v>
      </c>
      <c r="N66">
        <f t="shared" si="18"/>
        <v>6130</v>
      </c>
      <c r="O66">
        <v>967</v>
      </c>
      <c r="Q66">
        <v>967</v>
      </c>
      <c r="R66">
        <v>36.700000000000003</v>
      </c>
      <c r="T66">
        <f>R66*2</f>
        <v>73.400000000000006</v>
      </c>
    </row>
    <row r="67" spans="1:29" x14ac:dyDescent="0.2">
      <c r="A67">
        <v>190624</v>
      </c>
      <c r="B67">
        <f>B66+(A67-A66)</f>
        <v>42</v>
      </c>
      <c r="C67">
        <v>0.12330000000000001</v>
      </c>
      <c r="D67">
        <v>3</v>
      </c>
      <c r="E67">
        <v>0.13450000000000001</v>
      </c>
      <c r="F67">
        <f t="shared" si="23"/>
        <v>1.1200000000000002E-2</v>
      </c>
      <c r="G67">
        <f t="shared" si="19"/>
        <v>3733.3333333333335</v>
      </c>
      <c r="H67">
        <v>0.1249</v>
      </c>
      <c r="I67">
        <f t="shared" si="20"/>
        <v>1.5999999999999903E-3</v>
      </c>
      <c r="J67">
        <f t="shared" si="21"/>
        <v>9.6000000000000113E-3</v>
      </c>
      <c r="K67">
        <f t="shared" si="22"/>
        <v>3200.0000000000041</v>
      </c>
      <c r="L67">
        <v>6325</v>
      </c>
      <c r="N67">
        <f t="shared" si="18"/>
        <v>6325</v>
      </c>
      <c r="O67">
        <v>983</v>
      </c>
      <c r="Q67">
        <f>O67</f>
        <v>983</v>
      </c>
      <c r="AC67">
        <v>5.86</v>
      </c>
    </row>
    <row r="68" spans="1:29" x14ac:dyDescent="0.2">
      <c r="A68">
        <v>190701</v>
      </c>
      <c r="B68">
        <v>49</v>
      </c>
      <c r="C68">
        <v>0.1242</v>
      </c>
      <c r="D68">
        <v>3</v>
      </c>
      <c r="E68">
        <v>0.13639999999999999</v>
      </c>
      <c r="F68">
        <f t="shared" si="23"/>
        <v>1.2199999999999989E-2</v>
      </c>
      <c r="G68">
        <f t="shared" si="19"/>
        <v>4066.6666666666629</v>
      </c>
      <c r="H68">
        <v>0.12540000000000001</v>
      </c>
      <c r="I68">
        <f t="shared" si="20"/>
        <v>1.2000000000000066E-3</v>
      </c>
      <c r="J68">
        <f t="shared" si="21"/>
        <v>1.0999999999999982E-2</v>
      </c>
      <c r="K68">
        <f t="shared" si="22"/>
        <v>3666.6666666666606</v>
      </c>
      <c r="L68">
        <v>5770</v>
      </c>
      <c r="N68">
        <f t="shared" si="18"/>
        <v>5770</v>
      </c>
      <c r="O68">
        <v>1131</v>
      </c>
      <c r="Q68">
        <f>O68</f>
        <v>1131</v>
      </c>
      <c r="AC68">
        <v>5.5</v>
      </c>
    </row>
    <row r="69" spans="1:29" x14ac:dyDescent="0.2">
      <c r="A69">
        <v>190708</v>
      </c>
      <c r="B69">
        <v>56</v>
      </c>
      <c r="C69">
        <v>0.1246</v>
      </c>
      <c r="D69">
        <v>3</v>
      </c>
      <c r="E69">
        <v>0.13600000000000001</v>
      </c>
      <c r="F69">
        <f t="shared" si="23"/>
        <v>1.1400000000000007E-2</v>
      </c>
      <c r="G69">
        <f t="shared" si="19"/>
        <v>3800.0000000000023</v>
      </c>
      <c r="H69">
        <v>0.12540000000000001</v>
      </c>
      <c r="I69">
        <f t="shared" si="20"/>
        <v>8.0000000000000904E-4</v>
      </c>
      <c r="J69">
        <f t="shared" si="21"/>
        <v>1.0599999999999998E-2</v>
      </c>
      <c r="K69">
        <f t="shared" si="22"/>
        <v>3533.3333333333326</v>
      </c>
      <c r="L69" s="8">
        <v>6825</v>
      </c>
      <c r="N69">
        <v>6825</v>
      </c>
      <c r="O69">
        <v>803</v>
      </c>
      <c r="Q69">
        <f>O69</f>
        <v>803</v>
      </c>
      <c r="R69">
        <v>39.200000000000003</v>
      </c>
      <c r="T69">
        <f>R69*2</f>
        <v>78.400000000000006</v>
      </c>
      <c r="AC69">
        <v>5.58</v>
      </c>
    </row>
    <row r="70" spans="1:29" x14ac:dyDescent="0.2">
      <c r="A70">
        <f>A69+7</f>
        <v>190715</v>
      </c>
      <c r="B70">
        <v>63</v>
      </c>
      <c r="C70">
        <v>0.1246</v>
      </c>
      <c r="D70">
        <v>3</v>
      </c>
      <c r="E70">
        <v>0.13500000000000001</v>
      </c>
      <c r="F70">
        <f t="shared" si="23"/>
        <v>1.0400000000000006E-2</v>
      </c>
      <c r="G70">
        <f t="shared" si="19"/>
        <v>3466.6666666666683</v>
      </c>
      <c r="H70">
        <v>0.1258</v>
      </c>
      <c r="I70">
        <f t="shared" si="20"/>
        <v>1.1999999999999927E-3</v>
      </c>
      <c r="J70">
        <f t="shared" si="21"/>
        <v>9.2000000000000137E-3</v>
      </c>
      <c r="K70">
        <f t="shared" si="22"/>
        <v>3066.6666666666711</v>
      </c>
      <c r="L70">
        <v>5645</v>
      </c>
      <c r="N70">
        <f>L70</f>
        <v>5645</v>
      </c>
      <c r="O70">
        <v>1109</v>
      </c>
      <c r="Q70">
        <f>O70</f>
        <v>1109</v>
      </c>
      <c r="AC70">
        <v>5.54</v>
      </c>
    </row>
    <row r="71" spans="1:29" x14ac:dyDescent="0.2">
      <c r="A71">
        <v>190722</v>
      </c>
      <c r="B71">
        <v>70</v>
      </c>
      <c r="C71">
        <v>0.1268</v>
      </c>
      <c r="D71">
        <v>3</v>
      </c>
      <c r="E71">
        <v>0.13780000000000001</v>
      </c>
      <c r="F71">
        <f t="shared" si="23"/>
        <v>1.100000000000001E-2</v>
      </c>
      <c r="G71">
        <f t="shared" si="19"/>
        <v>3666.6666666666702</v>
      </c>
      <c r="H71">
        <v>0.12809999999999999</v>
      </c>
      <c r="I71">
        <f t="shared" si="20"/>
        <v>1.2999999999999956E-3</v>
      </c>
      <c r="J71">
        <f t="shared" si="21"/>
        <v>9.7000000000000142E-3</v>
      </c>
      <c r="K71">
        <f t="shared" si="22"/>
        <v>3233.3333333333376</v>
      </c>
      <c r="L71">
        <v>6155</v>
      </c>
      <c r="N71">
        <f>L71</f>
        <v>6155</v>
      </c>
      <c r="O71">
        <v>1062</v>
      </c>
      <c r="Q71">
        <f>O71</f>
        <v>1062</v>
      </c>
      <c r="AC71">
        <v>5.56</v>
      </c>
    </row>
    <row r="72" spans="1:29" x14ac:dyDescent="0.2">
      <c r="A72">
        <v>190729</v>
      </c>
      <c r="B72">
        <v>77</v>
      </c>
      <c r="C72">
        <v>0.1235</v>
      </c>
      <c r="D72">
        <v>3</v>
      </c>
      <c r="E72">
        <v>0.1336</v>
      </c>
      <c r="F72">
        <f t="shared" si="23"/>
        <v>1.0099999999999998E-2</v>
      </c>
      <c r="G72">
        <f t="shared" si="19"/>
        <v>3366.6666666666661</v>
      </c>
      <c r="H72">
        <v>0.1245</v>
      </c>
      <c r="I72">
        <f t="shared" si="20"/>
        <v>1.0000000000000009E-3</v>
      </c>
      <c r="J72">
        <f t="shared" si="21"/>
        <v>9.099999999999997E-3</v>
      </c>
      <c r="K72">
        <f t="shared" si="22"/>
        <v>3033.3333333333326</v>
      </c>
      <c r="L72">
        <v>6260</v>
      </c>
      <c r="N72">
        <f>L72</f>
        <v>6260</v>
      </c>
      <c r="O72">
        <v>798</v>
      </c>
      <c r="Q72">
        <f>O72/(2/3)</f>
        <v>1197</v>
      </c>
      <c r="AC72">
        <v>5.84</v>
      </c>
    </row>
    <row r="73" spans="1:29" x14ac:dyDescent="0.2">
      <c r="A73">
        <v>190805</v>
      </c>
      <c r="B73">
        <v>84</v>
      </c>
      <c r="C73">
        <v>0.1235</v>
      </c>
      <c r="D73">
        <v>3</v>
      </c>
      <c r="E73">
        <v>0.13339999999999999</v>
      </c>
      <c r="F73">
        <f t="shared" si="23"/>
        <v>9.8999999999999921E-3</v>
      </c>
      <c r="G73">
        <f t="shared" si="19"/>
        <v>3299.9999999999973</v>
      </c>
      <c r="H73">
        <v>0.1239</v>
      </c>
      <c r="I73">
        <f t="shared" si="20"/>
        <v>3.9999999999999758E-4</v>
      </c>
      <c r="J73">
        <f t="shared" si="21"/>
        <v>9.4999999999999946E-3</v>
      </c>
      <c r="K73">
        <f t="shared" si="22"/>
        <v>3166.6666666666647</v>
      </c>
      <c r="L73">
        <v>5880</v>
      </c>
      <c r="N73">
        <f>L73</f>
        <v>5880</v>
      </c>
      <c r="O73">
        <v>1075</v>
      </c>
      <c r="P73" t="s">
        <v>47</v>
      </c>
      <c r="Q73">
        <f>O73/(2.5/3)</f>
        <v>1290</v>
      </c>
      <c r="AC73">
        <v>5.62</v>
      </c>
    </row>
  </sheetData>
  <mergeCells count="26">
    <mergeCell ref="U28:W28"/>
    <mergeCell ref="X28:AB28"/>
    <mergeCell ref="AC28:AC29"/>
    <mergeCell ref="C52:G52"/>
    <mergeCell ref="H52:K52"/>
    <mergeCell ref="L52:N52"/>
    <mergeCell ref="O52:Q52"/>
    <mergeCell ref="R52:T52"/>
    <mergeCell ref="U52:W52"/>
    <mergeCell ref="X52:AB52"/>
    <mergeCell ref="AC52:AC53"/>
    <mergeCell ref="C28:G28"/>
    <mergeCell ref="H28:K28"/>
    <mergeCell ref="L28:N28"/>
    <mergeCell ref="O28:Q28"/>
    <mergeCell ref="R28:T28"/>
    <mergeCell ref="D4:H4"/>
    <mergeCell ref="I4:L4"/>
    <mergeCell ref="M4:O4"/>
    <mergeCell ref="P4:R4"/>
    <mergeCell ref="S4:U4"/>
    <mergeCell ref="V4:X4"/>
    <mergeCell ref="Y4:AC4"/>
    <mergeCell ref="AD4:AD5"/>
    <mergeCell ref="AE4:AI4"/>
    <mergeCell ref="AJ4:A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3B17-8320-4B9E-BF66-B7F63B622B4A}">
  <dimension ref="A2:U42"/>
  <sheetViews>
    <sheetView workbookViewId="0">
      <selection activeCell="O34" sqref="O34"/>
    </sheetView>
  </sheetViews>
  <sheetFormatPr defaultRowHeight="14.25" x14ac:dyDescent="0.2"/>
  <sheetData>
    <row r="2" spans="1:21" x14ac:dyDescent="0.2">
      <c r="B2" t="s">
        <v>0</v>
      </c>
      <c r="C2" t="s">
        <v>1</v>
      </c>
      <c r="H2" t="s">
        <v>2</v>
      </c>
      <c r="L2" t="s">
        <v>3</v>
      </c>
      <c r="O2" t="s">
        <v>4</v>
      </c>
      <c r="R2" t="s">
        <v>49</v>
      </c>
      <c r="S2" t="s">
        <v>5</v>
      </c>
    </row>
    <row r="3" spans="1:21" x14ac:dyDescent="0.2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17</v>
      </c>
      <c r="P3" t="s">
        <v>18</v>
      </c>
      <c r="Q3" t="s">
        <v>20</v>
      </c>
      <c r="S3" t="s">
        <v>21</v>
      </c>
      <c r="T3" t="s">
        <v>18</v>
      </c>
      <c r="U3" t="s">
        <v>19</v>
      </c>
    </row>
    <row r="4" spans="1:21" x14ac:dyDescent="0.2">
      <c r="A4">
        <v>220222</v>
      </c>
      <c r="B4">
        <v>0</v>
      </c>
      <c r="C4">
        <v>8.8400000000000006E-2</v>
      </c>
      <c r="D4">
        <v>2</v>
      </c>
      <c r="E4">
        <v>0.1037</v>
      </c>
      <c r="F4">
        <v>1.5299999999999994E-2</v>
      </c>
      <c r="G4">
        <v>7649.9999999999973</v>
      </c>
      <c r="H4">
        <v>8.9300000000000004E-2</v>
      </c>
      <c r="I4">
        <v>8.9999999999999802E-4</v>
      </c>
      <c r="J4">
        <v>1.4399999999999996E-2</v>
      </c>
      <c r="K4">
        <v>7199.9999999999982</v>
      </c>
      <c r="L4">
        <v>5125</v>
      </c>
      <c r="M4">
        <v>4.2361111111111106E-2</v>
      </c>
      <c r="N4">
        <v>10250</v>
      </c>
      <c r="O4">
        <v>159</v>
      </c>
      <c r="P4">
        <v>4.3055555555555562E-2</v>
      </c>
      <c r="Q4">
        <v>477</v>
      </c>
    </row>
    <row r="5" spans="1:21" x14ac:dyDescent="0.2">
      <c r="A5">
        <v>220224</v>
      </c>
      <c r="B5">
        <v>2</v>
      </c>
      <c r="C5">
        <v>8.7900000000000006E-2</v>
      </c>
      <c r="D5">
        <v>2</v>
      </c>
      <c r="E5">
        <v>0.1052</v>
      </c>
      <c r="F5">
        <v>1.7299999999999996E-2</v>
      </c>
      <c r="G5">
        <v>8649.9999999999982</v>
      </c>
      <c r="H5">
        <v>8.9399999999999993E-2</v>
      </c>
      <c r="I5">
        <v>1.4999999999999875E-3</v>
      </c>
      <c r="J5">
        <v>1.5800000000000008E-2</v>
      </c>
      <c r="K5">
        <v>7900.0000000000045</v>
      </c>
      <c r="L5">
        <v>5325</v>
      </c>
      <c r="M5">
        <v>4.2361111111111106E-2</v>
      </c>
      <c r="N5">
        <v>10650</v>
      </c>
      <c r="O5">
        <v>170</v>
      </c>
      <c r="P5">
        <v>4.3055555555555562E-2</v>
      </c>
      <c r="Q5">
        <v>510</v>
      </c>
    </row>
    <row r="6" spans="1:21" x14ac:dyDescent="0.2">
      <c r="A6">
        <v>220228</v>
      </c>
      <c r="B6">
        <v>6</v>
      </c>
      <c r="C6">
        <v>8.72E-2</v>
      </c>
      <c r="D6">
        <v>3</v>
      </c>
      <c r="E6">
        <v>0.1114</v>
      </c>
      <c r="F6">
        <v>2.4199999999999999E-2</v>
      </c>
      <c r="G6">
        <v>8066.6666666666661</v>
      </c>
      <c r="H6">
        <v>9.1800000000000007E-2</v>
      </c>
      <c r="I6">
        <v>4.6000000000000069E-3</v>
      </c>
      <c r="J6">
        <v>1.9599999999999992E-2</v>
      </c>
      <c r="K6">
        <v>6533.3333333333312</v>
      </c>
      <c r="L6">
        <v>10900</v>
      </c>
      <c r="N6">
        <v>10900</v>
      </c>
      <c r="O6">
        <v>851</v>
      </c>
      <c r="Q6">
        <v>851</v>
      </c>
      <c r="R6">
        <v>6.23</v>
      </c>
    </row>
    <row r="7" spans="1:21" x14ac:dyDescent="0.2">
      <c r="A7">
        <v>220304</v>
      </c>
      <c r="B7">
        <v>10</v>
      </c>
      <c r="C7">
        <v>8.7599999999999997E-2</v>
      </c>
      <c r="D7">
        <v>2</v>
      </c>
      <c r="E7">
        <v>0.10390000000000001</v>
      </c>
      <c r="F7">
        <v>1.6300000000000009E-2</v>
      </c>
      <c r="G7">
        <v>8150.0000000000045</v>
      </c>
      <c r="H7">
        <v>9.11E-2</v>
      </c>
      <c r="I7">
        <v>3.5000000000000031E-3</v>
      </c>
      <c r="J7">
        <v>1.2800000000000006E-2</v>
      </c>
      <c r="K7">
        <v>6400.0000000000027</v>
      </c>
      <c r="L7">
        <v>10210</v>
      </c>
      <c r="N7">
        <v>10210</v>
      </c>
      <c r="O7">
        <v>1100</v>
      </c>
      <c r="Q7">
        <v>1100</v>
      </c>
      <c r="R7">
        <v>5.95</v>
      </c>
    </row>
    <row r="8" spans="1:21" x14ac:dyDescent="0.2">
      <c r="A8">
        <v>220307</v>
      </c>
      <c r="B8">
        <v>13</v>
      </c>
      <c r="C8">
        <v>8.8099999999999998E-2</v>
      </c>
      <c r="D8">
        <v>3</v>
      </c>
      <c r="E8">
        <v>0.1019</v>
      </c>
      <c r="F8">
        <v>1.3800000000000007E-2</v>
      </c>
      <c r="G8">
        <v>4600.0000000000027</v>
      </c>
      <c r="H8">
        <v>8.8800000000000004E-2</v>
      </c>
      <c r="I8">
        <v>7.0000000000000617E-4</v>
      </c>
      <c r="J8">
        <v>1.3100000000000001E-2</v>
      </c>
      <c r="K8">
        <v>4366.666666666667</v>
      </c>
      <c r="L8">
        <v>10660</v>
      </c>
      <c r="N8">
        <v>10660</v>
      </c>
      <c r="O8">
        <v>1205</v>
      </c>
      <c r="Q8">
        <v>1205</v>
      </c>
      <c r="R8">
        <v>5.37</v>
      </c>
      <c r="S8">
        <v>5.23</v>
      </c>
      <c r="T8">
        <v>4.7916666666666663E-2</v>
      </c>
      <c r="U8">
        <v>52.300000000000004</v>
      </c>
    </row>
    <row r="9" spans="1:21" x14ac:dyDescent="0.2">
      <c r="A9">
        <v>220310</v>
      </c>
      <c r="B9">
        <v>16</v>
      </c>
      <c r="C9">
        <v>8.8999999999999996E-2</v>
      </c>
      <c r="D9">
        <v>3</v>
      </c>
      <c r="E9">
        <v>0.10920000000000001</v>
      </c>
      <c r="F9">
        <v>2.020000000000001E-2</v>
      </c>
      <c r="G9">
        <v>6733.3333333333367</v>
      </c>
      <c r="H9">
        <v>9.0399999999999994E-2</v>
      </c>
      <c r="I9">
        <v>1.3999999999999985E-3</v>
      </c>
      <c r="J9">
        <v>1.8800000000000011E-2</v>
      </c>
      <c r="K9">
        <v>6266.6666666666706</v>
      </c>
      <c r="L9">
        <v>9535</v>
      </c>
      <c r="N9">
        <v>9535</v>
      </c>
      <c r="O9">
        <v>363</v>
      </c>
      <c r="P9">
        <v>4.3055555555555562E-2</v>
      </c>
      <c r="Q9">
        <v>1089</v>
      </c>
      <c r="R9">
        <v>5.17</v>
      </c>
    </row>
    <row r="10" spans="1:21" x14ac:dyDescent="0.2">
      <c r="A10">
        <v>220311</v>
      </c>
      <c r="B10">
        <v>17</v>
      </c>
      <c r="C10">
        <v>8.7300000000000003E-2</v>
      </c>
      <c r="D10">
        <v>3</v>
      </c>
      <c r="E10">
        <v>0.1079</v>
      </c>
      <c r="F10">
        <v>2.0599999999999993E-2</v>
      </c>
      <c r="G10">
        <v>6866.6666666666642</v>
      </c>
      <c r="H10">
        <v>8.9099999999999999E-2</v>
      </c>
      <c r="I10">
        <v>1.799999999999996E-3</v>
      </c>
      <c r="J10">
        <v>1.8799999999999997E-2</v>
      </c>
      <c r="K10">
        <v>6266.6666666666661</v>
      </c>
      <c r="L10">
        <v>10095</v>
      </c>
      <c r="N10">
        <v>10095</v>
      </c>
      <c r="O10">
        <v>370</v>
      </c>
      <c r="P10">
        <v>4.3055555555555562E-2</v>
      </c>
      <c r="Q10">
        <v>1110</v>
      </c>
      <c r="R10">
        <v>5.26</v>
      </c>
    </row>
    <row r="11" spans="1:21" x14ac:dyDescent="0.2">
      <c r="A11">
        <v>220315</v>
      </c>
      <c r="B11">
        <v>21</v>
      </c>
      <c r="C11">
        <v>8.8400000000000006E-2</v>
      </c>
      <c r="D11">
        <v>3</v>
      </c>
      <c r="E11">
        <v>0.10920000000000001</v>
      </c>
      <c r="F11">
        <v>2.0799999999999999E-2</v>
      </c>
      <c r="G11">
        <v>6933.333333333333</v>
      </c>
      <c r="H11">
        <v>8.9899999999999994E-2</v>
      </c>
      <c r="I11">
        <v>1.4999999999999875E-3</v>
      </c>
      <c r="J11">
        <v>1.9300000000000012E-2</v>
      </c>
      <c r="K11">
        <v>6433.3333333333367</v>
      </c>
      <c r="L11">
        <v>10900</v>
      </c>
      <c r="N11">
        <v>10900</v>
      </c>
      <c r="O11">
        <v>900</v>
      </c>
      <c r="Q11">
        <v>900</v>
      </c>
      <c r="R11">
        <v>5.21</v>
      </c>
    </row>
    <row r="12" spans="1:21" x14ac:dyDescent="0.2">
      <c r="A12">
        <v>220317</v>
      </c>
      <c r="B12">
        <v>23</v>
      </c>
      <c r="C12">
        <v>8.7300000000000003E-2</v>
      </c>
      <c r="D12">
        <v>3</v>
      </c>
      <c r="E12">
        <v>0.10879999999999999</v>
      </c>
      <c r="F12">
        <v>2.1499999999999991E-2</v>
      </c>
      <c r="G12">
        <v>7166.6666666666642</v>
      </c>
      <c r="H12">
        <v>8.8599999999999998E-2</v>
      </c>
      <c r="I12">
        <v>1.2999999999999956E-3</v>
      </c>
      <c r="J12">
        <v>2.0199999999999996E-2</v>
      </c>
      <c r="K12">
        <v>6733.3333333333312</v>
      </c>
      <c r="L12">
        <v>9950</v>
      </c>
      <c r="N12">
        <v>9950</v>
      </c>
      <c r="O12">
        <v>1070</v>
      </c>
      <c r="Q12">
        <v>1070</v>
      </c>
    </row>
    <row r="13" spans="1:21" x14ac:dyDescent="0.2">
      <c r="A13">
        <v>220321</v>
      </c>
      <c r="B13">
        <v>27</v>
      </c>
      <c r="C13">
        <v>8.8999999999999996E-2</v>
      </c>
      <c r="D13">
        <v>3</v>
      </c>
      <c r="E13">
        <v>0.1094</v>
      </c>
      <c r="F13">
        <v>2.0400000000000001E-2</v>
      </c>
      <c r="G13">
        <v>6800.0000000000009</v>
      </c>
      <c r="H13">
        <v>9.0399999999999994E-2</v>
      </c>
      <c r="I13">
        <v>1.3999999999999985E-3</v>
      </c>
      <c r="J13">
        <v>1.9000000000000003E-2</v>
      </c>
      <c r="K13">
        <v>6333.3333333333339</v>
      </c>
      <c r="L13">
        <v>9605</v>
      </c>
      <c r="N13">
        <v>9605</v>
      </c>
      <c r="O13">
        <v>1160</v>
      </c>
      <c r="Q13">
        <v>1160</v>
      </c>
    </row>
    <row r="14" spans="1:21" x14ac:dyDescent="0.2">
      <c r="A14">
        <v>220324</v>
      </c>
      <c r="B14">
        <v>30</v>
      </c>
      <c r="C14">
        <v>8.72E-2</v>
      </c>
      <c r="D14">
        <v>3</v>
      </c>
      <c r="E14">
        <v>0.1027</v>
      </c>
      <c r="F14">
        <v>1.55E-2</v>
      </c>
      <c r="G14">
        <v>5166.666666666667</v>
      </c>
      <c r="H14">
        <v>8.72E-2</v>
      </c>
      <c r="I14">
        <v>0</v>
      </c>
      <c r="J14">
        <v>1.55E-2</v>
      </c>
      <c r="K14">
        <v>5166.666666666667</v>
      </c>
    </row>
    <row r="16" spans="1:21" x14ac:dyDescent="0.2">
      <c r="B16" t="s">
        <v>0</v>
      </c>
      <c r="C16" t="s">
        <v>1</v>
      </c>
      <c r="H16" t="s">
        <v>2</v>
      </c>
      <c r="L16" t="s">
        <v>3</v>
      </c>
      <c r="O16" t="s">
        <v>4</v>
      </c>
      <c r="R16" t="s">
        <v>49</v>
      </c>
      <c r="S16" t="s">
        <v>5</v>
      </c>
    </row>
    <row r="17" spans="1:21" x14ac:dyDescent="0.2">
      <c r="A17" t="s">
        <v>6</v>
      </c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  <c r="H17" t="s">
        <v>13</v>
      </c>
      <c r="I17" t="s">
        <v>14</v>
      </c>
      <c r="J17" t="s">
        <v>15</v>
      </c>
      <c r="K17" t="s">
        <v>16</v>
      </c>
      <c r="L17" t="s">
        <v>17</v>
      </c>
      <c r="M17" t="s">
        <v>18</v>
      </c>
      <c r="N17" t="s">
        <v>19</v>
      </c>
      <c r="O17" t="s">
        <v>17</v>
      </c>
      <c r="P17" t="s">
        <v>18</v>
      </c>
      <c r="Q17" t="s">
        <v>20</v>
      </c>
      <c r="S17" t="s">
        <v>21</v>
      </c>
      <c r="T17" t="s">
        <v>18</v>
      </c>
      <c r="U17" t="s">
        <v>19</v>
      </c>
    </row>
    <row r="18" spans="1:21" x14ac:dyDescent="0.2">
      <c r="A18">
        <v>220222</v>
      </c>
      <c r="B18">
        <v>0</v>
      </c>
      <c r="C18">
        <v>8.6999999999999994E-2</v>
      </c>
      <c r="D18">
        <v>2</v>
      </c>
      <c r="E18">
        <v>0.1203</v>
      </c>
      <c r="F18">
        <v>3.330000000000001E-2</v>
      </c>
      <c r="G18">
        <v>16650.000000000004</v>
      </c>
      <c r="H18">
        <v>9.0499999999999997E-2</v>
      </c>
      <c r="I18">
        <v>3.5000000000000031E-3</v>
      </c>
      <c r="J18">
        <v>2.9800000000000007E-2</v>
      </c>
      <c r="K18">
        <v>14900.000000000004</v>
      </c>
      <c r="L18">
        <v>8135</v>
      </c>
      <c r="M18">
        <v>4.2361111111111106E-2</v>
      </c>
      <c r="N18">
        <v>16270</v>
      </c>
      <c r="O18">
        <v>174</v>
      </c>
      <c r="P18">
        <v>4.3055555555555562E-2</v>
      </c>
      <c r="Q18">
        <v>522</v>
      </c>
    </row>
    <row r="19" spans="1:21" x14ac:dyDescent="0.2">
      <c r="A19">
        <v>240222</v>
      </c>
      <c r="B19">
        <v>2</v>
      </c>
      <c r="C19">
        <v>8.8499999999999995E-2</v>
      </c>
      <c r="D19">
        <v>2</v>
      </c>
      <c r="E19">
        <v>0.10639999999999999</v>
      </c>
      <c r="F19">
        <v>1.7899999999999999E-2</v>
      </c>
      <c r="G19">
        <v>8950</v>
      </c>
      <c r="H19">
        <v>9.01E-2</v>
      </c>
      <c r="I19">
        <v>1.6000000000000042E-3</v>
      </c>
      <c r="J19">
        <v>1.6299999999999995E-2</v>
      </c>
      <c r="K19">
        <v>8149.9999999999973</v>
      </c>
      <c r="L19">
        <v>5900</v>
      </c>
      <c r="M19">
        <v>4.2361111111111106E-2</v>
      </c>
      <c r="N19">
        <v>11800</v>
      </c>
      <c r="O19">
        <v>189</v>
      </c>
      <c r="P19">
        <v>4.3055555555555562E-2</v>
      </c>
      <c r="Q19">
        <v>567</v>
      </c>
    </row>
    <row r="20" spans="1:21" x14ac:dyDescent="0.2">
      <c r="A20">
        <v>220228</v>
      </c>
      <c r="B20">
        <v>6</v>
      </c>
      <c r="C20">
        <v>8.6699999999999999E-2</v>
      </c>
      <c r="D20">
        <v>3</v>
      </c>
      <c r="E20">
        <v>0.10979999999999999</v>
      </c>
      <c r="F20">
        <v>2.3099999999999996E-2</v>
      </c>
      <c r="G20">
        <v>7699.9999999999982</v>
      </c>
      <c r="H20">
        <v>9.11E-2</v>
      </c>
      <c r="I20">
        <v>4.4000000000000011E-3</v>
      </c>
      <c r="J20">
        <v>1.8699999999999994E-2</v>
      </c>
      <c r="K20">
        <v>6233.3333333333312</v>
      </c>
      <c r="L20">
        <v>11275</v>
      </c>
      <c r="N20">
        <v>11275</v>
      </c>
      <c r="O20">
        <v>918</v>
      </c>
      <c r="Q20">
        <v>918</v>
      </c>
      <c r="R20">
        <v>6.2</v>
      </c>
    </row>
    <row r="21" spans="1:21" x14ac:dyDescent="0.2">
      <c r="A21">
        <v>220304</v>
      </c>
      <c r="B21">
        <v>10</v>
      </c>
      <c r="C21">
        <v>8.9899999999999994E-2</v>
      </c>
      <c r="D21">
        <v>2</v>
      </c>
      <c r="E21">
        <v>0.1065</v>
      </c>
      <c r="F21">
        <v>1.6600000000000004E-2</v>
      </c>
      <c r="G21">
        <v>8300.0000000000018</v>
      </c>
      <c r="H21">
        <v>9.1300000000000006E-2</v>
      </c>
      <c r="I21">
        <v>1.4000000000000123E-3</v>
      </c>
      <c r="J21">
        <v>1.5199999999999991E-2</v>
      </c>
      <c r="K21">
        <v>7599.9999999999955</v>
      </c>
      <c r="L21">
        <v>10920</v>
      </c>
      <c r="N21">
        <v>10920</v>
      </c>
      <c r="O21">
        <v>587</v>
      </c>
      <c r="P21">
        <v>4.2361111111111106E-2</v>
      </c>
      <c r="Q21">
        <v>1174</v>
      </c>
      <c r="R21">
        <v>5.94</v>
      </c>
    </row>
    <row r="22" spans="1:21" x14ac:dyDescent="0.2">
      <c r="A22">
        <v>220307</v>
      </c>
      <c r="B22">
        <v>13</v>
      </c>
      <c r="C22">
        <v>8.7999999999999995E-2</v>
      </c>
      <c r="D22">
        <v>3</v>
      </c>
      <c r="E22">
        <v>0.10879999999999999</v>
      </c>
      <c r="F22">
        <v>2.0799999999999999E-2</v>
      </c>
      <c r="G22">
        <v>6933.333333333333</v>
      </c>
      <c r="H22">
        <v>8.9200000000000002E-2</v>
      </c>
      <c r="I22">
        <v>1.2000000000000066E-3</v>
      </c>
      <c r="J22">
        <v>1.9599999999999992E-2</v>
      </c>
      <c r="K22">
        <v>6533.3333333333312</v>
      </c>
      <c r="L22">
        <v>10140</v>
      </c>
      <c r="N22">
        <v>10140</v>
      </c>
      <c r="O22">
        <v>1125</v>
      </c>
      <c r="Q22">
        <v>1125</v>
      </c>
      <c r="R22">
        <v>5.38</v>
      </c>
      <c r="S22">
        <v>4.6500000000000004</v>
      </c>
      <c r="T22">
        <v>4.7916666666666663E-2</v>
      </c>
      <c r="U22">
        <v>46.5</v>
      </c>
    </row>
    <row r="23" spans="1:21" x14ac:dyDescent="0.2">
      <c r="A23">
        <v>220310</v>
      </c>
      <c r="B23">
        <v>16</v>
      </c>
      <c r="C23">
        <v>8.7599999999999997E-2</v>
      </c>
      <c r="D23">
        <v>2</v>
      </c>
      <c r="E23">
        <v>9.98E-2</v>
      </c>
      <c r="F23">
        <v>1.2200000000000003E-2</v>
      </c>
      <c r="G23">
        <v>6100.0000000000009</v>
      </c>
      <c r="H23">
        <v>8.77E-2</v>
      </c>
      <c r="I23">
        <v>1.0000000000000286E-4</v>
      </c>
      <c r="J23">
        <v>1.21E-2</v>
      </c>
      <c r="K23">
        <v>6050</v>
      </c>
      <c r="L23">
        <v>10520</v>
      </c>
      <c r="N23">
        <v>10520</v>
      </c>
      <c r="O23">
        <v>359</v>
      </c>
      <c r="P23">
        <v>4.3055555555555562E-2</v>
      </c>
      <c r="Q23">
        <v>1077</v>
      </c>
      <c r="R23">
        <v>5.32</v>
      </c>
    </row>
    <row r="24" spans="1:21" x14ac:dyDescent="0.2">
      <c r="A24">
        <v>220311</v>
      </c>
      <c r="B24">
        <v>17</v>
      </c>
      <c r="C24">
        <v>8.7400000000000005E-2</v>
      </c>
      <c r="D24">
        <v>3</v>
      </c>
      <c r="E24">
        <v>0.109</v>
      </c>
      <c r="F24">
        <v>2.1599999999999994E-2</v>
      </c>
      <c r="G24">
        <v>7199.9999999999982</v>
      </c>
      <c r="H24">
        <v>8.8999999999999996E-2</v>
      </c>
      <c r="I24">
        <v>1.5999999999999903E-3</v>
      </c>
      <c r="J24">
        <v>2.0000000000000004E-2</v>
      </c>
      <c r="K24">
        <v>6666.6666666666679</v>
      </c>
      <c r="L24">
        <v>9900</v>
      </c>
      <c r="N24">
        <v>9900</v>
      </c>
      <c r="O24">
        <v>336</v>
      </c>
      <c r="P24">
        <v>4.3055555555555562E-2</v>
      </c>
      <c r="Q24">
        <v>1008</v>
      </c>
      <c r="R24">
        <v>5.28</v>
      </c>
    </row>
    <row r="25" spans="1:21" x14ac:dyDescent="0.2">
      <c r="A25">
        <v>220315</v>
      </c>
      <c r="B25">
        <v>21</v>
      </c>
      <c r="C25">
        <v>8.5900000000000004E-2</v>
      </c>
      <c r="D25">
        <v>3</v>
      </c>
      <c r="E25">
        <v>0.106</v>
      </c>
      <c r="F25">
        <v>2.0099999999999993E-2</v>
      </c>
      <c r="G25">
        <v>6699.9999999999973</v>
      </c>
      <c r="H25">
        <v>8.7900000000000006E-2</v>
      </c>
      <c r="I25">
        <v>2.0000000000000018E-3</v>
      </c>
      <c r="J25">
        <v>1.8099999999999991E-2</v>
      </c>
      <c r="K25">
        <v>6033.3333333333303</v>
      </c>
      <c r="L25">
        <v>9560</v>
      </c>
      <c r="N25">
        <v>9560</v>
      </c>
      <c r="O25">
        <v>890</v>
      </c>
      <c r="Q25">
        <v>890</v>
      </c>
      <c r="R25">
        <v>5.18</v>
      </c>
    </row>
    <row r="26" spans="1:21" x14ac:dyDescent="0.2">
      <c r="A26">
        <v>220317</v>
      </c>
      <c r="B26">
        <v>23</v>
      </c>
      <c r="C26">
        <v>8.7900000000000006E-2</v>
      </c>
      <c r="D26">
        <v>3</v>
      </c>
      <c r="E26">
        <v>0.1074</v>
      </c>
      <c r="F26">
        <v>1.949999999999999E-2</v>
      </c>
      <c r="G26">
        <v>6499.9999999999964</v>
      </c>
      <c r="H26">
        <v>8.9200000000000002E-2</v>
      </c>
      <c r="I26">
        <v>1.2999999999999956E-3</v>
      </c>
      <c r="J26">
        <v>1.8199999999999994E-2</v>
      </c>
      <c r="K26">
        <v>6066.6666666666642</v>
      </c>
      <c r="L26">
        <v>9090</v>
      </c>
      <c r="N26">
        <v>9090</v>
      </c>
      <c r="O26">
        <v>1025</v>
      </c>
      <c r="Q26">
        <v>1025</v>
      </c>
    </row>
    <row r="27" spans="1:21" x14ac:dyDescent="0.2">
      <c r="A27">
        <v>220321</v>
      </c>
      <c r="B27">
        <v>27</v>
      </c>
      <c r="C27">
        <v>8.72E-2</v>
      </c>
      <c r="D27">
        <v>3</v>
      </c>
      <c r="E27">
        <v>0.10920000000000001</v>
      </c>
      <c r="F27">
        <v>2.2000000000000006E-2</v>
      </c>
      <c r="G27">
        <v>7333.3333333333348</v>
      </c>
      <c r="H27">
        <v>8.8400000000000006E-2</v>
      </c>
      <c r="I27">
        <v>1.2000000000000066E-3</v>
      </c>
      <c r="J27">
        <v>2.0799999999999999E-2</v>
      </c>
      <c r="K27">
        <v>6933.333333333333</v>
      </c>
      <c r="L27">
        <v>9030</v>
      </c>
      <c r="N27">
        <v>9030</v>
      </c>
      <c r="O27">
        <v>1165</v>
      </c>
      <c r="Q27">
        <v>1165</v>
      </c>
    </row>
    <row r="28" spans="1:21" x14ac:dyDescent="0.2">
      <c r="A28">
        <v>220324</v>
      </c>
      <c r="B28">
        <v>30</v>
      </c>
      <c r="C28">
        <v>8.8599999999999998E-2</v>
      </c>
      <c r="D28">
        <v>3</v>
      </c>
      <c r="E28">
        <v>0.1041</v>
      </c>
      <c r="F28">
        <v>1.55E-2</v>
      </c>
      <c r="G28">
        <v>5166.666666666667</v>
      </c>
      <c r="H28">
        <v>8.9800000000000005E-2</v>
      </c>
      <c r="I28">
        <v>1.2000000000000066E-3</v>
      </c>
      <c r="J28">
        <v>1.4299999999999993E-2</v>
      </c>
      <c r="K28">
        <v>4766.6666666666652</v>
      </c>
    </row>
    <row r="30" spans="1:21" x14ac:dyDescent="0.2">
      <c r="B30" t="s">
        <v>0</v>
      </c>
      <c r="C30" t="s">
        <v>1</v>
      </c>
      <c r="H30" t="s">
        <v>2</v>
      </c>
      <c r="L30" t="s">
        <v>3</v>
      </c>
      <c r="O30" t="s">
        <v>4</v>
      </c>
      <c r="R30" t="s">
        <v>49</v>
      </c>
      <c r="S30" t="s">
        <v>5</v>
      </c>
    </row>
    <row r="31" spans="1:21" x14ac:dyDescent="0.2">
      <c r="A31" t="s">
        <v>6</v>
      </c>
      <c r="B31" t="s">
        <v>7</v>
      </c>
      <c r="C31" t="s">
        <v>8</v>
      </c>
      <c r="D31" t="s">
        <v>9</v>
      </c>
      <c r="E31" t="s">
        <v>10</v>
      </c>
      <c r="F31" t="s">
        <v>11</v>
      </c>
      <c r="G31" t="s">
        <v>12</v>
      </c>
      <c r="H31" t="s">
        <v>13</v>
      </c>
      <c r="I31" t="s">
        <v>14</v>
      </c>
      <c r="J31" t="s">
        <v>15</v>
      </c>
      <c r="K31" t="s">
        <v>16</v>
      </c>
      <c r="L31" t="s">
        <v>17</v>
      </c>
      <c r="M31" t="s">
        <v>18</v>
      </c>
      <c r="N31" t="s">
        <v>19</v>
      </c>
      <c r="O31" t="s">
        <v>17</v>
      </c>
      <c r="P31" t="s">
        <v>18</v>
      </c>
      <c r="Q31" t="s">
        <v>20</v>
      </c>
      <c r="S31" t="s">
        <v>21</v>
      </c>
      <c r="T31" t="s">
        <v>18</v>
      </c>
      <c r="U31" t="s">
        <v>19</v>
      </c>
    </row>
    <row r="32" spans="1:21" x14ac:dyDescent="0.2">
      <c r="A32">
        <v>220222</v>
      </c>
      <c r="B32">
        <v>0</v>
      </c>
      <c r="C32">
        <v>8.8499999999999995E-2</v>
      </c>
      <c r="D32">
        <v>3</v>
      </c>
      <c r="E32">
        <v>0.11269999999999999</v>
      </c>
      <c r="F32">
        <v>2.4199999999999999E-2</v>
      </c>
      <c r="G32">
        <v>8066.6666666666661</v>
      </c>
      <c r="H32">
        <v>9.0300000000000005E-2</v>
      </c>
      <c r="I32">
        <v>1.8000000000000099E-3</v>
      </c>
      <c r="J32">
        <v>2.2399999999999989E-2</v>
      </c>
      <c r="K32">
        <v>7466.6666666666633</v>
      </c>
      <c r="L32">
        <v>4070</v>
      </c>
      <c r="M32">
        <v>4.2361111111111106E-2</v>
      </c>
      <c r="N32">
        <v>8140</v>
      </c>
      <c r="O32">
        <v>124</v>
      </c>
      <c r="P32">
        <v>4.3055555555555562E-2</v>
      </c>
      <c r="Q32">
        <v>372</v>
      </c>
    </row>
    <row r="33" spans="1:21" x14ac:dyDescent="0.2">
      <c r="A33">
        <v>240222</v>
      </c>
      <c r="B33">
        <v>2</v>
      </c>
      <c r="C33">
        <v>8.7800000000000003E-2</v>
      </c>
      <c r="D33">
        <v>2</v>
      </c>
      <c r="E33">
        <v>0.1056</v>
      </c>
      <c r="F33">
        <v>1.7799999999999996E-2</v>
      </c>
      <c r="G33">
        <v>8899.9999999999982</v>
      </c>
      <c r="H33">
        <v>8.9200000000000002E-2</v>
      </c>
      <c r="I33">
        <v>1.3999999999999985E-3</v>
      </c>
      <c r="J33">
        <v>1.6399999999999998E-2</v>
      </c>
      <c r="K33">
        <v>8199.9999999999982</v>
      </c>
      <c r="L33">
        <v>5520</v>
      </c>
      <c r="M33">
        <v>4.2361111111111106E-2</v>
      </c>
      <c r="N33">
        <v>11040</v>
      </c>
      <c r="O33">
        <v>183</v>
      </c>
      <c r="P33">
        <v>4.3055555555555562E-2</v>
      </c>
      <c r="Q33">
        <v>549</v>
      </c>
    </row>
    <row r="34" spans="1:21" x14ac:dyDescent="0.2">
      <c r="A34">
        <v>220228</v>
      </c>
      <c r="B34">
        <v>6</v>
      </c>
      <c r="C34">
        <v>8.8499999999999995E-2</v>
      </c>
      <c r="D34">
        <v>2</v>
      </c>
      <c r="E34">
        <v>0.1057</v>
      </c>
      <c r="F34">
        <v>1.7200000000000007E-2</v>
      </c>
      <c r="G34">
        <v>8600.0000000000036</v>
      </c>
      <c r="H34">
        <v>9.1800000000000007E-2</v>
      </c>
      <c r="I34">
        <v>3.3000000000000113E-3</v>
      </c>
      <c r="J34">
        <v>1.3899999999999996E-2</v>
      </c>
      <c r="K34">
        <v>6949.9999999999982</v>
      </c>
      <c r="L34">
        <v>11215</v>
      </c>
      <c r="N34">
        <v>11215</v>
      </c>
      <c r="O34">
        <v>908</v>
      </c>
      <c r="Q34">
        <v>908</v>
      </c>
      <c r="R34">
        <v>6.09</v>
      </c>
    </row>
    <row r="35" spans="1:21" x14ac:dyDescent="0.2">
      <c r="A35">
        <v>220304</v>
      </c>
      <c r="B35">
        <v>10</v>
      </c>
      <c r="C35">
        <v>8.77E-2</v>
      </c>
      <c r="D35">
        <v>2</v>
      </c>
      <c r="E35">
        <v>0.1041</v>
      </c>
      <c r="F35">
        <v>1.6399999999999998E-2</v>
      </c>
      <c r="G35">
        <v>8199.9999999999982</v>
      </c>
      <c r="H35">
        <v>9.11E-2</v>
      </c>
      <c r="I35">
        <v>3.4000000000000002E-3</v>
      </c>
      <c r="J35">
        <v>1.2999999999999998E-2</v>
      </c>
      <c r="K35">
        <v>6499.9999999999991</v>
      </c>
      <c r="L35">
        <v>10090</v>
      </c>
      <c r="N35">
        <v>10090</v>
      </c>
      <c r="O35">
        <v>1029</v>
      </c>
      <c r="Q35">
        <v>1029</v>
      </c>
      <c r="R35">
        <v>5.94</v>
      </c>
    </row>
    <row r="36" spans="1:21" x14ac:dyDescent="0.2">
      <c r="A36">
        <v>220307</v>
      </c>
      <c r="B36">
        <v>13</v>
      </c>
      <c r="C36">
        <v>8.8700000000000001E-2</v>
      </c>
      <c r="D36">
        <v>3</v>
      </c>
      <c r="E36">
        <v>0.10730000000000001</v>
      </c>
      <c r="F36">
        <v>1.8600000000000005E-2</v>
      </c>
      <c r="G36">
        <v>6200.0000000000018</v>
      </c>
      <c r="H36">
        <v>0.09</v>
      </c>
      <c r="I36">
        <v>1.2999999999999956E-3</v>
      </c>
      <c r="J36">
        <v>1.730000000000001E-2</v>
      </c>
      <c r="K36">
        <v>5766.6666666666697</v>
      </c>
      <c r="L36">
        <v>9650</v>
      </c>
      <c r="N36">
        <v>9650</v>
      </c>
      <c r="O36">
        <v>1193</v>
      </c>
      <c r="Q36">
        <v>1193</v>
      </c>
      <c r="R36">
        <v>5.39</v>
      </c>
      <c r="S36">
        <v>4.95</v>
      </c>
      <c r="T36">
        <v>4.7916666666666663E-2</v>
      </c>
      <c r="U36">
        <v>49.5</v>
      </c>
    </row>
    <row r="37" spans="1:21" x14ac:dyDescent="0.2">
      <c r="A37">
        <v>220310</v>
      </c>
      <c r="B37">
        <v>16</v>
      </c>
      <c r="C37">
        <v>8.77E-2</v>
      </c>
      <c r="D37">
        <v>2</v>
      </c>
      <c r="E37">
        <v>0.1011</v>
      </c>
      <c r="F37">
        <v>1.3399999999999995E-2</v>
      </c>
      <c r="G37">
        <v>6699.9999999999973</v>
      </c>
      <c r="H37">
        <v>8.8300000000000003E-2</v>
      </c>
      <c r="I37">
        <v>6.0000000000000331E-4</v>
      </c>
      <c r="J37">
        <v>1.2799999999999992E-2</v>
      </c>
      <c r="K37">
        <v>6399.9999999999964</v>
      </c>
      <c r="L37">
        <v>10115</v>
      </c>
      <c r="N37">
        <v>10115</v>
      </c>
      <c r="O37">
        <v>358</v>
      </c>
      <c r="P37">
        <v>4.3055555555555562E-2</v>
      </c>
      <c r="Q37">
        <v>1074</v>
      </c>
      <c r="R37">
        <v>5.18</v>
      </c>
    </row>
    <row r="38" spans="1:21" x14ac:dyDescent="0.2">
      <c r="A38">
        <v>220311</v>
      </c>
      <c r="B38">
        <v>17</v>
      </c>
      <c r="C38">
        <v>8.6400000000000005E-2</v>
      </c>
      <c r="D38">
        <v>3</v>
      </c>
      <c r="E38">
        <v>0.1065</v>
      </c>
      <c r="F38">
        <v>2.0099999999999993E-2</v>
      </c>
      <c r="G38">
        <v>6699.9999999999973</v>
      </c>
      <c r="H38">
        <v>8.7900000000000006E-2</v>
      </c>
      <c r="I38">
        <v>1.5000000000000013E-3</v>
      </c>
      <c r="J38">
        <v>1.8599999999999992E-2</v>
      </c>
      <c r="K38">
        <v>6199.9999999999973</v>
      </c>
      <c r="L38">
        <v>9865</v>
      </c>
      <c r="N38">
        <v>9865</v>
      </c>
      <c r="O38">
        <v>365</v>
      </c>
      <c r="P38">
        <v>4.3055555555555562E-2</v>
      </c>
      <c r="Q38">
        <v>1095</v>
      </c>
      <c r="R38">
        <v>5.21</v>
      </c>
    </row>
    <row r="39" spans="1:21" x14ac:dyDescent="0.2">
      <c r="A39">
        <v>220315</v>
      </c>
      <c r="B39">
        <v>21</v>
      </c>
      <c r="C39">
        <v>8.6300000000000002E-2</v>
      </c>
      <c r="D39">
        <v>3</v>
      </c>
      <c r="E39">
        <v>0.10440000000000001</v>
      </c>
      <c r="F39">
        <v>1.8100000000000005E-2</v>
      </c>
      <c r="G39">
        <v>6033.3333333333348</v>
      </c>
      <c r="H39">
        <v>8.7099999999999997E-2</v>
      </c>
      <c r="I39">
        <v>7.9999999999999516E-4</v>
      </c>
      <c r="J39">
        <v>1.730000000000001E-2</v>
      </c>
      <c r="K39">
        <v>5766.6666666666697</v>
      </c>
      <c r="L39">
        <v>10525</v>
      </c>
      <c r="N39">
        <v>10525</v>
      </c>
      <c r="O39">
        <v>920</v>
      </c>
      <c r="Q39">
        <v>920</v>
      </c>
      <c r="R39">
        <v>5.12</v>
      </c>
    </row>
    <row r="40" spans="1:21" x14ac:dyDescent="0.2">
      <c r="A40">
        <v>220317</v>
      </c>
      <c r="B40">
        <v>23</v>
      </c>
      <c r="C40">
        <v>8.7900000000000006E-2</v>
      </c>
      <c r="D40">
        <v>3</v>
      </c>
      <c r="E40">
        <v>0.10589999999999999</v>
      </c>
      <c r="F40">
        <v>1.7999999999999988E-2</v>
      </c>
      <c r="G40">
        <v>5999.9999999999955</v>
      </c>
      <c r="L40">
        <v>11240</v>
      </c>
      <c r="N40">
        <v>11240</v>
      </c>
      <c r="O40">
        <v>1055</v>
      </c>
      <c r="Q40">
        <v>1055</v>
      </c>
    </row>
    <row r="41" spans="1:21" x14ac:dyDescent="0.2">
      <c r="A41">
        <v>220321</v>
      </c>
      <c r="B41">
        <v>27</v>
      </c>
      <c r="C41">
        <v>8.7599999999999997E-2</v>
      </c>
      <c r="D41">
        <v>3</v>
      </c>
      <c r="E41">
        <v>0.10630000000000001</v>
      </c>
      <c r="F41">
        <v>1.8700000000000008E-2</v>
      </c>
      <c r="G41">
        <v>6233.3333333333367</v>
      </c>
      <c r="H41">
        <v>8.9200000000000002E-2</v>
      </c>
      <c r="I41">
        <v>1.6000000000000042E-3</v>
      </c>
      <c r="J41">
        <v>1.7100000000000004E-2</v>
      </c>
      <c r="K41">
        <v>5700.0000000000009</v>
      </c>
      <c r="L41">
        <v>8330</v>
      </c>
      <c r="N41">
        <v>8330</v>
      </c>
      <c r="O41">
        <v>1210</v>
      </c>
      <c r="Q41">
        <v>1210</v>
      </c>
    </row>
    <row r="42" spans="1:21" x14ac:dyDescent="0.2">
      <c r="A42">
        <v>220324</v>
      </c>
      <c r="B42">
        <v>30</v>
      </c>
      <c r="C42">
        <v>8.7999999999999995E-2</v>
      </c>
      <c r="D42">
        <v>2</v>
      </c>
      <c r="E42">
        <v>0.1026</v>
      </c>
      <c r="F42">
        <v>1.4600000000000002E-2</v>
      </c>
      <c r="G42">
        <v>7300.0000000000009</v>
      </c>
      <c r="H42">
        <v>8.9300000000000004E-2</v>
      </c>
      <c r="I42">
        <v>1.3000000000000095E-3</v>
      </c>
      <c r="J42">
        <v>1.3299999999999992E-2</v>
      </c>
      <c r="K42">
        <v>6649.9999999999964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3A10-59B4-4141-994D-C86AD7FB7013}">
  <dimension ref="A2:Y36"/>
  <sheetViews>
    <sheetView workbookViewId="0">
      <selection activeCell="P34" sqref="P34"/>
    </sheetView>
  </sheetViews>
  <sheetFormatPr defaultRowHeight="14.25" x14ac:dyDescent="0.2"/>
  <sheetData>
    <row r="2" spans="1:25" x14ac:dyDescent="0.2">
      <c r="A2" t="s">
        <v>120</v>
      </c>
      <c r="F2" t="s">
        <v>121</v>
      </c>
      <c r="K2" t="s">
        <v>3</v>
      </c>
      <c r="P2" t="s">
        <v>41</v>
      </c>
      <c r="U2" t="s">
        <v>122</v>
      </c>
    </row>
    <row r="3" spans="1:25" x14ac:dyDescent="0.2">
      <c r="A3" t="s">
        <v>123</v>
      </c>
      <c r="B3" t="s">
        <v>124</v>
      </c>
      <c r="C3" t="s">
        <v>125</v>
      </c>
      <c r="D3" t="s">
        <v>83</v>
      </c>
      <c r="E3" t="s">
        <v>107</v>
      </c>
      <c r="F3" t="s">
        <v>123</v>
      </c>
      <c r="G3" t="s">
        <v>124</v>
      </c>
      <c r="H3" t="s">
        <v>125</v>
      </c>
      <c r="I3" t="s">
        <v>83</v>
      </c>
      <c r="J3" t="s">
        <v>107</v>
      </c>
      <c r="K3" t="s">
        <v>123</v>
      </c>
      <c r="L3" t="s">
        <v>124</v>
      </c>
      <c r="M3" t="s">
        <v>125</v>
      </c>
      <c r="N3" t="s">
        <v>83</v>
      </c>
      <c r="O3" t="s">
        <v>107</v>
      </c>
      <c r="P3" t="s">
        <v>123</v>
      </c>
      <c r="Q3" t="s">
        <v>124</v>
      </c>
      <c r="R3" t="s">
        <v>125</v>
      </c>
      <c r="S3" t="s">
        <v>83</v>
      </c>
      <c r="T3" t="s">
        <v>107</v>
      </c>
      <c r="U3" t="s">
        <v>123</v>
      </c>
      <c r="V3" t="s">
        <v>124</v>
      </c>
      <c r="W3" t="s">
        <v>125</v>
      </c>
      <c r="X3" t="s">
        <v>83</v>
      </c>
      <c r="Y3" t="s">
        <v>107</v>
      </c>
    </row>
    <row r="4" spans="1:25" x14ac:dyDescent="0.2">
      <c r="A4">
        <v>7649.9999999999973</v>
      </c>
      <c r="B4">
        <v>16650.000000000004</v>
      </c>
      <c r="C4">
        <v>8066.6666666666661</v>
      </c>
      <c r="D4">
        <v>10788.888888888889</v>
      </c>
      <c r="F4">
        <v>7199.9999999999982</v>
      </c>
      <c r="G4">
        <v>14900.000000000004</v>
      </c>
      <c r="H4">
        <v>7466.6666666666633</v>
      </c>
      <c r="I4">
        <v>9855.5555555555547</v>
      </c>
      <c r="K4">
        <v>10250</v>
      </c>
      <c r="L4">
        <v>16270</v>
      </c>
      <c r="M4">
        <v>8140</v>
      </c>
      <c r="N4">
        <v>11553.333333333334</v>
      </c>
      <c r="P4">
        <v>477</v>
      </c>
      <c r="Q4">
        <v>522</v>
      </c>
      <c r="R4">
        <v>372</v>
      </c>
      <c r="S4">
        <v>457</v>
      </c>
      <c r="U4">
        <v>9773</v>
      </c>
      <c r="V4">
        <v>15748</v>
      </c>
      <c r="W4">
        <v>7768</v>
      </c>
      <c r="X4">
        <v>11096.333333333334</v>
      </c>
      <c r="Y4">
        <v>3389.5435615367974</v>
      </c>
    </row>
    <row r="5" spans="1:25" x14ac:dyDescent="0.2">
      <c r="A5">
        <v>8649.9999999999982</v>
      </c>
      <c r="B5">
        <v>8950</v>
      </c>
      <c r="C5">
        <v>8899.9999999999982</v>
      </c>
      <c r="D5">
        <v>8833.3333333333339</v>
      </c>
      <c r="F5">
        <v>7900.0000000000045</v>
      </c>
      <c r="G5">
        <v>8149.9999999999973</v>
      </c>
      <c r="H5">
        <v>8199.9999999999982</v>
      </c>
      <c r="I5">
        <v>8083.333333333333</v>
      </c>
      <c r="K5">
        <v>10650</v>
      </c>
      <c r="L5">
        <v>11800</v>
      </c>
      <c r="M5">
        <v>11040</v>
      </c>
      <c r="N5">
        <v>11163.333333333334</v>
      </c>
      <c r="P5">
        <v>510</v>
      </c>
      <c r="Q5">
        <v>567</v>
      </c>
      <c r="R5">
        <v>549</v>
      </c>
      <c r="S5">
        <v>542</v>
      </c>
      <c r="U5">
        <v>10140</v>
      </c>
      <c r="V5">
        <v>11233</v>
      </c>
      <c r="W5">
        <v>10491</v>
      </c>
      <c r="X5">
        <v>10621.333333333334</v>
      </c>
      <c r="Y5">
        <v>455.63313702534367</v>
      </c>
    </row>
    <row r="6" spans="1:25" x14ac:dyDescent="0.2">
      <c r="A6">
        <v>8066.6666666666661</v>
      </c>
      <c r="B6">
        <v>7699.9999999999982</v>
      </c>
      <c r="C6">
        <v>8600.0000000000036</v>
      </c>
      <c r="D6">
        <v>8122.2222222222226</v>
      </c>
      <c r="F6">
        <v>6533.3333333333312</v>
      </c>
      <c r="G6">
        <v>6233.3333333333312</v>
      </c>
      <c r="H6">
        <v>6949.9999999999982</v>
      </c>
      <c r="I6">
        <v>6572.2222222222199</v>
      </c>
      <c r="K6">
        <v>10900</v>
      </c>
      <c r="L6">
        <v>11275</v>
      </c>
      <c r="M6">
        <v>11215</v>
      </c>
      <c r="N6">
        <v>11130</v>
      </c>
      <c r="P6">
        <v>851</v>
      </c>
      <c r="Q6">
        <v>918</v>
      </c>
      <c r="R6">
        <v>908</v>
      </c>
      <c r="S6">
        <v>892.33333333333337</v>
      </c>
      <c r="U6">
        <v>10049</v>
      </c>
      <c r="V6">
        <v>10357</v>
      </c>
      <c r="W6">
        <v>10307</v>
      </c>
      <c r="X6">
        <v>10237.666666666666</v>
      </c>
      <c r="Y6">
        <v>134.96007640121661</v>
      </c>
    </row>
    <row r="7" spans="1:25" x14ac:dyDescent="0.2">
      <c r="A7">
        <v>8150.0000000000045</v>
      </c>
      <c r="B7">
        <v>8300.0000000000018</v>
      </c>
      <c r="C7">
        <v>8199.9999999999982</v>
      </c>
      <c r="D7">
        <v>8216.6666666666697</v>
      </c>
      <c r="F7">
        <v>6400.0000000000027</v>
      </c>
      <c r="G7">
        <v>7599.9999999999955</v>
      </c>
      <c r="H7">
        <v>6499.9999999999991</v>
      </c>
      <c r="I7">
        <v>6833.3333333333321</v>
      </c>
      <c r="K7">
        <v>10210</v>
      </c>
      <c r="L7">
        <v>10920</v>
      </c>
      <c r="M7">
        <v>10090</v>
      </c>
      <c r="N7">
        <v>10406.666666666666</v>
      </c>
      <c r="P7">
        <v>1100</v>
      </c>
      <c r="Q7">
        <v>1174</v>
      </c>
      <c r="R7">
        <v>1029</v>
      </c>
      <c r="S7">
        <v>1101</v>
      </c>
      <c r="U7">
        <v>9110</v>
      </c>
      <c r="V7">
        <v>9746</v>
      </c>
      <c r="W7">
        <v>9061</v>
      </c>
      <c r="X7">
        <v>9305.6666666666661</v>
      </c>
      <c r="Y7">
        <v>312.00462959528164</v>
      </c>
    </row>
    <row r="8" spans="1:25" x14ac:dyDescent="0.2">
      <c r="A8">
        <v>4600.0000000000027</v>
      </c>
      <c r="B8">
        <v>6933.333333333333</v>
      </c>
      <c r="C8">
        <v>6200.0000000000018</v>
      </c>
      <c r="D8">
        <v>5911.1111111111122</v>
      </c>
      <c r="F8">
        <v>4366.666666666667</v>
      </c>
      <c r="G8">
        <v>6533.3333333333312</v>
      </c>
      <c r="H8">
        <v>5766.6666666666697</v>
      </c>
      <c r="I8">
        <v>5555.5555555555557</v>
      </c>
      <c r="K8">
        <v>10660</v>
      </c>
      <c r="L8">
        <v>10140</v>
      </c>
      <c r="M8">
        <v>9650</v>
      </c>
      <c r="N8">
        <v>10150</v>
      </c>
      <c r="P8">
        <v>1205</v>
      </c>
      <c r="Q8">
        <v>1125</v>
      </c>
      <c r="R8">
        <v>1193</v>
      </c>
      <c r="S8">
        <v>1174.3333333333333</v>
      </c>
      <c r="U8">
        <v>9455</v>
      </c>
      <c r="V8">
        <v>9015</v>
      </c>
      <c r="W8">
        <v>8457</v>
      </c>
      <c r="X8">
        <v>8975.6666666666661</v>
      </c>
      <c r="Y8">
        <v>408.37999733363807</v>
      </c>
    </row>
    <row r="9" spans="1:25" x14ac:dyDescent="0.2">
      <c r="A9">
        <v>6733.3333333333367</v>
      </c>
      <c r="B9">
        <v>6100.0000000000009</v>
      </c>
      <c r="C9">
        <v>6699.9999999999973</v>
      </c>
      <c r="D9">
        <v>6511.1111111111122</v>
      </c>
      <c r="F9">
        <v>6266.6666666666706</v>
      </c>
      <c r="G9">
        <v>6050</v>
      </c>
      <c r="H9">
        <v>6399.9999999999964</v>
      </c>
      <c r="I9">
        <v>6238.8888888888896</v>
      </c>
      <c r="K9">
        <v>9535</v>
      </c>
      <c r="L9">
        <v>10520</v>
      </c>
      <c r="M9">
        <v>10115</v>
      </c>
      <c r="N9">
        <v>10056.666666666666</v>
      </c>
      <c r="P9">
        <v>1089</v>
      </c>
      <c r="Q9">
        <v>1077</v>
      </c>
      <c r="R9">
        <v>1074</v>
      </c>
      <c r="S9">
        <v>1080</v>
      </c>
      <c r="U9">
        <v>8446</v>
      </c>
      <c r="V9">
        <v>9443</v>
      </c>
      <c r="W9">
        <v>9041</v>
      </c>
      <c r="X9">
        <v>8976.6666666666661</v>
      </c>
      <c r="Y9">
        <v>409.55775606812227</v>
      </c>
    </row>
    <row r="10" spans="1:25" x14ac:dyDescent="0.2">
      <c r="A10">
        <v>6866.6666666666642</v>
      </c>
      <c r="B10">
        <v>7199.9999999999982</v>
      </c>
      <c r="C10">
        <v>6699.9999999999973</v>
      </c>
      <c r="D10">
        <v>6922.2222222222199</v>
      </c>
      <c r="F10">
        <v>6266.6666666666661</v>
      </c>
      <c r="G10">
        <v>6666.6666666666679</v>
      </c>
      <c r="H10">
        <v>6199.9999999999973</v>
      </c>
      <c r="I10">
        <v>6377.7777777777774</v>
      </c>
      <c r="K10">
        <v>10095</v>
      </c>
      <c r="L10">
        <v>9900</v>
      </c>
      <c r="M10">
        <v>9865</v>
      </c>
      <c r="N10">
        <v>9953.3333333333339</v>
      </c>
      <c r="P10">
        <v>1110</v>
      </c>
      <c r="Q10">
        <v>1008</v>
      </c>
      <c r="R10">
        <v>1095</v>
      </c>
      <c r="S10">
        <v>1071</v>
      </c>
      <c r="U10">
        <v>8985</v>
      </c>
      <c r="V10">
        <v>8892</v>
      </c>
      <c r="W10">
        <v>8770</v>
      </c>
      <c r="X10">
        <v>8882.3333333333339</v>
      </c>
      <c r="Y10">
        <v>88.039132713179811</v>
      </c>
    </row>
    <row r="11" spans="1:25" x14ac:dyDescent="0.2">
      <c r="A11">
        <v>6933.333333333333</v>
      </c>
      <c r="B11">
        <v>6699.9999999999973</v>
      </c>
      <c r="C11">
        <v>6033.3333333333348</v>
      </c>
      <c r="D11">
        <v>6555.5555555555547</v>
      </c>
      <c r="F11">
        <v>6433.3333333333367</v>
      </c>
      <c r="G11">
        <v>6033.3333333333303</v>
      </c>
      <c r="H11">
        <v>5766.6666666666697</v>
      </c>
      <c r="I11">
        <v>6077.7777777777783</v>
      </c>
      <c r="K11">
        <v>10900</v>
      </c>
      <c r="L11">
        <v>9560</v>
      </c>
      <c r="M11">
        <v>10525</v>
      </c>
      <c r="N11">
        <v>10328.333333333334</v>
      </c>
      <c r="P11">
        <v>900</v>
      </c>
      <c r="Q11">
        <v>890</v>
      </c>
      <c r="R11">
        <v>920</v>
      </c>
      <c r="S11">
        <v>903.33333333333337</v>
      </c>
      <c r="U11">
        <v>10000</v>
      </c>
      <c r="V11">
        <v>8670</v>
      </c>
      <c r="W11">
        <v>9605</v>
      </c>
      <c r="X11">
        <v>9425</v>
      </c>
      <c r="Y11">
        <v>557.68868257000395</v>
      </c>
    </row>
    <row r="12" spans="1:25" x14ac:dyDescent="0.2">
      <c r="A12">
        <v>7166.6666666666642</v>
      </c>
      <c r="B12">
        <v>6499.9999999999964</v>
      </c>
      <c r="C12">
        <v>5999.9999999999955</v>
      </c>
      <c r="D12">
        <v>6555.555555555552</v>
      </c>
      <c r="F12">
        <v>6733.3333333333312</v>
      </c>
      <c r="G12">
        <v>6066.6666666666642</v>
      </c>
      <c r="I12">
        <v>6399.9999999999982</v>
      </c>
      <c r="K12">
        <v>9950</v>
      </c>
      <c r="L12">
        <v>9090</v>
      </c>
      <c r="M12">
        <v>11240</v>
      </c>
      <c r="N12">
        <v>10093.333333333334</v>
      </c>
      <c r="P12">
        <v>1070</v>
      </c>
      <c r="Q12">
        <v>1025</v>
      </c>
      <c r="R12">
        <v>1055</v>
      </c>
      <c r="S12">
        <v>1050</v>
      </c>
      <c r="U12">
        <v>8880</v>
      </c>
      <c r="V12">
        <v>8065</v>
      </c>
      <c r="W12">
        <v>10185</v>
      </c>
      <c r="X12">
        <v>9043.3333333333339</v>
      </c>
      <c r="Y12">
        <v>873.15837942240205</v>
      </c>
    </row>
    <row r="13" spans="1:25" x14ac:dyDescent="0.2">
      <c r="A13">
        <v>6800.0000000000009</v>
      </c>
      <c r="B13">
        <v>7333.3333333333348</v>
      </c>
      <c r="C13">
        <v>6233.3333333333367</v>
      </c>
      <c r="D13">
        <v>6788.8888888888905</v>
      </c>
      <c r="F13">
        <v>6333.3333333333339</v>
      </c>
      <c r="G13">
        <v>6933.333333333333</v>
      </c>
      <c r="H13">
        <v>5700.0000000000009</v>
      </c>
      <c r="I13">
        <v>6322.2222222222226</v>
      </c>
      <c r="K13">
        <v>9605</v>
      </c>
      <c r="L13">
        <v>9030</v>
      </c>
      <c r="M13">
        <v>8330</v>
      </c>
      <c r="N13">
        <v>8988.3333333333339</v>
      </c>
      <c r="P13">
        <v>1160</v>
      </c>
      <c r="Q13">
        <v>1165</v>
      </c>
      <c r="R13">
        <v>1210</v>
      </c>
      <c r="S13">
        <v>1178.3333333333333</v>
      </c>
      <c r="U13">
        <v>8445</v>
      </c>
      <c r="V13">
        <v>7865</v>
      </c>
      <c r="W13">
        <v>7120</v>
      </c>
      <c r="X13">
        <v>7810</v>
      </c>
      <c r="Y13">
        <v>542.32524066897963</v>
      </c>
    </row>
    <row r="14" spans="1:25" x14ac:dyDescent="0.2">
      <c r="A14">
        <v>5166.666666666667</v>
      </c>
      <c r="B14">
        <v>5166.666666666667</v>
      </c>
      <c r="C14">
        <v>7300.0000000000009</v>
      </c>
      <c r="D14">
        <v>5877.7777777777783</v>
      </c>
      <c r="F14">
        <v>5166.666666666667</v>
      </c>
      <c r="G14">
        <v>4766.6666666666652</v>
      </c>
      <c r="H14">
        <v>6649.9999999999964</v>
      </c>
      <c r="I14">
        <v>5527.7777777777765</v>
      </c>
      <c r="K14">
        <v>0</v>
      </c>
      <c r="L14">
        <v>0</v>
      </c>
      <c r="M14">
        <v>0</v>
      </c>
      <c r="N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  <c r="X14">
        <v>0</v>
      </c>
    </row>
    <row r="21" spans="4:10" x14ac:dyDescent="0.2">
      <c r="G21" t="s">
        <v>63</v>
      </c>
      <c r="I21" t="s">
        <v>65</v>
      </c>
    </row>
    <row r="22" spans="4:10" x14ac:dyDescent="0.2">
      <c r="E22" t="s">
        <v>51</v>
      </c>
      <c r="F22" t="s">
        <v>54</v>
      </c>
      <c r="G22" t="s">
        <v>103</v>
      </c>
      <c r="H22" t="s">
        <v>104</v>
      </c>
      <c r="I22" t="s">
        <v>105</v>
      </c>
      <c r="J22" t="s">
        <v>106</v>
      </c>
    </row>
    <row r="23" spans="4:10" x14ac:dyDescent="0.2">
      <c r="D23" t="s">
        <v>123</v>
      </c>
      <c r="E23">
        <v>5.7356448226834143E-3</v>
      </c>
      <c r="F23">
        <v>9.5867557513020039E-4</v>
      </c>
      <c r="G23">
        <v>1.0512614070236629E-2</v>
      </c>
      <c r="H23">
        <v>10014.143246182481</v>
      </c>
      <c r="I23">
        <v>9282.9356414256017</v>
      </c>
      <c r="J23">
        <v>10745.35085093936</v>
      </c>
    </row>
    <row r="24" spans="4:10" x14ac:dyDescent="0.2">
      <c r="D24" t="s">
        <v>124</v>
      </c>
      <c r="E24">
        <v>1.3913932456631277E-2</v>
      </c>
      <c r="F24">
        <v>-2.6936690924927488E-4</v>
      </c>
      <c r="G24">
        <v>2.809723182251183E-2</v>
      </c>
      <c r="H24">
        <v>11339.515254033284</v>
      </c>
      <c r="I24">
        <v>9043.2087849176569</v>
      </c>
      <c r="J24">
        <v>13635.821723148911</v>
      </c>
    </row>
    <row r="25" spans="4:10" x14ac:dyDescent="0.2">
      <c r="D25" t="s">
        <v>125</v>
      </c>
      <c r="E25">
        <v>3.152445189970962E-3</v>
      </c>
      <c r="F25">
        <v>-7.5508584004549484E-3</v>
      </c>
      <c r="G25">
        <v>1.3855748780396873E-2</v>
      </c>
      <c r="H25">
        <v>9501.0344359350747</v>
      </c>
      <c r="I25">
        <v>7914.7134919514638</v>
      </c>
      <c r="J25">
        <v>11087.355379918685</v>
      </c>
    </row>
    <row r="26" spans="4:10" x14ac:dyDescent="0.2">
      <c r="D26" t="s">
        <v>126</v>
      </c>
      <c r="E26">
        <v>1.0440525558495971E-2</v>
      </c>
      <c r="F26">
        <v>6.5195053440058933E-3</v>
      </c>
      <c r="G26">
        <v>1.4361545772986048E-2</v>
      </c>
      <c r="H26">
        <v>10809.585070855803</v>
      </c>
      <c r="I26">
        <v>10186.20974709266</v>
      </c>
      <c r="J26">
        <v>11432.960394618945</v>
      </c>
    </row>
    <row r="27" spans="4:10" x14ac:dyDescent="0.2">
      <c r="D27" t="s">
        <v>127</v>
      </c>
      <c r="E27">
        <v>9.1675233844408111E-3</v>
      </c>
      <c r="F27">
        <v>3.1709819246988095E-3</v>
      </c>
      <c r="G27">
        <v>1.5164064844182812E-2</v>
      </c>
      <c r="H27">
        <v>10499.957888980394</v>
      </c>
      <c r="I27">
        <v>9564.0355643765615</v>
      </c>
      <c r="J27">
        <v>11435.880213584227</v>
      </c>
    </row>
    <row r="30" spans="4:10" x14ac:dyDescent="0.2">
      <c r="D30" t="s">
        <v>102</v>
      </c>
      <c r="E30" t="s">
        <v>2</v>
      </c>
    </row>
    <row r="31" spans="4:10" x14ac:dyDescent="0.2">
      <c r="E31" t="s">
        <v>101</v>
      </c>
      <c r="F31" t="s">
        <v>66</v>
      </c>
      <c r="G31" t="s">
        <v>108</v>
      </c>
      <c r="H31" t="s">
        <v>109</v>
      </c>
      <c r="I31" t="s">
        <v>110</v>
      </c>
      <c r="J31" t="s">
        <v>111</v>
      </c>
    </row>
    <row r="32" spans="4:10" x14ac:dyDescent="0.2">
      <c r="D32" t="s">
        <v>123</v>
      </c>
      <c r="E32">
        <v>7.5345537605042683E-3</v>
      </c>
      <c r="F32">
        <v>-2.0937479509735395E-3</v>
      </c>
      <c r="G32">
        <v>1.7162855471982076E-2</v>
      </c>
      <c r="H32">
        <v>7224.4811480215167</v>
      </c>
      <c r="I32">
        <v>6070.3867285878659</v>
      </c>
      <c r="J32">
        <v>8378.5755674551674</v>
      </c>
    </row>
    <row r="33" spans="4:10" x14ac:dyDescent="0.2">
      <c r="D33" t="s">
        <v>124</v>
      </c>
      <c r="E33">
        <v>1.1397114063435465E-2</v>
      </c>
      <c r="F33">
        <v>-1.5503826502466626E-2</v>
      </c>
      <c r="G33">
        <v>3.8298054629337552E-2</v>
      </c>
      <c r="H33">
        <v>7806.2577910170294</v>
      </c>
      <c r="I33">
        <v>4444.9154548879487</v>
      </c>
      <c r="J33">
        <v>11167.60012714611</v>
      </c>
    </row>
    <row r="34" spans="4:10" x14ac:dyDescent="0.2">
      <c r="D34" t="s">
        <v>125</v>
      </c>
      <c r="E34">
        <v>1.0929820161086439E-2</v>
      </c>
      <c r="F34">
        <v>3.1765316548868112E-3</v>
      </c>
      <c r="G34">
        <v>1.8683108667286067E-2</v>
      </c>
      <c r="H34">
        <v>7398.0437114651686</v>
      </c>
      <c r="I34">
        <v>6515.6725033202065</v>
      </c>
      <c r="J34">
        <v>8280.4149196101298</v>
      </c>
    </row>
    <row r="35" spans="4:10" x14ac:dyDescent="0.2">
      <c r="D35" t="s">
        <v>126</v>
      </c>
      <c r="E35">
        <v>1.0977000174325078E-2</v>
      </c>
      <c r="F35">
        <v>1.1717446302444735E-3</v>
      </c>
      <c r="G35">
        <v>2.0782255718405682E-2</v>
      </c>
      <c r="H35">
        <v>7714.0366526179359</v>
      </c>
      <c r="I35">
        <v>6498.4988093006514</v>
      </c>
      <c r="J35">
        <v>8929.5744959352196</v>
      </c>
    </row>
    <row r="36" spans="4:10" x14ac:dyDescent="0.2">
      <c r="D36" t="s">
        <v>127</v>
      </c>
      <c r="E36">
        <v>9.1656446355270569E-3</v>
      </c>
      <c r="F36">
        <v>2.3440315976941406E-4</v>
      </c>
      <c r="G36">
        <v>1.80968861112847E-2</v>
      </c>
      <c r="H36">
        <v>7448.3326734788443</v>
      </c>
      <c r="I36">
        <v>6375.2166620651187</v>
      </c>
      <c r="J36">
        <v>8521.4486848925699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ABB2-FFD6-4CC8-880D-46BBB345B5A4}">
  <dimension ref="A2:R90"/>
  <sheetViews>
    <sheetView workbookViewId="0">
      <selection activeCell="H32" sqref="H32"/>
    </sheetView>
  </sheetViews>
  <sheetFormatPr defaultRowHeight="14.25" x14ac:dyDescent="0.2"/>
  <sheetData>
    <row r="2" spans="1:18" x14ac:dyDescent="0.2">
      <c r="A2" t="s">
        <v>79</v>
      </c>
      <c r="B2">
        <v>7.5929359749162018</v>
      </c>
    </row>
    <row r="3" spans="1:18" x14ac:dyDescent="0.2">
      <c r="A3" t="s">
        <v>80</v>
      </c>
      <c r="B3">
        <v>575.37961644555332</v>
      </c>
    </row>
    <row r="4" spans="1:18" x14ac:dyDescent="0.2">
      <c r="A4" t="s">
        <v>81</v>
      </c>
      <c r="B4">
        <v>0.1</v>
      </c>
    </row>
    <row r="5" spans="1:18" x14ac:dyDescent="0.2">
      <c r="A5" t="s">
        <v>82</v>
      </c>
      <c r="B5">
        <f>0.008*24</f>
        <v>0.192</v>
      </c>
      <c r="F5" t="s">
        <v>7</v>
      </c>
      <c r="G5" t="s">
        <v>83</v>
      </c>
      <c r="H5" t="s">
        <v>84</v>
      </c>
      <c r="I5" t="s">
        <v>85</v>
      </c>
      <c r="N5" t="s">
        <v>86</v>
      </c>
      <c r="O5" t="s">
        <v>87</v>
      </c>
      <c r="P5" t="s">
        <v>88</v>
      </c>
    </row>
    <row r="6" spans="1:18" x14ac:dyDescent="0.2">
      <c r="A6" t="s">
        <v>90</v>
      </c>
      <c r="B6">
        <v>7555.5555555555593</v>
      </c>
      <c r="F6">
        <v>0</v>
      </c>
      <c r="G6">
        <v>11096.333333333334</v>
      </c>
      <c r="H6">
        <f>N6</f>
        <v>11077.458095842951</v>
      </c>
      <c r="I6">
        <v>10499.957888980394</v>
      </c>
      <c r="K6">
        <f t="shared" ref="K6:K15" si="0">((G6-H6)^2)^0.5</f>
        <v>18.87523749038337</v>
      </c>
      <c r="M6">
        <v>0</v>
      </c>
      <c r="N6">
        <f>B7</f>
        <v>11077.458095842951</v>
      </c>
      <c r="O6">
        <f>B6</f>
        <v>7555.5555555555593</v>
      </c>
      <c r="R6">
        <f>G6</f>
        <v>11096.333333333334</v>
      </c>
    </row>
    <row r="7" spans="1:18" x14ac:dyDescent="0.2">
      <c r="A7" t="s">
        <v>91</v>
      </c>
      <c r="B7">
        <v>11077.458095842951</v>
      </c>
      <c r="F7">
        <v>2</v>
      </c>
      <c r="G7">
        <v>10621.333333333334</v>
      </c>
      <c r="H7">
        <f>N8</f>
        <v>10787.837441789759</v>
      </c>
      <c r="I7">
        <v>10309.194838838288</v>
      </c>
      <c r="K7">
        <f t="shared" si="0"/>
        <v>166.50410845642546</v>
      </c>
      <c r="M7">
        <v>1</v>
      </c>
      <c r="N7">
        <f>B7-B2*B6*(B7/(B3*B6+B7))</f>
        <v>10931.647140317502</v>
      </c>
      <c r="O7">
        <f>B6+$B$4*(N7-N6)-$B$5*O6</f>
        <v>6090.3077933363475</v>
      </c>
      <c r="P7">
        <f>N7-$B$2*O7*(N7/($B$3*O7+N7))</f>
        <v>10787.837441789759</v>
      </c>
    </row>
    <row r="8" spans="1:18" x14ac:dyDescent="0.2">
      <c r="A8" t="s">
        <v>92</v>
      </c>
      <c r="B8">
        <f>K17</f>
        <v>3076.5651203656798</v>
      </c>
      <c r="F8">
        <v>6</v>
      </c>
      <c r="G8">
        <v>10237.666666666666</v>
      </c>
      <c r="H8">
        <f>N12</f>
        <v>10232.467055573377</v>
      </c>
      <c r="I8">
        <v>9938.0031115422335</v>
      </c>
      <c r="K8">
        <f t="shared" si="0"/>
        <v>5.199611093288695</v>
      </c>
      <c r="M8">
        <v>2</v>
      </c>
      <c r="N8">
        <f>P7</f>
        <v>10787.837441789759</v>
      </c>
      <c r="O8">
        <f>O7+$B$4*(N8-N7)-$B$5*O7</f>
        <v>4906.5877271629943</v>
      </c>
      <c r="P8">
        <f>N8-$B$2*O8*(N8/($B$3*O8+N8))</f>
        <v>10646.018809273299</v>
      </c>
      <c r="R8">
        <v>9742</v>
      </c>
    </row>
    <row r="9" spans="1:18" x14ac:dyDescent="0.2">
      <c r="F9">
        <v>10</v>
      </c>
      <c r="G9">
        <v>9305.6666666666661</v>
      </c>
      <c r="H9">
        <f>N16</f>
        <v>9709.1956872586561</v>
      </c>
      <c r="I9">
        <v>9580.1764724579116</v>
      </c>
      <c r="K9">
        <f t="shared" si="0"/>
        <v>403.52902059199005</v>
      </c>
      <c r="M9">
        <v>3</v>
      </c>
      <c r="N9">
        <f t="shared" ref="N9:N33" si="1">P8</f>
        <v>10646.018809273299</v>
      </c>
      <c r="O9">
        <f>O8+$B$4*(N9-N8)-$B$5*O8</f>
        <v>3950.3410202960531</v>
      </c>
      <c r="P9">
        <f>N9-$B$2*O9*(N9/($B$3*O9+N9))</f>
        <v>10506.184707887207</v>
      </c>
    </row>
    <row r="10" spans="1:18" x14ac:dyDescent="0.2">
      <c r="A10" t="s">
        <v>93</v>
      </c>
      <c r="B10">
        <f>B8/(COUNT(F6:F15))</f>
        <v>307.65651203656796</v>
      </c>
      <c r="F10">
        <v>13</v>
      </c>
      <c r="G10">
        <v>8975.6666666666661</v>
      </c>
      <c r="H10">
        <f>N19</f>
        <v>9339.2097487655647</v>
      </c>
      <c r="I10">
        <v>9320.2871898506892</v>
      </c>
      <c r="K10">
        <f t="shared" si="0"/>
        <v>363.54308209889859</v>
      </c>
      <c r="M10">
        <v>4</v>
      </c>
      <c r="N10">
        <f t="shared" si="1"/>
        <v>10506.184707887207</v>
      </c>
      <c r="O10">
        <f t="shared" ref="O10:O33" si="2">O9+$B$4*(N10-N9)-$B$5*O9</f>
        <v>3177.8921342606018</v>
      </c>
      <c r="P10">
        <f t="shared" ref="P10:P33" si="3">N10-$B$2*O10*(N10/($B$3*O10+N10))</f>
        <v>10368.333027492135</v>
      </c>
    </row>
    <row r="11" spans="1:18" x14ac:dyDescent="0.2">
      <c r="F11">
        <v>16</v>
      </c>
      <c r="G11">
        <v>8976.6666666666661</v>
      </c>
      <c r="H11">
        <f>N22</f>
        <v>8991.8845177178609</v>
      </c>
      <c r="I11">
        <v>9067.4481363711111</v>
      </c>
      <c r="K11">
        <f t="shared" si="0"/>
        <v>15.217851051194884</v>
      </c>
      <c r="M11">
        <v>5</v>
      </c>
      <c r="N11">
        <f t="shared" si="1"/>
        <v>10368.333027492135</v>
      </c>
      <c r="O11">
        <f t="shared" si="2"/>
        <v>2553.9516764430591</v>
      </c>
      <c r="P11">
        <f t="shared" si="3"/>
        <v>10232.467055573377</v>
      </c>
    </row>
    <row r="12" spans="1:18" x14ac:dyDescent="0.2">
      <c r="A12" t="s">
        <v>94</v>
      </c>
      <c r="F12">
        <v>17</v>
      </c>
      <c r="G12">
        <v>8882.3333333333339</v>
      </c>
      <c r="H12">
        <f>N23</f>
        <v>8882.3329756092444</v>
      </c>
      <c r="I12">
        <v>8984.7019618111117</v>
      </c>
      <c r="K12">
        <f t="shared" si="0"/>
        <v>3.5772408955381252E-4</v>
      </c>
      <c r="M12">
        <v>6</v>
      </c>
      <c r="N12">
        <f t="shared" si="1"/>
        <v>10232.467055573377</v>
      </c>
      <c r="O12">
        <f t="shared" si="2"/>
        <v>2050.0063573741163</v>
      </c>
      <c r="P12">
        <f t="shared" si="3"/>
        <v>10098.596719614028</v>
      </c>
      <c r="R12">
        <v>9214.3333333333339</v>
      </c>
    </row>
    <row r="13" spans="1:18" x14ac:dyDescent="0.2">
      <c r="B13">
        <f>B8+B10*2</f>
        <v>3691.878144438816</v>
      </c>
      <c r="F13">
        <v>21</v>
      </c>
      <c r="G13">
        <v>9425</v>
      </c>
      <c r="H13">
        <f>N27</f>
        <v>8493.6693877746475</v>
      </c>
      <c r="I13">
        <v>8661.199778315593</v>
      </c>
      <c r="K13">
        <f t="shared" si="0"/>
        <v>931.33061222535252</v>
      </c>
      <c r="M13">
        <v>7</v>
      </c>
      <c r="N13">
        <f t="shared" si="1"/>
        <v>10098.596719614028</v>
      </c>
      <c r="O13">
        <f t="shared" si="2"/>
        <v>1643.0181031623511</v>
      </c>
      <c r="P13">
        <f t="shared" si="3"/>
        <v>9966.7401901508292</v>
      </c>
    </row>
    <row r="14" spans="1:18" x14ac:dyDescent="0.2">
      <c r="F14">
        <v>23</v>
      </c>
      <c r="G14">
        <v>9043.3333333333339</v>
      </c>
      <c r="H14">
        <f>N29</f>
        <v>8356.3256270218171</v>
      </c>
      <c r="I14">
        <v>8503.8432531684175</v>
      </c>
      <c r="K14">
        <f t="shared" si="0"/>
        <v>687.00770631151681</v>
      </c>
      <c r="M14">
        <v>8</v>
      </c>
      <c r="N14">
        <f t="shared" si="1"/>
        <v>9966.7401901508292</v>
      </c>
      <c r="O14">
        <f t="shared" si="2"/>
        <v>1314.3729744088598</v>
      </c>
      <c r="P14">
        <f t="shared" si="3"/>
        <v>9836.9259742307531</v>
      </c>
    </row>
    <row r="15" spans="1:18" x14ac:dyDescent="0.2">
      <c r="F15">
        <v>27</v>
      </c>
      <c r="G15">
        <v>7810</v>
      </c>
      <c r="H15">
        <f>N33</f>
        <v>8295.3575333225399</v>
      </c>
      <c r="I15">
        <v>8197.6548150658946</v>
      </c>
      <c r="K15">
        <f t="shared" si="0"/>
        <v>485.35753332253989</v>
      </c>
      <c r="M15">
        <v>9</v>
      </c>
      <c r="N15">
        <f t="shared" si="1"/>
        <v>9836.9259742307531</v>
      </c>
      <c r="O15">
        <f t="shared" si="2"/>
        <v>1049.0319417303513</v>
      </c>
      <c r="P15">
        <f t="shared" si="3"/>
        <v>9709.1956872586561</v>
      </c>
    </row>
    <row r="16" spans="1:18" x14ac:dyDescent="0.2">
      <c r="M16">
        <v>10</v>
      </c>
      <c r="N16">
        <f t="shared" si="1"/>
        <v>9709.1956872586561</v>
      </c>
      <c r="O16">
        <f t="shared" si="2"/>
        <v>834.84478022091423</v>
      </c>
      <c r="P16">
        <f t="shared" si="3"/>
        <v>9583.6077811270061</v>
      </c>
      <c r="R16">
        <v>7507.666666666667</v>
      </c>
    </row>
    <row r="17" spans="8:18" x14ac:dyDescent="0.2">
      <c r="H17">
        <f>RSQ(G6:G15,H6:H15)</f>
        <v>0.79609948005529385</v>
      </c>
      <c r="I17">
        <f>RSQ(G6:G15,I6:I15)</f>
        <v>0.81809228595103778</v>
      </c>
      <c r="K17">
        <f>SUM(K6:K15)</f>
        <v>3076.5651203656798</v>
      </c>
      <c r="M17">
        <v>11</v>
      </c>
      <c r="N17">
        <f t="shared" si="1"/>
        <v>9583.6077811270061</v>
      </c>
      <c r="O17">
        <f t="shared" si="2"/>
        <v>661.99579180533374</v>
      </c>
      <c r="P17">
        <f t="shared" si="3"/>
        <v>9460.2426481702551</v>
      </c>
    </row>
    <row r="18" spans="8:18" x14ac:dyDescent="0.2">
      <c r="M18">
        <v>12</v>
      </c>
      <c r="N18">
        <f t="shared" si="1"/>
        <v>9460.2426481702551</v>
      </c>
      <c r="O18">
        <f t="shared" si="2"/>
        <v>522.55608648303451</v>
      </c>
      <c r="P18">
        <f t="shared" si="3"/>
        <v>9339.2097487655647</v>
      </c>
    </row>
    <row r="19" spans="8:18" x14ac:dyDescent="0.2">
      <c r="M19">
        <v>13</v>
      </c>
      <c r="N19">
        <f t="shared" si="1"/>
        <v>9339.2097487655647</v>
      </c>
      <c r="O19">
        <f t="shared" si="2"/>
        <v>410.12202793782285</v>
      </c>
      <c r="P19">
        <f t="shared" si="3"/>
        <v>9220.6577872285907</v>
      </c>
      <c r="R19">
        <v>7355</v>
      </c>
    </row>
    <row r="20" spans="8:18" x14ac:dyDescent="0.2">
      <c r="M20">
        <v>14</v>
      </c>
      <c r="N20">
        <f t="shared" si="1"/>
        <v>9220.6577872285907</v>
      </c>
      <c r="O20">
        <f t="shared" si="2"/>
        <v>319.52340242006346</v>
      </c>
      <c r="P20">
        <f t="shared" si="3"/>
        <v>9104.7895986360636</v>
      </c>
    </row>
    <row r="21" spans="8:18" x14ac:dyDescent="0.2">
      <c r="M21">
        <v>15</v>
      </c>
      <c r="N21">
        <f t="shared" si="1"/>
        <v>9104.7895986360636</v>
      </c>
      <c r="O21">
        <f t="shared" si="2"/>
        <v>246.58809029615855</v>
      </c>
      <c r="P21">
        <f t="shared" si="3"/>
        <v>8991.8845177178609</v>
      </c>
    </row>
    <row r="22" spans="8:18" x14ac:dyDescent="0.2">
      <c r="M22">
        <v>16</v>
      </c>
      <c r="N22">
        <f t="shared" si="1"/>
        <v>8991.8845177178609</v>
      </c>
      <c r="O22">
        <f t="shared" si="2"/>
        <v>187.95266886747584</v>
      </c>
      <c r="P22">
        <f t="shared" si="3"/>
        <v>8882.3329756092444</v>
      </c>
      <c r="R22">
        <v>7221</v>
      </c>
    </row>
    <row r="23" spans="8:18" x14ac:dyDescent="0.2">
      <c r="M23">
        <v>17</v>
      </c>
      <c r="N23">
        <f t="shared" si="1"/>
        <v>8882.3329756092444</v>
      </c>
      <c r="O23">
        <f t="shared" si="2"/>
        <v>140.91060223405881</v>
      </c>
      <c r="P23">
        <f>N23-$B$2*O23*(N23/($B$3*O23+N23))</f>
        <v>8776.6916588359163</v>
      </c>
      <c r="R23">
        <v>6876.5</v>
      </c>
    </row>
    <row r="24" spans="8:18" x14ac:dyDescent="0.2">
      <c r="M24">
        <v>18</v>
      </c>
      <c r="N24">
        <f t="shared" si="1"/>
        <v>8776.6916588359163</v>
      </c>
      <c r="O24">
        <f t="shared" si="2"/>
        <v>103.29163492778673</v>
      </c>
      <c r="P24">
        <f t="shared" si="3"/>
        <v>8675.7741224710408</v>
      </c>
    </row>
    <row r="25" spans="8:18" x14ac:dyDescent="0.2">
      <c r="M25">
        <v>19</v>
      </c>
      <c r="N25">
        <f t="shared" si="1"/>
        <v>8675.7741224710408</v>
      </c>
      <c r="O25">
        <f t="shared" si="2"/>
        <v>73.367887385164124</v>
      </c>
      <c r="P25">
        <f t="shared" si="3"/>
        <v>8580.8033078878088</v>
      </c>
    </row>
    <row r="26" spans="8:18" x14ac:dyDescent="0.2">
      <c r="M26">
        <v>20</v>
      </c>
      <c r="N26">
        <f t="shared" si="1"/>
        <v>8580.8033078878088</v>
      </c>
      <c r="O26">
        <f t="shared" si="2"/>
        <v>49.784171548889418</v>
      </c>
      <c r="P26">
        <f t="shared" si="3"/>
        <v>8493.6693877746475</v>
      </c>
    </row>
    <row r="27" spans="8:18" x14ac:dyDescent="0.2">
      <c r="M27">
        <v>21</v>
      </c>
      <c r="N27">
        <f t="shared" si="1"/>
        <v>8493.6693877746475</v>
      </c>
      <c r="O27">
        <f t="shared" si="2"/>
        <v>31.512218600186511</v>
      </c>
      <c r="P27">
        <f t="shared" si="3"/>
        <v>8417.3399817478494</v>
      </c>
      <c r="R27">
        <v>6810</v>
      </c>
    </row>
    <row r="28" spans="8:18" x14ac:dyDescent="0.2">
      <c r="M28">
        <v>22</v>
      </c>
      <c r="N28">
        <f t="shared" si="1"/>
        <v>8417.3399817478494</v>
      </c>
      <c r="O28">
        <f t="shared" si="2"/>
        <v>17.828932026270891</v>
      </c>
      <c r="P28">
        <f t="shared" si="3"/>
        <v>8356.3256270218171</v>
      </c>
    </row>
    <row r="29" spans="8:18" x14ac:dyDescent="0.2">
      <c r="M29">
        <v>23</v>
      </c>
      <c r="N29">
        <f t="shared" si="1"/>
        <v>8356.3256270218171</v>
      </c>
      <c r="O29">
        <f t="shared" si="2"/>
        <v>8.3043416046236551</v>
      </c>
      <c r="P29">
        <f t="shared" si="3"/>
        <v>8316.2096294226521</v>
      </c>
      <c r="R29">
        <v>6443</v>
      </c>
    </row>
    <row r="30" spans="8:18" x14ac:dyDescent="0.2">
      <c r="M30">
        <v>24</v>
      </c>
      <c r="N30">
        <f t="shared" si="1"/>
        <v>8316.2096294226521</v>
      </c>
      <c r="O30">
        <f t="shared" si="2"/>
        <v>2.6983082566194145</v>
      </c>
      <c r="P30">
        <f t="shared" si="3"/>
        <v>8298.9447285916158</v>
      </c>
    </row>
    <row r="31" spans="8:18" x14ac:dyDescent="0.2">
      <c r="M31">
        <v>25</v>
      </c>
      <c r="N31">
        <f t="shared" si="1"/>
        <v>8298.9447285916158</v>
      </c>
      <c r="O31">
        <f t="shared" si="2"/>
        <v>0.45374298824485115</v>
      </c>
      <c r="P31">
        <f t="shared" si="3"/>
        <v>8295.6045645345566</v>
      </c>
    </row>
    <row r="32" spans="8:18" x14ac:dyDescent="0.2">
      <c r="M32">
        <v>26</v>
      </c>
      <c r="N32">
        <f t="shared" si="1"/>
        <v>8295.6045645345566</v>
      </c>
      <c r="O32">
        <f t="shared" si="2"/>
        <v>3.2607928795924168E-2</v>
      </c>
      <c r="P32">
        <f t="shared" si="3"/>
        <v>8295.3575333225399</v>
      </c>
    </row>
    <row r="33" spans="1:18" x14ac:dyDescent="0.2">
      <c r="M33">
        <v>27</v>
      </c>
      <c r="N33">
        <f t="shared" si="1"/>
        <v>8295.3575333225399</v>
      </c>
      <c r="O33">
        <f t="shared" si="2"/>
        <v>1.644085265433087E-3</v>
      </c>
      <c r="P33">
        <f t="shared" si="3"/>
        <v>8295.3450513117859</v>
      </c>
      <c r="R33">
        <v>6128.3333333333303</v>
      </c>
    </row>
    <row r="38" spans="1:18" x14ac:dyDescent="0.2">
      <c r="A38" t="s">
        <v>79</v>
      </c>
      <c r="B38">
        <v>7.0662721167366327E-2</v>
      </c>
    </row>
    <row r="39" spans="1:18" x14ac:dyDescent="0.2">
      <c r="A39" t="s">
        <v>80</v>
      </c>
      <c r="B39">
        <v>3136.2206967046523</v>
      </c>
    </row>
    <row r="40" spans="1:18" x14ac:dyDescent="0.2">
      <c r="A40" t="s">
        <v>81</v>
      </c>
      <c r="B40">
        <v>0.1</v>
      </c>
    </row>
    <row r="41" spans="1:18" x14ac:dyDescent="0.2">
      <c r="A41" t="s">
        <v>82</v>
      </c>
      <c r="B41">
        <f>0.008*24</f>
        <v>0.192</v>
      </c>
      <c r="F41" t="s">
        <v>7</v>
      </c>
      <c r="G41" t="s">
        <v>83</v>
      </c>
      <c r="H41" t="s">
        <v>95</v>
      </c>
      <c r="I41" t="s">
        <v>85</v>
      </c>
      <c r="N41" t="s">
        <v>86</v>
      </c>
      <c r="O41" t="s">
        <v>87</v>
      </c>
      <c r="P41" t="s">
        <v>88</v>
      </c>
    </row>
    <row r="42" spans="1:18" x14ac:dyDescent="0.2">
      <c r="A42" t="s">
        <v>90</v>
      </c>
      <c r="B42">
        <v>7555.5555555555593</v>
      </c>
      <c r="F42">
        <v>0</v>
      </c>
      <c r="G42">
        <v>11096.333333333334</v>
      </c>
      <c r="H42">
        <f>B43</f>
        <v>11096.068334921569</v>
      </c>
      <c r="I42">
        <v>10499.957888980394</v>
      </c>
      <c r="K42">
        <f t="shared" ref="K42:K51" si="4">((G42-H42)^2)^0.5</f>
        <v>0.26499841176519112</v>
      </c>
      <c r="L42">
        <f>((I42-G42)^2)^0.5</f>
        <v>596.37544435293967</v>
      </c>
      <c r="M42">
        <v>0</v>
      </c>
      <c r="N42">
        <f>B43</f>
        <v>11096.068334921569</v>
      </c>
      <c r="O42">
        <f>B42</f>
        <v>7555.5555555555593</v>
      </c>
      <c r="R42">
        <f>G42</f>
        <v>11096.333333333334</v>
      </c>
    </row>
    <row r="43" spans="1:18" x14ac:dyDescent="0.2">
      <c r="A43" t="s">
        <v>91</v>
      </c>
      <c r="B43">
        <v>11096.068334921569</v>
      </c>
      <c r="F43">
        <v>2</v>
      </c>
      <c r="G43">
        <v>10621.333333333334</v>
      </c>
      <c r="H43">
        <f>N44</f>
        <v>10348.63134158345</v>
      </c>
      <c r="I43">
        <v>10309.194838838288</v>
      </c>
      <c r="K43">
        <f t="shared" si="4"/>
        <v>272.70199174988375</v>
      </c>
      <c r="L43">
        <f t="shared" ref="L43:L51" si="5">((I43-G43)^2)^0.5</f>
        <v>312.13849449504596</v>
      </c>
      <c r="M43">
        <v>1</v>
      </c>
      <c r="N43">
        <f>B43-B38*B42*(B43/(B39+B43))</f>
        <v>10679.821323072243</v>
      </c>
      <c r="O43">
        <f>B42+$B$4*(N43-N42)-$B$5*O42</f>
        <v>6063.2641877039587</v>
      </c>
      <c r="P43">
        <f>N43-$B$38*O43*(N43/($B$39+N43))</f>
        <v>10348.63134158345</v>
      </c>
    </row>
    <row r="44" spans="1:18" x14ac:dyDescent="0.2">
      <c r="A44" t="s">
        <v>92</v>
      </c>
      <c r="B44">
        <f>K53</f>
        <v>3070.7518278521748</v>
      </c>
      <c r="F44">
        <v>6</v>
      </c>
      <c r="G44">
        <v>10237.666666666666</v>
      </c>
      <c r="H44">
        <f>N48</f>
        <v>9571.796033797018</v>
      </c>
      <c r="I44">
        <v>9938.0031115422335</v>
      </c>
      <c r="K44">
        <f t="shared" si="4"/>
        <v>665.87063286964803</v>
      </c>
      <c r="L44">
        <f t="shared" si="5"/>
        <v>299.66355512443261</v>
      </c>
      <c r="M44">
        <v>2</v>
      </c>
      <c r="N44">
        <f>P43</f>
        <v>10348.63134158345</v>
      </c>
      <c r="O44">
        <f>O43+$B$4*(N44-N43)-$B$5*O43</f>
        <v>4865.9984655159187</v>
      </c>
      <c r="P44">
        <f>N44-$B$38*O44*(N44/($B$39+N44))</f>
        <v>10084.755849725687</v>
      </c>
      <c r="R44">
        <v>9742</v>
      </c>
    </row>
    <row r="45" spans="1:18" x14ac:dyDescent="0.2">
      <c r="F45">
        <v>10</v>
      </c>
      <c r="G45">
        <v>9305.6666666666661</v>
      </c>
      <c r="H45">
        <f>N52</f>
        <v>9254.1891531382425</v>
      </c>
      <c r="I45">
        <v>9580.1764724579116</v>
      </c>
      <c r="K45">
        <f t="shared" si="4"/>
        <v>51.477513528423515</v>
      </c>
      <c r="L45">
        <f t="shared" si="5"/>
        <v>274.50980579124553</v>
      </c>
      <c r="M45">
        <v>3</v>
      </c>
      <c r="N45">
        <f t="shared" ref="N45:N69" si="6">P44</f>
        <v>10084.755849725687</v>
      </c>
      <c r="O45">
        <f>O44+$B$4*(N45-N44)-$B$5*O44</f>
        <v>3905.339210951086</v>
      </c>
      <c r="P45">
        <f>N45-$B$38*O45*(N45/($B$39+N45))</f>
        <v>9874.2563958869396</v>
      </c>
    </row>
    <row r="46" spans="1:18" x14ac:dyDescent="0.2">
      <c r="A46" t="s">
        <v>93</v>
      </c>
      <c r="B46">
        <f>B44/(COUNT(F42:F51))</f>
        <v>307.07518278521746</v>
      </c>
      <c r="F46">
        <v>13</v>
      </c>
      <c r="G46">
        <v>8975.6666666666661</v>
      </c>
      <c r="H46">
        <f>N55</f>
        <v>9146.0233796052926</v>
      </c>
      <c r="I46">
        <v>9320.2871898506892</v>
      </c>
      <c r="K46">
        <f t="shared" si="4"/>
        <v>170.35671293862652</v>
      </c>
      <c r="L46">
        <f t="shared" si="5"/>
        <v>344.62052318402311</v>
      </c>
      <c r="M46">
        <v>4</v>
      </c>
      <c r="N46">
        <f t="shared" si="6"/>
        <v>9874.2563958869396</v>
      </c>
      <c r="O46">
        <f t="shared" ref="O46:O69" si="7">O45+$B$4*(N46-N45)-$B$5*O45</f>
        <v>3134.4641370646027</v>
      </c>
      <c r="P46">
        <f>N46-$B$38*O46*(N46/($B$39+N46))</f>
        <v>9706.1575078650621</v>
      </c>
    </row>
    <row r="47" spans="1:18" x14ac:dyDescent="0.2">
      <c r="F47">
        <v>16</v>
      </c>
      <c r="G47">
        <v>8976.6666666666661</v>
      </c>
      <c r="H47">
        <f>N58</f>
        <v>9090.2141769711125</v>
      </c>
      <c r="I47">
        <v>9067.4481363711111</v>
      </c>
      <c r="K47">
        <f t="shared" si="4"/>
        <v>113.5475103044464</v>
      </c>
      <c r="L47">
        <f t="shared" si="5"/>
        <v>90.781469704445044</v>
      </c>
      <c r="M47">
        <v>5</v>
      </c>
      <c r="N47">
        <f t="shared" si="6"/>
        <v>9706.1575078650621</v>
      </c>
      <c r="O47">
        <f t="shared" si="7"/>
        <v>2515.8371339460114</v>
      </c>
      <c r="P47">
        <f>N47-$B$38*O47*(N47/($B$39+N47))</f>
        <v>9571.796033797018</v>
      </c>
    </row>
    <row r="48" spans="1:18" x14ac:dyDescent="0.2">
      <c r="A48" t="s">
        <v>94</v>
      </c>
      <c r="F48">
        <v>17</v>
      </c>
      <c r="G48">
        <v>8882.3333333333339</v>
      </c>
      <c r="H48">
        <f>N59</f>
        <v>9078.4294910381541</v>
      </c>
      <c r="I48">
        <v>8984.7019618111117</v>
      </c>
      <c r="K48">
        <f t="shared" si="4"/>
        <v>196.09615770482014</v>
      </c>
      <c r="L48">
        <f t="shared" si="5"/>
        <v>102.36862847777775</v>
      </c>
      <c r="M48">
        <v>6</v>
      </c>
      <c r="N48">
        <f t="shared" si="6"/>
        <v>9571.796033797018</v>
      </c>
      <c r="O48">
        <f t="shared" si="7"/>
        <v>2019.3602568215726</v>
      </c>
      <c r="P48">
        <f t="shared" ref="P48:P69" si="8">N48-$B$38*O48*(N48/($B$39+N48))</f>
        <v>9464.3179734583355</v>
      </c>
      <c r="R48">
        <v>9214.3333333333339</v>
      </c>
    </row>
    <row r="49" spans="2:18" x14ac:dyDescent="0.2">
      <c r="B49">
        <f>B44+B46*2</f>
        <v>3684.9021934226098</v>
      </c>
      <c r="F49">
        <v>21</v>
      </c>
      <c r="G49">
        <v>9425</v>
      </c>
      <c r="H49">
        <f>N63</f>
        <v>9050.402969706025</v>
      </c>
      <c r="I49">
        <v>8661.199778315593</v>
      </c>
      <c r="K49">
        <f t="shared" si="4"/>
        <v>374.59703029397497</v>
      </c>
      <c r="L49">
        <f t="shared" si="5"/>
        <v>763.80022168440701</v>
      </c>
      <c r="M49">
        <v>7</v>
      </c>
      <c r="N49">
        <f t="shared" si="6"/>
        <v>9464.3179734583355</v>
      </c>
      <c r="O49">
        <f t="shared" si="7"/>
        <v>1620.8952814779623</v>
      </c>
      <c r="P49">
        <f t="shared" si="8"/>
        <v>9378.2888442122967</v>
      </c>
    </row>
    <row r="50" spans="2:18" x14ac:dyDescent="0.2">
      <c r="F50">
        <v>23</v>
      </c>
      <c r="G50">
        <v>9043.3333333333339</v>
      </c>
      <c r="H50">
        <f>N65</f>
        <v>9043.3293440770321</v>
      </c>
      <c r="I50">
        <v>8503.8432531684175</v>
      </c>
      <c r="K50">
        <f t="shared" si="4"/>
        <v>3.9892563017929206E-3</v>
      </c>
      <c r="L50">
        <f t="shared" si="5"/>
        <v>539.49008016491644</v>
      </c>
      <c r="M50">
        <v>8</v>
      </c>
      <c r="N50">
        <f t="shared" si="6"/>
        <v>9378.2888442122967</v>
      </c>
      <c r="O50">
        <f t="shared" si="7"/>
        <v>1301.0804745095895</v>
      </c>
      <c r="P50">
        <f t="shared" si="8"/>
        <v>9309.3912134108723</v>
      </c>
    </row>
    <row r="51" spans="2:18" x14ac:dyDescent="0.2">
      <c r="F51">
        <v>27</v>
      </c>
      <c r="G51">
        <v>7810</v>
      </c>
      <c r="H51">
        <f>N69</f>
        <v>9035.8352907942844</v>
      </c>
      <c r="I51">
        <v>8197.6548150658946</v>
      </c>
      <c r="K51">
        <f t="shared" si="4"/>
        <v>1225.8352907942844</v>
      </c>
      <c r="L51">
        <f t="shared" si="5"/>
        <v>387.65481506589458</v>
      </c>
      <c r="M51">
        <v>9</v>
      </c>
      <c r="N51">
        <f t="shared" si="6"/>
        <v>9309.3912134108723</v>
      </c>
      <c r="O51">
        <f t="shared" si="7"/>
        <v>1044.3832603236058</v>
      </c>
      <c r="P51">
        <f t="shared" si="8"/>
        <v>9254.1891531382425</v>
      </c>
    </row>
    <row r="52" spans="2:18" x14ac:dyDescent="0.2">
      <c r="M52">
        <v>10</v>
      </c>
      <c r="N52">
        <f t="shared" si="6"/>
        <v>9254.1891531382425</v>
      </c>
      <c r="O52">
        <f t="shared" si="7"/>
        <v>838.34146831421049</v>
      </c>
      <c r="P52">
        <f t="shared" si="8"/>
        <v>9209.9441727818157</v>
      </c>
      <c r="R52">
        <v>7507.666666666667</v>
      </c>
    </row>
    <row r="53" spans="2:18" x14ac:dyDescent="0.2">
      <c r="H53">
        <f>RSQ(G42:G51,H42:H51)</f>
        <v>0.75209258050306982</v>
      </c>
      <c r="I53">
        <f>RSQ(G42:G51,I42:I51)</f>
        <v>0.81809228595103778</v>
      </c>
      <c r="K53">
        <f>SUM(K42:K51)</f>
        <v>3070.7518278521748</v>
      </c>
      <c r="L53">
        <f>SUM(L42:L51)</f>
        <v>3711.4030380451277</v>
      </c>
      <c r="M53">
        <v>11</v>
      </c>
      <c r="N53">
        <f t="shared" si="6"/>
        <v>9209.9441727818157</v>
      </c>
      <c r="O53">
        <f t="shared" si="7"/>
        <v>672.95540836223938</v>
      </c>
      <c r="P53">
        <f t="shared" si="8"/>
        <v>9174.4708744759846</v>
      </c>
    </row>
    <row r="54" spans="2:18" x14ac:dyDescent="0.2">
      <c r="M54">
        <v>12</v>
      </c>
      <c r="N54">
        <f t="shared" si="6"/>
        <v>9174.4708744759846</v>
      </c>
      <c r="O54">
        <f t="shared" si="7"/>
        <v>540.20064012610635</v>
      </c>
      <c r="P54">
        <f t="shared" si="8"/>
        <v>9146.0233796052926</v>
      </c>
    </row>
    <row r="55" spans="2:18" x14ac:dyDescent="0.2">
      <c r="M55">
        <v>13</v>
      </c>
      <c r="N55">
        <f t="shared" si="6"/>
        <v>9146.0233796052926</v>
      </c>
      <c r="O55">
        <f t="shared" si="7"/>
        <v>433.63736773482475</v>
      </c>
      <c r="P55">
        <f t="shared" si="8"/>
        <v>9123.2056914232708</v>
      </c>
      <c r="R55">
        <v>7355</v>
      </c>
    </row>
    <row r="56" spans="2:18" x14ac:dyDescent="0.2">
      <c r="M56">
        <v>14</v>
      </c>
      <c r="N56">
        <f t="shared" si="6"/>
        <v>9123.2056914232708</v>
      </c>
      <c r="O56">
        <f t="shared" si="7"/>
        <v>348.09722431153619</v>
      </c>
      <c r="P56">
        <f t="shared" si="8"/>
        <v>9104.9007545984259</v>
      </c>
    </row>
    <row r="57" spans="2:18" x14ac:dyDescent="0.2">
      <c r="M57">
        <v>15</v>
      </c>
      <c r="N57">
        <f t="shared" si="6"/>
        <v>9104.9007545984259</v>
      </c>
      <c r="O57">
        <f t="shared" si="7"/>
        <v>279.43206356123676</v>
      </c>
      <c r="P57">
        <f t="shared" si="8"/>
        <v>9090.2141769711125</v>
      </c>
    </row>
    <row r="58" spans="2:18" x14ac:dyDescent="0.2">
      <c r="M58">
        <v>16</v>
      </c>
      <c r="N58">
        <f t="shared" si="6"/>
        <v>9090.2141769711125</v>
      </c>
      <c r="O58">
        <f t="shared" si="7"/>
        <v>224.31244959474793</v>
      </c>
      <c r="P58">
        <f t="shared" si="8"/>
        <v>9078.4294910381541</v>
      </c>
      <c r="R58">
        <v>7221</v>
      </c>
    </row>
    <row r="59" spans="2:18" x14ac:dyDescent="0.2">
      <c r="M59">
        <v>17</v>
      </c>
      <c r="N59">
        <f t="shared" si="6"/>
        <v>9078.4294910381541</v>
      </c>
      <c r="O59">
        <f t="shared" si="7"/>
        <v>180.06599067926049</v>
      </c>
      <c r="P59">
        <f t="shared" si="8"/>
        <v>9068.9725268686034</v>
      </c>
      <c r="R59">
        <v>6876.5</v>
      </c>
    </row>
    <row r="60" spans="2:18" x14ac:dyDescent="0.2">
      <c r="M60">
        <v>18</v>
      </c>
      <c r="N60">
        <f t="shared" si="6"/>
        <v>9068.9725268686034</v>
      </c>
      <c r="O60">
        <f t="shared" si="7"/>
        <v>144.54762405188742</v>
      </c>
      <c r="P60">
        <f t="shared" si="8"/>
        <v>9061.3829993096006</v>
      </c>
    </row>
    <row r="61" spans="2:18" x14ac:dyDescent="0.2">
      <c r="M61">
        <v>19</v>
      </c>
      <c r="N61">
        <f t="shared" si="6"/>
        <v>9061.3829993096006</v>
      </c>
      <c r="O61">
        <f t="shared" si="7"/>
        <v>116.03552747802476</v>
      </c>
      <c r="P61">
        <f t="shared" si="8"/>
        <v>9055.2918210849602</v>
      </c>
    </row>
    <row r="62" spans="2:18" x14ac:dyDescent="0.2">
      <c r="M62">
        <v>20</v>
      </c>
      <c r="N62">
        <f t="shared" si="6"/>
        <v>9055.2918210849602</v>
      </c>
      <c r="O62">
        <f t="shared" si="7"/>
        <v>93.147588379779975</v>
      </c>
      <c r="P62">
        <f t="shared" si="8"/>
        <v>9050.402969706025</v>
      </c>
    </row>
    <row r="63" spans="2:18" x14ac:dyDescent="0.2">
      <c r="M63">
        <v>21</v>
      </c>
      <c r="N63">
        <f t="shared" si="6"/>
        <v>9050.402969706025</v>
      </c>
      <c r="O63">
        <f t="shared" si="7"/>
        <v>74.774366272968706</v>
      </c>
      <c r="P63">
        <f t="shared" si="8"/>
        <v>9046.4789822043404</v>
      </c>
      <c r="R63">
        <v>6810</v>
      </c>
    </row>
    <row r="64" spans="2:18" x14ac:dyDescent="0.2">
      <c r="M64">
        <v>22</v>
      </c>
      <c r="N64">
        <f t="shared" si="6"/>
        <v>9046.4789822043404</v>
      </c>
      <c r="O64">
        <f t="shared" si="7"/>
        <v>60.025289198390247</v>
      </c>
      <c r="P64">
        <f t="shared" si="8"/>
        <v>9043.3293440770321</v>
      </c>
    </row>
    <row r="65" spans="6:18" x14ac:dyDescent="0.2">
      <c r="M65">
        <v>23</v>
      </c>
      <c r="N65">
        <f t="shared" si="6"/>
        <v>9043.3293440770321</v>
      </c>
      <c r="O65">
        <f t="shared" si="7"/>
        <v>48.185469859568499</v>
      </c>
      <c r="P65">
        <f t="shared" si="8"/>
        <v>9040.8011898774839</v>
      </c>
      <c r="R65">
        <v>6443</v>
      </c>
    </row>
    <row r="66" spans="6:18" x14ac:dyDescent="0.2">
      <c r="M66">
        <v>24</v>
      </c>
      <c r="N66">
        <f t="shared" si="6"/>
        <v>9040.8011898774839</v>
      </c>
      <c r="O66">
        <f t="shared" si="7"/>
        <v>38.681044226576525</v>
      </c>
      <c r="P66">
        <f t="shared" si="8"/>
        <v>9038.7718519140435</v>
      </c>
    </row>
    <row r="67" spans="6:18" x14ac:dyDescent="0.2">
      <c r="M67">
        <v>25</v>
      </c>
      <c r="N67">
        <f t="shared" si="6"/>
        <v>9038.7718519140435</v>
      </c>
      <c r="O67">
        <f t="shared" si="7"/>
        <v>31.051349938729793</v>
      </c>
      <c r="P67">
        <f t="shared" si="8"/>
        <v>9037.1428876243172</v>
      </c>
    </row>
    <row r="68" spans="6:18" x14ac:dyDescent="0.2">
      <c r="M68">
        <v>26</v>
      </c>
      <c r="N68">
        <f t="shared" si="6"/>
        <v>9037.1428876243172</v>
      </c>
      <c r="O68">
        <f t="shared" si="7"/>
        <v>24.926594321521037</v>
      </c>
      <c r="P68">
        <f t="shared" si="8"/>
        <v>9035.8352907942844</v>
      </c>
    </row>
    <row r="69" spans="6:18" x14ac:dyDescent="0.2">
      <c r="M69">
        <v>27</v>
      </c>
      <c r="N69">
        <f t="shared" si="6"/>
        <v>9035.8352907942844</v>
      </c>
      <c r="O69">
        <f t="shared" si="7"/>
        <v>20.009928528785728</v>
      </c>
      <c r="P69">
        <f t="shared" si="8"/>
        <v>9034.7856510670736</v>
      </c>
      <c r="R69">
        <v>6128.333333333333</v>
      </c>
    </row>
    <row r="78" spans="6:18" x14ac:dyDescent="0.2">
      <c r="F78" t="s">
        <v>7</v>
      </c>
      <c r="G78" t="s">
        <v>83</v>
      </c>
      <c r="H78" t="s">
        <v>85</v>
      </c>
      <c r="I78" t="s">
        <v>84</v>
      </c>
      <c r="J78" t="s">
        <v>95</v>
      </c>
    </row>
    <row r="79" spans="6:18" x14ac:dyDescent="0.2">
      <c r="F79">
        <v>0</v>
      </c>
      <c r="G79">
        <v>11096.333333333334</v>
      </c>
      <c r="H79">
        <v>10499.957888980394</v>
      </c>
      <c r="I79">
        <v>11077.458095842951</v>
      </c>
      <c r="J79">
        <v>11096.068334921569</v>
      </c>
      <c r="L79">
        <f>3389.5435615368/2</f>
        <v>1694.7717807684</v>
      </c>
    </row>
    <row r="80" spans="6:18" x14ac:dyDescent="0.2">
      <c r="F80">
        <v>2</v>
      </c>
      <c r="G80">
        <v>10621.333333333334</v>
      </c>
      <c r="H80">
        <v>10309.194838838288</v>
      </c>
      <c r="I80">
        <v>10787.837441789759</v>
      </c>
      <c r="J80">
        <v>10348.63134158345</v>
      </c>
      <c r="L80">
        <v>455.63313702534367</v>
      </c>
    </row>
    <row r="81" spans="6:12" x14ac:dyDescent="0.2">
      <c r="F81">
        <v>6</v>
      </c>
      <c r="G81">
        <v>10237.666666666666</v>
      </c>
      <c r="H81">
        <v>9938.0031115422335</v>
      </c>
      <c r="I81">
        <v>10232.467055573377</v>
      </c>
      <c r="J81">
        <v>9571.796033797018</v>
      </c>
      <c r="L81">
        <v>134.96007640121661</v>
      </c>
    </row>
    <row r="82" spans="6:12" x14ac:dyDescent="0.2">
      <c r="F82">
        <v>10</v>
      </c>
      <c r="G82">
        <v>9305.6666666666661</v>
      </c>
      <c r="H82">
        <v>9580.1764724579116</v>
      </c>
      <c r="I82">
        <v>9709.1956872586561</v>
      </c>
      <c r="J82">
        <v>9254.1891531382425</v>
      </c>
      <c r="L82">
        <v>312.00462959528164</v>
      </c>
    </row>
    <row r="83" spans="6:12" x14ac:dyDescent="0.2">
      <c r="F83">
        <v>13</v>
      </c>
      <c r="G83">
        <v>8975.6666666666661</v>
      </c>
      <c r="H83">
        <v>9320.2871898506892</v>
      </c>
      <c r="I83">
        <v>9339.2097487655647</v>
      </c>
      <c r="J83">
        <v>9146.0233796052926</v>
      </c>
      <c r="L83">
        <v>408.37999733363807</v>
      </c>
    </row>
    <row r="84" spans="6:12" x14ac:dyDescent="0.2">
      <c r="F84">
        <v>16</v>
      </c>
      <c r="G84">
        <v>8976.6666666666661</v>
      </c>
      <c r="H84">
        <v>9067.4481363711111</v>
      </c>
      <c r="I84">
        <v>8991.8845177178609</v>
      </c>
      <c r="J84">
        <v>9090.2141769711125</v>
      </c>
      <c r="L84">
        <v>409.55775606812227</v>
      </c>
    </row>
    <row r="85" spans="6:12" x14ac:dyDescent="0.2">
      <c r="F85">
        <v>17</v>
      </c>
      <c r="G85">
        <v>8882.3333333333339</v>
      </c>
      <c r="H85">
        <v>8984.7019618111117</v>
      </c>
      <c r="I85">
        <v>8882.3329756092444</v>
      </c>
      <c r="J85">
        <v>9078.4294910381541</v>
      </c>
      <c r="L85">
        <v>88.039132713179811</v>
      </c>
    </row>
    <row r="86" spans="6:12" x14ac:dyDescent="0.2">
      <c r="F86">
        <v>21</v>
      </c>
      <c r="G86">
        <v>9425</v>
      </c>
      <c r="H86">
        <v>8661.199778315593</v>
      </c>
      <c r="I86">
        <v>8493.6693877746475</v>
      </c>
      <c r="J86">
        <v>9050.402969706025</v>
      </c>
      <c r="L86">
        <v>557.68868257000395</v>
      </c>
    </row>
    <row r="87" spans="6:12" x14ac:dyDescent="0.2">
      <c r="F87">
        <v>23</v>
      </c>
      <c r="G87">
        <v>9043.3333333333339</v>
      </c>
      <c r="H87">
        <v>8503.8432531684175</v>
      </c>
      <c r="I87">
        <v>8356.3256270218171</v>
      </c>
      <c r="J87">
        <v>9043.3293440770321</v>
      </c>
      <c r="L87">
        <v>873.15837942240205</v>
      </c>
    </row>
    <row r="88" spans="6:12" x14ac:dyDescent="0.2">
      <c r="F88">
        <v>27</v>
      </c>
      <c r="G88">
        <v>7810</v>
      </c>
      <c r="H88">
        <v>8197.6548150658946</v>
      </c>
      <c r="I88">
        <v>8295.3575333225399</v>
      </c>
      <c r="J88">
        <v>9035.8352907942844</v>
      </c>
      <c r="L88">
        <v>542.32524066897963</v>
      </c>
    </row>
    <row r="90" spans="6:12" x14ac:dyDescent="0.2">
      <c r="H90">
        <f>RSQ($G$79:$G$88,H79:H88)</f>
        <v>0.81809228595103778</v>
      </c>
      <c r="I90">
        <f t="shared" ref="I90:J90" si="9">RSQ($G$79:$G$88,I79:I88)</f>
        <v>0.79609948005529385</v>
      </c>
      <c r="J90">
        <f t="shared" si="9"/>
        <v>0.75209258050306982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96F6-184E-4295-82AC-2CB21F4E98FF}">
  <dimension ref="A2:U43"/>
  <sheetViews>
    <sheetView workbookViewId="0">
      <selection activeCell="S26" sqref="S26"/>
    </sheetView>
  </sheetViews>
  <sheetFormatPr defaultRowHeight="14.25" x14ac:dyDescent="0.2"/>
  <sheetData>
    <row r="2" spans="1:21" x14ac:dyDescent="0.2">
      <c r="B2" t="s">
        <v>0</v>
      </c>
      <c r="C2" t="s">
        <v>1</v>
      </c>
      <c r="H2" t="s">
        <v>2</v>
      </c>
      <c r="L2" t="s">
        <v>3</v>
      </c>
      <c r="O2" t="s">
        <v>4</v>
      </c>
      <c r="R2" t="s">
        <v>49</v>
      </c>
      <c r="S2" t="s">
        <v>5</v>
      </c>
    </row>
    <row r="3" spans="1:21" x14ac:dyDescent="0.2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17</v>
      </c>
      <c r="P3" t="s">
        <v>18</v>
      </c>
      <c r="Q3" t="s">
        <v>20</v>
      </c>
      <c r="S3" t="s">
        <v>21</v>
      </c>
      <c r="T3" t="s">
        <v>18</v>
      </c>
      <c r="U3" t="s">
        <v>19</v>
      </c>
    </row>
    <row r="4" spans="1:21" x14ac:dyDescent="0.2">
      <c r="A4">
        <v>220222</v>
      </c>
      <c r="B4">
        <v>0</v>
      </c>
      <c r="C4">
        <v>8.7900000000000006E-2</v>
      </c>
      <c r="D4">
        <v>3</v>
      </c>
      <c r="E4">
        <v>0.11</v>
      </c>
      <c r="F4">
        <v>2.2099999999999995E-2</v>
      </c>
      <c r="G4">
        <v>7366.6666666666642</v>
      </c>
      <c r="H4">
        <v>8.9399999999999993E-2</v>
      </c>
      <c r="I4">
        <v>1.4999999999999875E-3</v>
      </c>
      <c r="K4">
        <v>6866.6666666666697</v>
      </c>
      <c r="L4">
        <v>4520</v>
      </c>
      <c r="M4">
        <v>4.2361111111111106E-2</v>
      </c>
      <c r="N4">
        <v>9040</v>
      </c>
      <c r="O4">
        <v>165</v>
      </c>
      <c r="P4">
        <v>4.3055555555555562E-2</v>
      </c>
      <c r="Q4">
        <v>495</v>
      </c>
    </row>
    <row r="5" spans="1:21" x14ac:dyDescent="0.2">
      <c r="A5">
        <v>240222</v>
      </c>
      <c r="B5">
        <v>2</v>
      </c>
      <c r="C5">
        <v>8.7400000000000005E-2</v>
      </c>
      <c r="D5">
        <v>2</v>
      </c>
      <c r="E5">
        <v>0.1019</v>
      </c>
      <c r="F5">
        <v>1.4499999999999999E-2</v>
      </c>
      <c r="G5">
        <v>7249.9999999999991</v>
      </c>
      <c r="H5">
        <v>8.8300000000000003E-2</v>
      </c>
      <c r="I5">
        <v>8.9999999999999802E-4</v>
      </c>
      <c r="K5">
        <v>6800.0000000000009</v>
      </c>
      <c r="L5">
        <v>5165</v>
      </c>
      <c r="M5">
        <v>4.2361111111111106E-2</v>
      </c>
      <c r="N5">
        <v>10330</v>
      </c>
      <c r="O5">
        <v>237</v>
      </c>
      <c r="P5">
        <v>4.3055555555555562E-2</v>
      </c>
      <c r="Q5">
        <v>711</v>
      </c>
    </row>
    <row r="6" spans="1:21" x14ac:dyDescent="0.2">
      <c r="A6">
        <v>220228</v>
      </c>
      <c r="B6">
        <v>6</v>
      </c>
      <c r="C6">
        <v>8.9300000000000004E-2</v>
      </c>
      <c r="D6">
        <v>3</v>
      </c>
      <c r="E6">
        <v>0.1041</v>
      </c>
      <c r="F6">
        <v>1.4799999999999994E-2</v>
      </c>
      <c r="G6">
        <v>4933.3333333333312</v>
      </c>
      <c r="H6">
        <v>9.2899999999999996E-2</v>
      </c>
      <c r="I6">
        <v>3.5999999999999921E-3</v>
      </c>
      <c r="K6">
        <v>3733.3333333333339</v>
      </c>
      <c r="L6">
        <v>10755</v>
      </c>
      <c r="M6" t="s">
        <v>33</v>
      </c>
      <c r="N6">
        <v>10755</v>
      </c>
      <c r="O6">
        <v>1539</v>
      </c>
      <c r="P6" t="s">
        <v>33</v>
      </c>
      <c r="Q6">
        <v>1539</v>
      </c>
      <c r="R6">
        <v>5.33</v>
      </c>
    </row>
    <row r="7" spans="1:21" x14ac:dyDescent="0.2">
      <c r="A7">
        <v>220304</v>
      </c>
      <c r="B7">
        <v>10</v>
      </c>
      <c r="C7">
        <v>8.6900000000000005E-2</v>
      </c>
      <c r="D7">
        <v>3</v>
      </c>
      <c r="E7">
        <v>0.10249999999999999</v>
      </c>
      <c r="F7">
        <v>1.5599999999999989E-2</v>
      </c>
      <c r="G7">
        <v>5199.9999999999964</v>
      </c>
      <c r="H7">
        <v>8.9899999999999994E-2</v>
      </c>
      <c r="I7">
        <v>2.9999999999999888E-3</v>
      </c>
      <c r="K7">
        <v>4200</v>
      </c>
      <c r="L7">
        <v>9875</v>
      </c>
      <c r="N7">
        <v>9875</v>
      </c>
      <c r="O7">
        <v>1664</v>
      </c>
      <c r="Q7">
        <v>1664</v>
      </c>
      <c r="R7">
        <v>5.26</v>
      </c>
    </row>
    <row r="8" spans="1:21" x14ac:dyDescent="0.2">
      <c r="A8">
        <v>220307</v>
      </c>
      <c r="B8">
        <v>13</v>
      </c>
      <c r="C8">
        <v>8.6900000000000005E-2</v>
      </c>
      <c r="D8">
        <v>3</v>
      </c>
      <c r="E8">
        <v>0.1008</v>
      </c>
      <c r="F8">
        <v>1.3899999999999996E-2</v>
      </c>
      <c r="G8">
        <v>4633.3333333333321</v>
      </c>
      <c r="H8">
        <v>8.7599999999999997E-2</v>
      </c>
      <c r="I8">
        <v>6.999999999999923E-4</v>
      </c>
      <c r="K8">
        <v>4400.0000000000009</v>
      </c>
      <c r="L8">
        <v>8595</v>
      </c>
      <c r="N8">
        <v>8595</v>
      </c>
      <c r="O8">
        <v>622</v>
      </c>
      <c r="P8">
        <v>4.3055555555555562E-2</v>
      </c>
      <c r="Q8">
        <v>1866</v>
      </c>
      <c r="R8">
        <v>4.95</v>
      </c>
      <c r="S8">
        <v>6.6</v>
      </c>
      <c r="T8">
        <v>4.7916666666666663E-2</v>
      </c>
      <c r="U8">
        <v>66</v>
      </c>
    </row>
    <row r="9" spans="1:21" x14ac:dyDescent="0.2">
      <c r="A9">
        <v>220310</v>
      </c>
      <c r="B9">
        <v>16</v>
      </c>
      <c r="C9">
        <v>8.72E-2</v>
      </c>
      <c r="D9">
        <v>3</v>
      </c>
      <c r="E9">
        <v>0.1018</v>
      </c>
      <c r="F9">
        <v>1.4600000000000002E-2</v>
      </c>
      <c r="G9">
        <v>4866.6666666666679</v>
      </c>
      <c r="H9">
        <v>8.8700000000000001E-2</v>
      </c>
      <c r="I9">
        <v>1.5000000000000013E-3</v>
      </c>
      <c r="K9">
        <v>4366.666666666667</v>
      </c>
      <c r="L9">
        <v>9465</v>
      </c>
      <c r="N9">
        <v>9465</v>
      </c>
      <c r="O9">
        <v>552</v>
      </c>
      <c r="P9">
        <v>4.3055555555555562E-2</v>
      </c>
      <c r="Q9">
        <v>1656</v>
      </c>
      <c r="R9">
        <v>5.05</v>
      </c>
    </row>
    <row r="10" spans="1:21" x14ac:dyDescent="0.2">
      <c r="A10">
        <v>220311</v>
      </c>
      <c r="B10">
        <v>17</v>
      </c>
      <c r="C10">
        <v>8.7499999999999994E-2</v>
      </c>
      <c r="D10">
        <v>3</v>
      </c>
      <c r="E10">
        <v>0.1031</v>
      </c>
      <c r="F10">
        <v>1.5600000000000003E-2</v>
      </c>
      <c r="G10">
        <v>5200.0000000000009</v>
      </c>
      <c r="H10">
        <v>8.8499999999999995E-2</v>
      </c>
      <c r="I10">
        <v>1.0000000000000009E-3</v>
      </c>
      <c r="K10">
        <v>4866.6666666666679</v>
      </c>
      <c r="L10">
        <v>8625</v>
      </c>
      <c r="N10">
        <v>8625</v>
      </c>
      <c r="O10">
        <v>557</v>
      </c>
      <c r="P10">
        <v>4.3055555555555562E-2</v>
      </c>
      <c r="Q10">
        <v>1671</v>
      </c>
      <c r="R10">
        <v>5.15</v>
      </c>
    </row>
    <row r="11" spans="1:21" x14ac:dyDescent="0.2">
      <c r="A11">
        <v>220315</v>
      </c>
      <c r="B11">
        <v>21</v>
      </c>
      <c r="C11">
        <v>8.8999999999999996E-2</v>
      </c>
      <c r="D11">
        <v>3</v>
      </c>
      <c r="E11">
        <v>0.1042</v>
      </c>
      <c r="F11">
        <v>1.5200000000000005E-2</v>
      </c>
      <c r="G11">
        <v>5066.6666666666679</v>
      </c>
      <c r="H11">
        <v>9.11E-2</v>
      </c>
      <c r="I11">
        <v>2.1000000000000046E-3</v>
      </c>
      <c r="K11">
        <v>4366.666666666667</v>
      </c>
      <c r="L11">
        <v>7905</v>
      </c>
      <c r="N11">
        <v>7905</v>
      </c>
      <c r="O11">
        <v>1170</v>
      </c>
      <c r="Q11">
        <v>1170</v>
      </c>
      <c r="R11">
        <v>5.0999999999999996</v>
      </c>
    </row>
    <row r="12" spans="1:21" x14ac:dyDescent="0.2">
      <c r="A12">
        <v>220317</v>
      </c>
      <c r="B12">
        <v>23</v>
      </c>
      <c r="C12">
        <v>8.7300000000000003E-2</v>
      </c>
      <c r="D12">
        <v>3</v>
      </c>
      <c r="E12">
        <v>0.1051</v>
      </c>
      <c r="F12">
        <v>1.7799999999999996E-2</v>
      </c>
      <c r="G12">
        <v>5933.3333333333321</v>
      </c>
      <c r="H12">
        <v>8.9099999999999999E-2</v>
      </c>
      <c r="I12">
        <v>1.799999999999996E-3</v>
      </c>
      <c r="K12">
        <v>5333.333333333333</v>
      </c>
      <c r="L12">
        <v>7660</v>
      </c>
      <c r="N12">
        <v>7660</v>
      </c>
      <c r="O12">
        <v>1155</v>
      </c>
      <c r="Q12">
        <v>1155</v>
      </c>
    </row>
    <row r="13" spans="1:21" x14ac:dyDescent="0.2">
      <c r="A13">
        <v>220321</v>
      </c>
      <c r="B13">
        <v>27</v>
      </c>
      <c r="C13">
        <v>8.72E-2</v>
      </c>
      <c r="D13">
        <v>3</v>
      </c>
      <c r="E13">
        <v>0.1033</v>
      </c>
      <c r="F13">
        <v>1.6100000000000003E-2</v>
      </c>
      <c r="G13">
        <v>5366.6666666666679</v>
      </c>
      <c r="L13">
        <v>7470</v>
      </c>
      <c r="N13">
        <v>7470</v>
      </c>
      <c r="O13">
        <v>1210</v>
      </c>
      <c r="Q13">
        <v>1210</v>
      </c>
    </row>
    <row r="14" spans="1:21" x14ac:dyDescent="0.2">
      <c r="A14">
        <v>220324</v>
      </c>
      <c r="B14">
        <v>30</v>
      </c>
      <c r="C14">
        <v>8.8099999999999998E-2</v>
      </c>
      <c r="D14">
        <v>3</v>
      </c>
      <c r="E14">
        <v>0.1051</v>
      </c>
      <c r="F14">
        <v>1.7000000000000001E-2</v>
      </c>
      <c r="G14">
        <v>5666.666666666667</v>
      </c>
      <c r="H14">
        <v>8.9399999999999993E-2</v>
      </c>
      <c r="I14">
        <v>1.2999999999999956E-3</v>
      </c>
      <c r="K14">
        <v>5233.3333333333358</v>
      </c>
    </row>
    <row r="17" spans="1:21" x14ac:dyDescent="0.2">
      <c r="B17" t="s">
        <v>0</v>
      </c>
      <c r="C17" t="s">
        <v>1</v>
      </c>
      <c r="H17" t="s">
        <v>2</v>
      </c>
      <c r="L17" t="s">
        <v>3</v>
      </c>
      <c r="O17" t="s">
        <v>4</v>
      </c>
      <c r="R17" t="s">
        <v>49</v>
      </c>
      <c r="S17" t="s">
        <v>5</v>
      </c>
    </row>
    <row r="18" spans="1:21" x14ac:dyDescent="0.2">
      <c r="A18" t="s">
        <v>6</v>
      </c>
      <c r="B18" t="s">
        <v>7</v>
      </c>
      <c r="C18" t="s">
        <v>8</v>
      </c>
      <c r="D18" t="s">
        <v>9</v>
      </c>
      <c r="E18" t="s">
        <v>10</v>
      </c>
      <c r="F18" t="s">
        <v>11</v>
      </c>
      <c r="G18" t="s">
        <v>12</v>
      </c>
      <c r="H18" t="s">
        <v>13</v>
      </c>
      <c r="I18" t="s">
        <v>14</v>
      </c>
      <c r="J18" t="s">
        <v>15</v>
      </c>
      <c r="K18" t="s">
        <v>16</v>
      </c>
      <c r="L18" t="s">
        <v>17</v>
      </c>
      <c r="M18" t="s">
        <v>18</v>
      </c>
      <c r="N18" t="s">
        <v>19</v>
      </c>
      <c r="O18" t="s">
        <v>17</v>
      </c>
      <c r="P18" t="s">
        <v>18</v>
      </c>
      <c r="Q18" t="s">
        <v>20</v>
      </c>
      <c r="S18" t="s">
        <v>21</v>
      </c>
      <c r="T18" t="s">
        <v>18</v>
      </c>
      <c r="U18" t="s">
        <v>19</v>
      </c>
    </row>
    <row r="19" spans="1:21" x14ac:dyDescent="0.2">
      <c r="A19">
        <v>220222</v>
      </c>
      <c r="B19">
        <v>0</v>
      </c>
      <c r="C19">
        <v>8.8200000000000001E-2</v>
      </c>
      <c r="D19">
        <v>2</v>
      </c>
      <c r="E19">
        <v>0.10390000000000001</v>
      </c>
      <c r="F19">
        <v>1.5700000000000006E-2</v>
      </c>
      <c r="G19">
        <v>7850.0000000000027</v>
      </c>
      <c r="H19">
        <v>8.7999999999999995E-2</v>
      </c>
      <c r="I19">
        <v>-2.0000000000000573E-4</v>
      </c>
      <c r="K19">
        <v>7950.0000000000055</v>
      </c>
      <c r="L19">
        <v>4210</v>
      </c>
      <c r="M19">
        <v>4.2361111111111106E-2</v>
      </c>
      <c r="N19">
        <v>8420</v>
      </c>
      <c r="O19">
        <v>249</v>
      </c>
      <c r="P19">
        <v>4.3055555555555562E-2</v>
      </c>
      <c r="Q19">
        <v>747</v>
      </c>
    </row>
    <row r="20" spans="1:21" x14ac:dyDescent="0.2">
      <c r="A20">
        <v>240222</v>
      </c>
      <c r="B20">
        <v>2</v>
      </c>
      <c r="C20">
        <v>8.7099999999999997E-2</v>
      </c>
      <c r="D20">
        <v>2</v>
      </c>
      <c r="E20">
        <v>0.1045</v>
      </c>
      <c r="F20">
        <v>1.7399999999999999E-2</v>
      </c>
      <c r="G20">
        <v>8700</v>
      </c>
      <c r="H20">
        <v>8.8300000000000003E-2</v>
      </c>
      <c r="I20">
        <v>1.2000000000000066E-3</v>
      </c>
      <c r="K20">
        <v>8099.9999999999964</v>
      </c>
      <c r="L20">
        <v>5825</v>
      </c>
      <c r="M20">
        <v>4.2361111111111106E-2</v>
      </c>
      <c r="N20">
        <v>11650</v>
      </c>
      <c r="O20">
        <v>252</v>
      </c>
      <c r="P20">
        <v>4.3055555555555562E-2</v>
      </c>
      <c r="Q20">
        <v>756</v>
      </c>
    </row>
    <row r="21" spans="1:21" x14ac:dyDescent="0.2">
      <c r="A21">
        <v>220228</v>
      </c>
      <c r="B21">
        <v>6</v>
      </c>
      <c r="C21">
        <v>8.8800000000000004E-2</v>
      </c>
      <c r="D21">
        <v>3</v>
      </c>
      <c r="E21">
        <v>0.1066</v>
      </c>
      <c r="F21">
        <v>1.7799999999999996E-2</v>
      </c>
      <c r="G21">
        <v>5933.3333333333321</v>
      </c>
      <c r="H21">
        <v>9.2100000000000001E-2</v>
      </c>
      <c r="I21">
        <v>3.2999999999999974E-3</v>
      </c>
      <c r="K21">
        <v>4833.333333333333</v>
      </c>
      <c r="L21">
        <v>11070</v>
      </c>
      <c r="N21">
        <v>11070</v>
      </c>
      <c r="O21">
        <v>1524</v>
      </c>
      <c r="Q21">
        <v>1524</v>
      </c>
      <c r="R21">
        <v>5.31</v>
      </c>
    </row>
    <row r="22" spans="1:21" x14ac:dyDescent="0.2">
      <c r="A22">
        <v>220304</v>
      </c>
      <c r="B22">
        <v>10</v>
      </c>
      <c r="C22">
        <v>8.6900000000000005E-2</v>
      </c>
      <c r="D22">
        <v>3</v>
      </c>
      <c r="E22">
        <v>0.1032</v>
      </c>
      <c r="F22">
        <v>1.6299999999999995E-2</v>
      </c>
      <c r="G22">
        <v>5433.3333333333321</v>
      </c>
      <c r="H22">
        <v>8.8300000000000003E-2</v>
      </c>
      <c r="I22">
        <v>1.3999999999999985E-3</v>
      </c>
      <c r="K22">
        <v>4966.6666666666652</v>
      </c>
      <c r="L22">
        <v>8835</v>
      </c>
      <c r="N22">
        <v>8835</v>
      </c>
      <c r="O22">
        <v>1655</v>
      </c>
      <c r="Q22">
        <v>1655</v>
      </c>
      <c r="R22">
        <v>5.31</v>
      </c>
    </row>
    <row r="23" spans="1:21" x14ac:dyDescent="0.2">
      <c r="A23">
        <v>220307</v>
      </c>
      <c r="B23">
        <v>13</v>
      </c>
      <c r="C23">
        <v>8.8700000000000001E-2</v>
      </c>
      <c r="D23">
        <v>3</v>
      </c>
      <c r="E23">
        <v>0.10249999999999999</v>
      </c>
      <c r="F23">
        <v>1.3799999999999993E-2</v>
      </c>
      <c r="G23">
        <v>4599.9999999999973</v>
      </c>
      <c r="H23">
        <v>0.09</v>
      </c>
      <c r="I23">
        <v>1.2999999999999956E-3</v>
      </c>
      <c r="K23">
        <v>4166.6666666666661</v>
      </c>
      <c r="L23">
        <v>8805</v>
      </c>
      <c r="N23">
        <v>8805</v>
      </c>
    </row>
    <row r="24" spans="1:21" x14ac:dyDescent="0.2">
      <c r="A24">
        <v>220310</v>
      </c>
      <c r="B24">
        <v>16</v>
      </c>
      <c r="C24">
        <v>8.8599999999999998E-2</v>
      </c>
      <c r="D24">
        <v>3</v>
      </c>
      <c r="E24">
        <v>0.10390000000000001</v>
      </c>
      <c r="F24">
        <v>1.5300000000000008E-2</v>
      </c>
      <c r="G24">
        <v>5100.0000000000027</v>
      </c>
      <c r="H24">
        <v>8.9899999999999994E-2</v>
      </c>
      <c r="I24">
        <v>1.2999999999999956E-3</v>
      </c>
      <c r="K24">
        <v>4666.6666666666706</v>
      </c>
      <c r="L24">
        <v>8810</v>
      </c>
      <c r="N24">
        <v>8810</v>
      </c>
      <c r="O24">
        <v>590</v>
      </c>
      <c r="P24">
        <v>4.3055555555555562E-2</v>
      </c>
      <c r="Q24">
        <v>1770</v>
      </c>
      <c r="R24">
        <v>5.0599999999999996</v>
      </c>
    </row>
    <row r="25" spans="1:21" x14ac:dyDescent="0.2">
      <c r="A25">
        <v>220311</v>
      </c>
      <c r="B25">
        <v>17</v>
      </c>
      <c r="C25">
        <v>8.8900000000000007E-2</v>
      </c>
      <c r="D25">
        <v>3</v>
      </c>
      <c r="E25">
        <v>0.10249999999999999</v>
      </c>
      <c r="F25">
        <v>1.3599999999999987E-2</v>
      </c>
      <c r="G25">
        <v>4533.3333333333294</v>
      </c>
      <c r="H25">
        <v>9.0399999999999994E-2</v>
      </c>
      <c r="I25">
        <v>1.4999999999999875E-3</v>
      </c>
      <c r="K25">
        <v>4033.333333333333</v>
      </c>
      <c r="L25">
        <v>8525</v>
      </c>
      <c r="N25">
        <v>8525</v>
      </c>
      <c r="R25">
        <v>5.0999999999999996</v>
      </c>
    </row>
    <row r="26" spans="1:21" x14ac:dyDescent="0.2">
      <c r="A26">
        <v>220315</v>
      </c>
      <c r="B26">
        <v>21</v>
      </c>
      <c r="C26">
        <v>8.7400000000000005E-2</v>
      </c>
      <c r="D26">
        <v>3</v>
      </c>
      <c r="E26">
        <v>0.1018</v>
      </c>
      <c r="F26">
        <v>1.4399999999999996E-2</v>
      </c>
      <c r="G26">
        <v>4799.9999999999991</v>
      </c>
      <c r="H26">
        <v>8.9200000000000002E-2</v>
      </c>
      <c r="I26">
        <v>1.799999999999996E-3</v>
      </c>
      <c r="K26">
        <v>4200</v>
      </c>
      <c r="L26">
        <v>8295</v>
      </c>
      <c r="N26">
        <v>8295</v>
      </c>
      <c r="O26">
        <v>1300</v>
      </c>
      <c r="Q26">
        <v>1300</v>
      </c>
      <c r="R26">
        <v>5.08</v>
      </c>
    </row>
    <row r="27" spans="1:21" x14ac:dyDescent="0.2">
      <c r="A27">
        <v>220317</v>
      </c>
      <c r="B27">
        <v>23</v>
      </c>
      <c r="C27">
        <v>8.8099999999999998E-2</v>
      </c>
      <c r="D27">
        <v>3</v>
      </c>
      <c r="E27">
        <v>0.104</v>
      </c>
      <c r="F27">
        <v>1.5899999999999997E-2</v>
      </c>
      <c r="G27">
        <v>5299.9999999999991</v>
      </c>
      <c r="H27">
        <v>8.9599999999999999E-2</v>
      </c>
      <c r="I27">
        <v>1.5000000000000013E-3</v>
      </c>
      <c r="K27">
        <v>4799.9999999999991</v>
      </c>
      <c r="L27">
        <v>7895</v>
      </c>
      <c r="N27">
        <v>7895</v>
      </c>
      <c r="O27">
        <v>488</v>
      </c>
      <c r="P27">
        <v>4.3055555555555562E-2</v>
      </c>
      <c r="Q27">
        <v>1464</v>
      </c>
    </row>
    <row r="28" spans="1:21" x14ac:dyDescent="0.2">
      <c r="A28">
        <v>220321</v>
      </c>
      <c r="B28">
        <v>27</v>
      </c>
      <c r="C28">
        <v>8.7599999999999997E-2</v>
      </c>
      <c r="D28">
        <v>3</v>
      </c>
      <c r="E28">
        <v>0.1038</v>
      </c>
      <c r="F28">
        <v>1.6200000000000006E-2</v>
      </c>
      <c r="G28">
        <v>5400.0000000000018</v>
      </c>
      <c r="H28">
        <v>8.9200000000000002E-2</v>
      </c>
      <c r="I28">
        <v>1.6000000000000042E-3</v>
      </c>
      <c r="K28">
        <v>4866.6666666666679</v>
      </c>
      <c r="L28">
        <v>7640</v>
      </c>
      <c r="N28">
        <v>7640</v>
      </c>
      <c r="O28">
        <v>1565</v>
      </c>
      <c r="Q28">
        <v>1565</v>
      </c>
    </row>
    <row r="29" spans="1:21" x14ac:dyDescent="0.2">
      <c r="A29">
        <v>220324</v>
      </c>
      <c r="B29">
        <v>30</v>
      </c>
      <c r="C29">
        <v>8.77E-2</v>
      </c>
      <c r="D29">
        <v>2</v>
      </c>
      <c r="E29">
        <v>9.7699999999999995E-2</v>
      </c>
      <c r="F29">
        <v>9.999999999999995E-3</v>
      </c>
      <c r="G29">
        <v>4999.9999999999973</v>
      </c>
      <c r="H29">
        <v>8.7800000000000003E-2</v>
      </c>
      <c r="I29">
        <v>1.0000000000000286E-4</v>
      </c>
      <c r="K29">
        <v>4949.9999999999964</v>
      </c>
    </row>
    <row r="31" spans="1:21" x14ac:dyDescent="0.2">
      <c r="B31" t="s">
        <v>0</v>
      </c>
      <c r="C31" t="s">
        <v>1</v>
      </c>
      <c r="H31" t="s">
        <v>2</v>
      </c>
      <c r="L31" t="s">
        <v>3</v>
      </c>
      <c r="O31" t="s">
        <v>4</v>
      </c>
      <c r="R31" t="s">
        <v>49</v>
      </c>
      <c r="S31" t="s">
        <v>5</v>
      </c>
    </row>
    <row r="32" spans="1:21" x14ac:dyDescent="0.2">
      <c r="A32" t="s">
        <v>6</v>
      </c>
      <c r="B32" t="s">
        <v>7</v>
      </c>
      <c r="C32" t="s">
        <v>8</v>
      </c>
      <c r="D32" t="s">
        <v>9</v>
      </c>
      <c r="E32" t="s">
        <v>10</v>
      </c>
      <c r="F32" t="s">
        <v>11</v>
      </c>
      <c r="G32" t="s">
        <v>12</v>
      </c>
      <c r="H32" t="s">
        <v>13</v>
      </c>
      <c r="I32" t="s">
        <v>14</v>
      </c>
      <c r="J32" t="s">
        <v>15</v>
      </c>
      <c r="K32" t="s">
        <v>16</v>
      </c>
      <c r="L32" t="s">
        <v>17</v>
      </c>
      <c r="M32" t="s">
        <v>18</v>
      </c>
      <c r="N32" t="s">
        <v>19</v>
      </c>
      <c r="O32" t="s">
        <v>17</v>
      </c>
      <c r="P32" t="s">
        <v>18</v>
      </c>
      <c r="Q32" t="s">
        <v>20</v>
      </c>
      <c r="S32" t="s">
        <v>21</v>
      </c>
      <c r="T32" t="s">
        <v>18</v>
      </c>
      <c r="U32" t="s">
        <v>19</v>
      </c>
    </row>
    <row r="33" spans="1:21" x14ac:dyDescent="0.2">
      <c r="A33">
        <v>220222</v>
      </c>
      <c r="B33">
        <v>0</v>
      </c>
      <c r="C33">
        <v>8.8200000000000001E-2</v>
      </c>
      <c r="D33">
        <v>2</v>
      </c>
      <c r="E33">
        <v>0.1048</v>
      </c>
      <c r="F33">
        <v>1.6600000000000004E-2</v>
      </c>
      <c r="G33">
        <v>8300.0000000000018</v>
      </c>
      <c r="H33">
        <v>8.9099999999999999E-2</v>
      </c>
      <c r="I33">
        <v>8.9999999999999802E-4</v>
      </c>
      <c r="K33">
        <v>7850.0000000000027</v>
      </c>
      <c r="L33">
        <v>4595</v>
      </c>
      <c r="M33">
        <v>4.2361111111111106E-2</v>
      </c>
      <c r="N33">
        <v>9190</v>
      </c>
      <c r="O33">
        <v>150</v>
      </c>
      <c r="P33">
        <v>4.3055555555555562E-2</v>
      </c>
      <c r="Q33">
        <v>450</v>
      </c>
    </row>
    <row r="34" spans="1:21" x14ac:dyDescent="0.2">
      <c r="A34">
        <v>220224</v>
      </c>
      <c r="B34">
        <v>2</v>
      </c>
      <c r="C34">
        <v>8.7599999999999997E-2</v>
      </c>
      <c r="D34">
        <v>2</v>
      </c>
      <c r="E34">
        <v>0.1024</v>
      </c>
      <c r="F34">
        <v>1.4800000000000008E-2</v>
      </c>
      <c r="G34">
        <v>7400.0000000000036</v>
      </c>
      <c r="H34">
        <v>8.8300000000000003E-2</v>
      </c>
      <c r="I34">
        <v>7.0000000000000617E-4</v>
      </c>
      <c r="K34">
        <v>7050.0000000000009</v>
      </c>
      <c r="L34">
        <v>4805</v>
      </c>
      <c r="M34">
        <v>4.2361111111111106E-2</v>
      </c>
      <c r="N34">
        <v>9610</v>
      </c>
      <c r="O34">
        <v>299</v>
      </c>
      <c r="P34">
        <v>4.3055555555555562E-2</v>
      </c>
      <c r="Q34">
        <v>897</v>
      </c>
    </row>
    <row r="35" spans="1:21" x14ac:dyDescent="0.2">
      <c r="A35">
        <v>220228</v>
      </c>
      <c r="B35">
        <v>6</v>
      </c>
      <c r="C35">
        <v>8.6900000000000005E-2</v>
      </c>
      <c r="D35">
        <v>3</v>
      </c>
      <c r="E35">
        <v>0.1048</v>
      </c>
      <c r="F35">
        <v>1.7899999999999999E-2</v>
      </c>
      <c r="G35">
        <v>5966.6666666666661</v>
      </c>
      <c r="H35">
        <v>9.0499999999999997E-2</v>
      </c>
      <c r="I35">
        <v>3.5999999999999921E-3</v>
      </c>
      <c r="K35">
        <v>4766.6666666666688</v>
      </c>
      <c r="L35">
        <v>10400</v>
      </c>
      <c r="N35">
        <v>10400</v>
      </c>
      <c r="O35">
        <v>1519</v>
      </c>
      <c r="Q35">
        <v>1519</v>
      </c>
      <c r="R35">
        <v>5.34</v>
      </c>
    </row>
    <row r="36" spans="1:21" x14ac:dyDescent="0.2">
      <c r="A36">
        <v>220304</v>
      </c>
      <c r="B36">
        <v>10</v>
      </c>
      <c r="L36">
        <v>8785</v>
      </c>
      <c r="N36">
        <v>8785</v>
      </c>
      <c r="O36">
        <v>1653</v>
      </c>
      <c r="Q36">
        <v>1653</v>
      </c>
      <c r="R36">
        <v>5.33</v>
      </c>
    </row>
    <row r="37" spans="1:21" x14ac:dyDescent="0.2">
      <c r="A37">
        <v>220307</v>
      </c>
      <c r="B37">
        <v>13</v>
      </c>
      <c r="C37">
        <v>8.9599999999999999E-2</v>
      </c>
      <c r="D37">
        <v>3</v>
      </c>
      <c r="E37">
        <v>0.10340000000000001</v>
      </c>
      <c r="F37">
        <v>1.3800000000000007E-2</v>
      </c>
      <c r="G37">
        <v>4600.0000000000027</v>
      </c>
      <c r="H37">
        <v>9.06E-2</v>
      </c>
      <c r="I37">
        <v>1.0000000000000009E-3</v>
      </c>
      <c r="K37">
        <v>4266.6666666666688</v>
      </c>
      <c r="L37">
        <v>9265</v>
      </c>
      <c r="N37">
        <v>9265</v>
      </c>
      <c r="O37">
        <v>428</v>
      </c>
      <c r="P37">
        <v>4.3055555555555562E-2</v>
      </c>
      <c r="Q37">
        <v>1284</v>
      </c>
      <c r="R37">
        <v>4.97</v>
      </c>
      <c r="S37">
        <v>6.54</v>
      </c>
      <c r="T37">
        <v>4.7916666666666663E-2</v>
      </c>
      <c r="U37">
        <v>65.400000000000006</v>
      </c>
    </row>
    <row r="38" spans="1:21" x14ac:dyDescent="0.2">
      <c r="A38">
        <v>220310</v>
      </c>
      <c r="B38">
        <v>16</v>
      </c>
      <c r="C38">
        <v>8.6499999999999994E-2</v>
      </c>
      <c r="D38">
        <v>3</v>
      </c>
      <c r="E38">
        <v>0.1003</v>
      </c>
      <c r="F38">
        <v>1.3800000000000007E-2</v>
      </c>
      <c r="G38">
        <v>4600.0000000000027</v>
      </c>
      <c r="H38">
        <v>8.7499999999999994E-2</v>
      </c>
      <c r="I38">
        <v>1.0000000000000009E-3</v>
      </c>
      <c r="K38">
        <v>4266.6666666666688</v>
      </c>
      <c r="L38">
        <v>8530</v>
      </c>
      <c r="N38">
        <v>8530</v>
      </c>
      <c r="O38">
        <v>572</v>
      </c>
      <c r="P38">
        <v>4.3055555555555562E-2</v>
      </c>
      <c r="Q38">
        <v>1716</v>
      </c>
      <c r="R38">
        <v>5.15</v>
      </c>
    </row>
    <row r="39" spans="1:21" x14ac:dyDescent="0.2">
      <c r="A39">
        <v>220311</v>
      </c>
      <c r="B39">
        <v>17</v>
      </c>
      <c r="C39">
        <v>8.6400000000000005E-2</v>
      </c>
      <c r="D39">
        <v>3</v>
      </c>
      <c r="E39">
        <v>0.1007</v>
      </c>
      <c r="F39">
        <v>1.4299999999999993E-2</v>
      </c>
      <c r="G39">
        <v>4766.6666666666652</v>
      </c>
      <c r="H39">
        <v>8.7300000000000003E-2</v>
      </c>
      <c r="I39">
        <v>8.9999999999999802E-4</v>
      </c>
      <c r="K39">
        <v>4466.6666666666652</v>
      </c>
      <c r="L39">
        <v>8440</v>
      </c>
      <c r="N39">
        <v>8440</v>
      </c>
      <c r="O39">
        <v>547</v>
      </c>
      <c r="P39">
        <v>4.3055555555555562E-2</v>
      </c>
      <c r="Q39">
        <v>1641</v>
      </c>
      <c r="R39">
        <v>5.18</v>
      </c>
    </row>
    <row r="40" spans="1:21" x14ac:dyDescent="0.2">
      <c r="A40">
        <v>220315</v>
      </c>
      <c r="B40">
        <v>21</v>
      </c>
      <c r="C40">
        <v>8.6900000000000005E-2</v>
      </c>
      <c r="D40">
        <v>3</v>
      </c>
      <c r="E40">
        <v>0.1022</v>
      </c>
      <c r="F40">
        <v>1.5299999999999994E-2</v>
      </c>
      <c r="G40">
        <v>5099.9999999999982</v>
      </c>
      <c r="H40">
        <v>8.9399999999999993E-2</v>
      </c>
      <c r="I40">
        <v>2.4999999999999883E-3</v>
      </c>
      <c r="K40">
        <v>4266.6666666666688</v>
      </c>
      <c r="L40">
        <v>7940</v>
      </c>
      <c r="N40">
        <v>7940</v>
      </c>
      <c r="O40">
        <v>1240</v>
      </c>
      <c r="Q40">
        <v>1240</v>
      </c>
      <c r="R40">
        <v>5.17</v>
      </c>
    </row>
    <row r="41" spans="1:21" x14ac:dyDescent="0.2">
      <c r="A41">
        <v>220317</v>
      </c>
      <c r="B41">
        <v>23</v>
      </c>
      <c r="C41">
        <v>8.8700000000000001E-2</v>
      </c>
      <c r="D41">
        <v>3</v>
      </c>
      <c r="E41">
        <v>0.1066</v>
      </c>
      <c r="F41">
        <v>1.7899999999999999E-2</v>
      </c>
      <c r="G41">
        <v>5966.6666666666661</v>
      </c>
      <c r="H41">
        <v>9.1700000000000004E-2</v>
      </c>
      <c r="I41">
        <v>3.0000000000000027E-3</v>
      </c>
      <c r="K41">
        <v>4966.6666666666652</v>
      </c>
      <c r="L41">
        <v>7740</v>
      </c>
      <c r="N41">
        <v>7740</v>
      </c>
      <c r="O41">
        <v>449</v>
      </c>
      <c r="P41">
        <v>4.3055555555555562E-2</v>
      </c>
      <c r="Q41">
        <v>1347</v>
      </c>
    </row>
    <row r="42" spans="1:21" x14ac:dyDescent="0.2">
      <c r="A42">
        <v>220321</v>
      </c>
      <c r="B42">
        <v>27</v>
      </c>
      <c r="C42">
        <v>8.72E-2</v>
      </c>
      <c r="D42">
        <v>3</v>
      </c>
      <c r="E42">
        <v>0.1038</v>
      </c>
      <c r="F42">
        <v>1.6600000000000004E-2</v>
      </c>
      <c r="G42">
        <v>5533.3333333333348</v>
      </c>
      <c r="H42">
        <v>8.8800000000000004E-2</v>
      </c>
      <c r="I42">
        <v>1.6000000000000042E-3</v>
      </c>
      <c r="K42">
        <v>5000</v>
      </c>
      <c r="L42">
        <v>7675</v>
      </c>
      <c r="N42">
        <v>7675</v>
      </c>
      <c r="O42">
        <v>1625</v>
      </c>
      <c r="Q42">
        <v>1625</v>
      </c>
    </row>
    <row r="43" spans="1:21" x14ac:dyDescent="0.2">
      <c r="A43">
        <v>220324</v>
      </c>
      <c r="B43">
        <v>30</v>
      </c>
      <c r="C43">
        <v>8.7099999999999997E-2</v>
      </c>
      <c r="D43">
        <v>2</v>
      </c>
      <c r="E43">
        <v>9.74E-2</v>
      </c>
      <c r="F43">
        <v>1.0300000000000004E-2</v>
      </c>
      <c r="G43">
        <v>5150.0000000000018</v>
      </c>
      <c r="H43">
        <v>8.8700000000000001E-2</v>
      </c>
      <c r="I43">
        <v>1.6000000000000042E-3</v>
      </c>
      <c r="K43">
        <v>4350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2224-5E0F-4ACE-82E6-9535A88FF6F8}">
  <dimension ref="B3:AB35"/>
  <sheetViews>
    <sheetView workbookViewId="0">
      <selection activeCell="J21" sqref="J21"/>
    </sheetView>
  </sheetViews>
  <sheetFormatPr defaultRowHeight="14.25" x14ac:dyDescent="0.2"/>
  <sheetData>
    <row r="3" spans="2:28" x14ac:dyDescent="0.2">
      <c r="C3" t="s">
        <v>0</v>
      </c>
      <c r="D3" t="s">
        <v>120</v>
      </c>
      <c r="I3" t="s">
        <v>121</v>
      </c>
      <c r="N3" t="s">
        <v>3</v>
      </c>
      <c r="S3" t="s">
        <v>41</v>
      </c>
      <c r="X3" t="s">
        <v>122</v>
      </c>
    </row>
    <row r="4" spans="2:28" x14ac:dyDescent="0.2">
      <c r="B4" t="s">
        <v>6</v>
      </c>
      <c r="C4" t="s">
        <v>7</v>
      </c>
      <c r="D4" t="s">
        <v>128</v>
      </c>
      <c r="E4" t="s">
        <v>129</v>
      </c>
      <c r="F4" t="s">
        <v>130</v>
      </c>
      <c r="G4" t="s">
        <v>83</v>
      </c>
      <c r="H4" t="s">
        <v>107</v>
      </c>
      <c r="I4" t="s">
        <v>128</v>
      </c>
      <c r="J4" t="s">
        <v>129</v>
      </c>
      <c r="K4" t="s">
        <v>130</v>
      </c>
      <c r="L4" t="s">
        <v>83</v>
      </c>
      <c r="M4" t="s">
        <v>107</v>
      </c>
      <c r="N4" t="s">
        <v>128</v>
      </c>
      <c r="O4" t="s">
        <v>129</v>
      </c>
      <c r="P4" t="s">
        <v>130</v>
      </c>
      <c r="Q4" t="s">
        <v>83</v>
      </c>
      <c r="R4" t="s">
        <v>107</v>
      </c>
      <c r="S4" t="s">
        <v>128</v>
      </c>
      <c r="T4" t="s">
        <v>129</v>
      </c>
      <c r="U4" t="s">
        <v>130</v>
      </c>
      <c r="V4" t="s">
        <v>83</v>
      </c>
      <c r="W4" t="s">
        <v>107</v>
      </c>
      <c r="X4" t="s">
        <v>128</v>
      </c>
      <c r="Y4" t="s">
        <v>129</v>
      </c>
      <c r="Z4" t="s">
        <v>130</v>
      </c>
      <c r="AA4" t="s">
        <v>83</v>
      </c>
      <c r="AB4" t="s">
        <v>107</v>
      </c>
    </row>
    <row r="5" spans="2:28" x14ac:dyDescent="0.2">
      <c r="B5">
        <v>220222</v>
      </c>
      <c r="C5">
        <v>0</v>
      </c>
      <c r="D5">
        <v>7366.6666666666642</v>
      </c>
      <c r="E5">
        <v>7850.0000000000027</v>
      </c>
      <c r="F5">
        <v>8300.0000000000018</v>
      </c>
      <c r="G5">
        <v>7838.8888888888905</v>
      </c>
      <c r="H5">
        <v>381.11273080316835</v>
      </c>
      <c r="I5">
        <v>6866.6666666666697</v>
      </c>
      <c r="J5">
        <v>7950.0000000000055</v>
      </c>
      <c r="K5">
        <v>7850.0000000000027</v>
      </c>
      <c r="L5">
        <v>7555.5555555555593</v>
      </c>
      <c r="M5">
        <v>488.82575349908802</v>
      </c>
      <c r="N5">
        <v>9040</v>
      </c>
      <c r="O5">
        <v>8420</v>
      </c>
      <c r="P5">
        <v>9190</v>
      </c>
      <c r="Q5">
        <v>8883.3333333333339</v>
      </c>
      <c r="R5">
        <v>333.29999833316663</v>
      </c>
      <c r="S5">
        <v>495</v>
      </c>
      <c r="T5">
        <v>747</v>
      </c>
      <c r="U5">
        <v>450</v>
      </c>
      <c r="V5">
        <v>564</v>
      </c>
      <c r="W5">
        <v>130.6981254647518</v>
      </c>
      <c r="X5">
        <v>8545</v>
      </c>
      <c r="Y5">
        <v>7673</v>
      </c>
      <c r="Z5">
        <v>8740</v>
      </c>
      <c r="AA5">
        <v>8319.3333333333339</v>
      </c>
      <c r="AB5">
        <v>463.90827637463946</v>
      </c>
    </row>
    <row r="6" spans="2:28" x14ac:dyDescent="0.2">
      <c r="B6">
        <v>240222</v>
      </c>
      <c r="C6">
        <v>2</v>
      </c>
      <c r="D6">
        <v>7249.9999999999991</v>
      </c>
      <c r="E6">
        <v>8700</v>
      </c>
      <c r="F6">
        <v>7400.0000000000036</v>
      </c>
      <c r="G6">
        <v>7783.3333333333348</v>
      </c>
      <c r="H6">
        <v>651.06749948748654</v>
      </c>
      <c r="I6">
        <v>6800.0000000000009</v>
      </c>
      <c r="J6">
        <v>8099.9999999999964</v>
      </c>
      <c r="K6">
        <v>7050.0000000000009</v>
      </c>
      <c r="L6">
        <v>7316.6666666666652</v>
      </c>
      <c r="M6">
        <v>563.22484162385797</v>
      </c>
      <c r="N6">
        <v>10330</v>
      </c>
      <c r="O6">
        <v>11650</v>
      </c>
      <c r="P6">
        <v>9610</v>
      </c>
      <c r="Q6">
        <v>10530</v>
      </c>
      <c r="R6">
        <v>844.74848327771508</v>
      </c>
      <c r="S6">
        <v>711</v>
      </c>
      <c r="T6">
        <v>756</v>
      </c>
      <c r="U6">
        <v>897</v>
      </c>
      <c r="V6">
        <v>788</v>
      </c>
      <c r="W6">
        <v>79.233831158161223</v>
      </c>
      <c r="X6">
        <v>9619</v>
      </c>
      <c r="Y6">
        <v>10894</v>
      </c>
      <c r="Z6">
        <v>8713</v>
      </c>
      <c r="AA6">
        <v>9742</v>
      </c>
      <c r="AB6">
        <v>894.62729669958094</v>
      </c>
    </row>
    <row r="7" spans="2:28" x14ac:dyDescent="0.2">
      <c r="B7">
        <v>220228</v>
      </c>
      <c r="C7">
        <v>6</v>
      </c>
      <c r="D7">
        <v>4933.3333333333312</v>
      </c>
      <c r="E7">
        <v>5933.3333333333321</v>
      </c>
      <c r="F7">
        <v>5966.6666666666661</v>
      </c>
      <c r="G7">
        <v>5611.1111111111095</v>
      </c>
      <c r="H7">
        <v>479.4544224531432</v>
      </c>
      <c r="I7">
        <v>3733.3333333333339</v>
      </c>
      <c r="J7">
        <v>4833.333333333333</v>
      </c>
      <c r="K7">
        <v>4766.6666666666688</v>
      </c>
      <c r="L7">
        <v>4444.4444444444453</v>
      </c>
      <c r="M7">
        <v>503.56751971665005</v>
      </c>
      <c r="N7">
        <v>10755</v>
      </c>
      <c r="O7">
        <v>11070</v>
      </c>
      <c r="P7">
        <v>10400</v>
      </c>
      <c r="Q7">
        <v>10741.666666666666</v>
      </c>
      <c r="R7">
        <v>273.68879325897791</v>
      </c>
      <c r="S7">
        <v>1539</v>
      </c>
      <c r="T7">
        <v>1524</v>
      </c>
      <c r="U7">
        <v>1519</v>
      </c>
      <c r="V7">
        <v>1527.3333333333333</v>
      </c>
      <c r="W7">
        <v>8.4983658559879736</v>
      </c>
      <c r="X7">
        <v>9216</v>
      </c>
      <c r="Y7">
        <v>9546</v>
      </c>
      <c r="Z7">
        <v>8881</v>
      </c>
      <c r="AA7">
        <v>9214.3333333333339</v>
      </c>
      <c r="AB7">
        <v>271.48767109310057</v>
      </c>
    </row>
    <row r="8" spans="2:28" x14ac:dyDescent="0.2">
      <c r="B8">
        <v>220304</v>
      </c>
      <c r="C8">
        <v>10</v>
      </c>
      <c r="D8">
        <v>5199.9999999999964</v>
      </c>
      <c r="E8">
        <v>5433.3333333333321</v>
      </c>
      <c r="F8">
        <v>0</v>
      </c>
      <c r="G8">
        <v>5316.6666666666642</v>
      </c>
      <c r="H8">
        <v>2508.1103013923876</v>
      </c>
      <c r="I8">
        <v>4200</v>
      </c>
      <c r="J8">
        <v>4966.6666666666652</v>
      </c>
      <c r="L8">
        <v>4583.3333333333321</v>
      </c>
      <c r="M8">
        <v>383.33333333333258</v>
      </c>
      <c r="N8">
        <v>9875</v>
      </c>
      <c r="O8">
        <v>8835</v>
      </c>
      <c r="P8">
        <v>8785</v>
      </c>
      <c r="Q8">
        <v>9165</v>
      </c>
      <c r="R8">
        <v>502.46061205498154</v>
      </c>
      <c r="S8">
        <v>1664</v>
      </c>
      <c r="T8">
        <v>1655</v>
      </c>
      <c r="U8">
        <v>1653</v>
      </c>
      <c r="V8">
        <v>1657.3333333333333</v>
      </c>
      <c r="W8">
        <v>4.7842333648024411</v>
      </c>
      <c r="X8">
        <v>8211</v>
      </c>
      <c r="Y8">
        <v>7180</v>
      </c>
      <c r="Z8">
        <v>7132</v>
      </c>
      <c r="AA8">
        <v>7507.666666666667</v>
      </c>
      <c r="AB8">
        <v>497.71767990386769</v>
      </c>
    </row>
    <row r="9" spans="2:28" x14ac:dyDescent="0.2">
      <c r="B9">
        <v>220307</v>
      </c>
      <c r="C9">
        <v>13</v>
      </c>
      <c r="D9">
        <v>4633.3333333333321</v>
      </c>
      <c r="E9">
        <v>4599.9999999999973</v>
      </c>
      <c r="F9">
        <v>4600.0000000000027</v>
      </c>
      <c r="G9">
        <v>4611.1111111111104</v>
      </c>
      <c r="H9">
        <v>15.71348402636715</v>
      </c>
      <c r="I9">
        <v>4400.0000000000009</v>
      </c>
      <c r="J9">
        <v>4166.6666666666661</v>
      </c>
      <c r="K9">
        <v>4266.6666666666688</v>
      </c>
      <c r="L9">
        <v>4277.7777777777783</v>
      </c>
      <c r="M9">
        <v>95.581391856029725</v>
      </c>
      <c r="N9">
        <v>8595</v>
      </c>
      <c r="O9">
        <v>8805</v>
      </c>
      <c r="P9">
        <v>9265</v>
      </c>
      <c r="Q9">
        <v>8888.3333333333339</v>
      </c>
      <c r="R9">
        <v>279.80151695244416</v>
      </c>
      <c r="S9">
        <v>1866</v>
      </c>
      <c r="T9">
        <v>0</v>
      </c>
      <c r="U9">
        <v>1284</v>
      </c>
      <c r="V9">
        <v>1575</v>
      </c>
      <c r="W9">
        <v>779.55371848256868</v>
      </c>
      <c r="X9">
        <v>6729</v>
      </c>
      <c r="Z9">
        <v>7981</v>
      </c>
      <c r="AA9">
        <v>7355</v>
      </c>
      <c r="AB9">
        <v>626</v>
      </c>
    </row>
    <row r="10" spans="2:28" x14ac:dyDescent="0.2">
      <c r="B10">
        <v>220310</v>
      </c>
      <c r="C10">
        <v>16</v>
      </c>
      <c r="D10">
        <v>4866.6666666666679</v>
      </c>
      <c r="E10">
        <v>5100.0000000000027</v>
      </c>
      <c r="F10">
        <v>4600.0000000000027</v>
      </c>
      <c r="G10">
        <v>4855.5555555555584</v>
      </c>
      <c r="H10">
        <v>204.27529234278038</v>
      </c>
      <c r="I10">
        <v>4366.666666666667</v>
      </c>
      <c r="J10">
        <v>4666.6666666666706</v>
      </c>
      <c r="K10">
        <v>4266.6666666666688</v>
      </c>
      <c r="L10">
        <v>4433.3333333333358</v>
      </c>
      <c r="M10">
        <v>169.96731711976057</v>
      </c>
      <c r="N10">
        <v>9465</v>
      </c>
      <c r="O10">
        <v>8810</v>
      </c>
      <c r="P10">
        <v>8530</v>
      </c>
      <c r="Q10">
        <v>8935</v>
      </c>
      <c r="R10">
        <v>391.81202976257208</v>
      </c>
      <c r="S10">
        <v>1656</v>
      </c>
      <c r="T10">
        <v>1770</v>
      </c>
      <c r="U10">
        <v>1716</v>
      </c>
      <c r="V10">
        <v>1714</v>
      </c>
      <c r="W10">
        <v>46.561786907291264</v>
      </c>
      <c r="X10">
        <v>7809</v>
      </c>
      <c r="Y10">
        <v>7040</v>
      </c>
      <c r="Z10">
        <v>6814</v>
      </c>
      <c r="AA10">
        <v>7221</v>
      </c>
      <c r="AB10">
        <v>425.89278776080096</v>
      </c>
    </row>
    <row r="11" spans="2:28" x14ac:dyDescent="0.2">
      <c r="B11">
        <v>220311</v>
      </c>
      <c r="C11">
        <v>17</v>
      </c>
      <c r="D11">
        <v>5200.0000000000009</v>
      </c>
      <c r="E11">
        <v>4533.3333333333294</v>
      </c>
      <c r="F11">
        <v>4766.6666666666652</v>
      </c>
      <c r="G11">
        <v>4833.3333333333321</v>
      </c>
      <c r="H11">
        <v>276.21784210346982</v>
      </c>
      <c r="I11">
        <v>4866.6666666666679</v>
      </c>
      <c r="J11">
        <v>4033.333333333333</v>
      </c>
      <c r="K11">
        <v>4466.6666666666652</v>
      </c>
      <c r="L11">
        <v>4455.5555555555547</v>
      </c>
      <c r="M11">
        <v>340.2976184691907</v>
      </c>
      <c r="N11">
        <v>8625</v>
      </c>
      <c r="O11">
        <v>8525</v>
      </c>
      <c r="P11">
        <v>8440</v>
      </c>
      <c r="Q11">
        <v>8530</v>
      </c>
      <c r="R11">
        <v>75.608641481425039</v>
      </c>
      <c r="S11">
        <v>1671</v>
      </c>
      <c r="T11">
        <v>0</v>
      </c>
      <c r="U11">
        <v>1641</v>
      </c>
      <c r="V11">
        <v>1656</v>
      </c>
      <c r="W11">
        <v>780.74195480965409</v>
      </c>
      <c r="X11">
        <v>6954</v>
      </c>
      <c r="Z11">
        <v>6799</v>
      </c>
      <c r="AA11">
        <v>6876.5</v>
      </c>
      <c r="AB11">
        <v>77.5</v>
      </c>
    </row>
    <row r="12" spans="2:28" x14ac:dyDescent="0.2">
      <c r="B12">
        <v>220315</v>
      </c>
      <c r="C12">
        <v>21</v>
      </c>
      <c r="D12">
        <v>5066.6666666666679</v>
      </c>
      <c r="E12">
        <v>4799.9999999999991</v>
      </c>
      <c r="F12">
        <v>5099.9999999999982</v>
      </c>
      <c r="G12">
        <v>4988.8888888888887</v>
      </c>
      <c r="H12">
        <v>134.25606637327317</v>
      </c>
      <c r="I12">
        <v>4366.666666666667</v>
      </c>
      <c r="J12">
        <v>4200</v>
      </c>
      <c r="K12">
        <v>4266.6666666666688</v>
      </c>
      <c r="L12">
        <v>4277.7777777777783</v>
      </c>
      <c r="M12">
        <v>68.493488921877528</v>
      </c>
      <c r="N12">
        <v>7905</v>
      </c>
      <c r="O12">
        <v>8295</v>
      </c>
      <c r="P12">
        <v>7940</v>
      </c>
      <c r="Q12">
        <v>8046.666666666667</v>
      </c>
      <c r="R12">
        <v>176.17857102635634</v>
      </c>
      <c r="S12">
        <v>1170</v>
      </c>
      <c r="T12">
        <v>1300</v>
      </c>
      <c r="U12">
        <v>1240</v>
      </c>
      <c r="V12">
        <v>1205</v>
      </c>
      <c r="W12">
        <v>53.124591501697424</v>
      </c>
      <c r="X12">
        <v>6735</v>
      </c>
      <c r="Y12">
        <v>6995</v>
      </c>
      <c r="Z12">
        <v>6700</v>
      </c>
      <c r="AA12">
        <v>6810</v>
      </c>
      <c r="AB12">
        <v>131.59280628767922</v>
      </c>
    </row>
    <row r="13" spans="2:28" x14ac:dyDescent="0.2">
      <c r="B13">
        <v>220317</v>
      </c>
      <c r="C13">
        <v>23</v>
      </c>
      <c r="D13">
        <v>5933.3333333333321</v>
      </c>
      <c r="E13">
        <v>5299.9999999999991</v>
      </c>
      <c r="F13">
        <v>5966.6666666666661</v>
      </c>
      <c r="G13">
        <v>5733.333333333333</v>
      </c>
      <c r="H13">
        <v>306.71497204093913</v>
      </c>
      <c r="I13">
        <v>5333.333333333333</v>
      </c>
      <c r="J13">
        <v>4799.9999999999991</v>
      </c>
      <c r="K13">
        <v>4966.6666666666652</v>
      </c>
      <c r="L13">
        <v>5033.3333333333321</v>
      </c>
      <c r="M13">
        <v>222.77708506403835</v>
      </c>
      <c r="N13">
        <v>7660</v>
      </c>
      <c r="O13">
        <v>7895</v>
      </c>
      <c r="P13">
        <v>7740</v>
      </c>
      <c r="Q13">
        <v>7765</v>
      </c>
      <c r="R13">
        <v>97.553404177745975</v>
      </c>
      <c r="S13">
        <v>1155</v>
      </c>
      <c r="T13">
        <v>1464</v>
      </c>
      <c r="U13">
        <v>1347</v>
      </c>
      <c r="V13">
        <v>1251</v>
      </c>
      <c r="W13">
        <v>127.38131731144878</v>
      </c>
      <c r="X13">
        <v>6505</v>
      </c>
      <c r="Y13">
        <v>6431</v>
      </c>
      <c r="Z13">
        <v>6393</v>
      </c>
      <c r="AA13">
        <v>6443</v>
      </c>
      <c r="AB13">
        <v>46.504480070920764</v>
      </c>
    </row>
    <row r="14" spans="2:28" x14ac:dyDescent="0.2">
      <c r="B14">
        <v>220321</v>
      </c>
      <c r="C14">
        <v>27</v>
      </c>
      <c r="D14">
        <v>5366.6666666666679</v>
      </c>
      <c r="E14">
        <v>5400.0000000000018</v>
      </c>
      <c r="F14">
        <v>5533.3333333333348</v>
      </c>
      <c r="G14">
        <v>5433.3333333333348</v>
      </c>
      <c r="H14">
        <v>72.008229982309615</v>
      </c>
      <c r="J14">
        <v>4866.6666666666679</v>
      </c>
      <c r="K14">
        <v>5000</v>
      </c>
      <c r="L14">
        <v>4933.3333333333339</v>
      </c>
      <c r="M14">
        <v>66.66666666666606</v>
      </c>
      <c r="N14">
        <v>7470</v>
      </c>
      <c r="O14">
        <v>7640</v>
      </c>
      <c r="P14">
        <v>7675</v>
      </c>
      <c r="Q14">
        <v>7595</v>
      </c>
      <c r="S14">
        <v>1210</v>
      </c>
      <c r="T14">
        <v>1565</v>
      </c>
      <c r="U14">
        <v>1625</v>
      </c>
      <c r="V14">
        <v>1417.5</v>
      </c>
      <c r="X14">
        <v>6260</v>
      </c>
      <c r="Y14">
        <v>6075</v>
      </c>
      <c r="Z14">
        <v>6050</v>
      </c>
      <c r="AA14">
        <v>6128.333333333333</v>
      </c>
      <c r="AB14">
        <v>93.660142121514099</v>
      </c>
    </row>
    <row r="15" spans="2:28" x14ac:dyDescent="0.2">
      <c r="B15">
        <v>220324</v>
      </c>
      <c r="C15">
        <v>30</v>
      </c>
      <c r="D15">
        <v>5666.666666666667</v>
      </c>
      <c r="E15">
        <v>4999.9999999999973</v>
      </c>
      <c r="F15">
        <v>5150.0000000000018</v>
      </c>
      <c r="G15">
        <v>5272.2222222222217</v>
      </c>
      <c r="H15">
        <v>285.55771724214293</v>
      </c>
      <c r="I15">
        <v>5233.3333333333358</v>
      </c>
      <c r="J15">
        <v>4949.9999999999964</v>
      </c>
      <c r="K15">
        <v>4350</v>
      </c>
      <c r="L15">
        <v>4844.4444444444443</v>
      </c>
      <c r="M15">
        <v>368.26252042614607</v>
      </c>
    </row>
    <row r="20" spans="2:8" x14ac:dyDescent="0.2">
      <c r="C20" s="12" t="s">
        <v>51</v>
      </c>
      <c r="D20" s="12" t="s">
        <v>52</v>
      </c>
      <c r="E20" s="12" t="s">
        <v>53</v>
      </c>
      <c r="F20" s="12" t="s">
        <v>54</v>
      </c>
      <c r="G20" s="12" t="s">
        <v>55</v>
      </c>
      <c r="H20" s="12" t="s">
        <v>56</v>
      </c>
    </row>
    <row r="21" spans="2:8" x14ac:dyDescent="0.2">
      <c r="B21" t="s">
        <v>128</v>
      </c>
      <c r="C21" s="12">
        <v>1.5543792535535197E-2</v>
      </c>
      <c r="D21" s="12">
        <v>9.155858584017542E-3</v>
      </c>
      <c r="E21" s="12">
        <v>2.1931726487052852E-2</v>
      </c>
      <c r="F21" s="12">
        <v>9385.2802075999316</v>
      </c>
      <c r="G21" s="12">
        <v>8541.4226165470463</v>
      </c>
      <c r="H21" s="12">
        <v>10229.137798652817</v>
      </c>
    </row>
    <row r="22" spans="2:8" x14ac:dyDescent="0.2">
      <c r="B22" t="s">
        <v>129</v>
      </c>
      <c r="C22" s="12">
        <v>1.6501665776297629E-2</v>
      </c>
      <c r="D22" s="12">
        <v>2.4869853564559521E-3</v>
      </c>
      <c r="E22" s="12">
        <v>3.0516346196139306E-2</v>
      </c>
      <c r="F22" s="12">
        <v>9502.7670676160524</v>
      </c>
      <c r="G22" s="12">
        <v>7676.7625202561067</v>
      </c>
      <c r="H22" s="12">
        <v>11328.771614975998</v>
      </c>
    </row>
    <row r="23" spans="2:8" x14ac:dyDescent="0.2">
      <c r="B23" t="s">
        <v>130</v>
      </c>
      <c r="C23" s="12">
        <v>1.4552161118057657E-2</v>
      </c>
      <c r="D23" s="12">
        <v>9.8636917974029691E-3</v>
      </c>
      <c r="E23" s="12">
        <v>1.9240630438712346E-2</v>
      </c>
      <c r="F23" s="12">
        <v>8937.9605280165306</v>
      </c>
      <c r="G23" s="12">
        <v>8342.9666952267853</v>
      </c>
      <c r="H23" s="12">
        <v>9532.9543608062759</v>
      </c>
    </row>
    <row r="24" spans="2:8" x14ac:dyDescent="0.2">
      <c r="B24" t="s">
        <v>131</v>
      </c>
      <c r="C24" s="12">
        <v>1.8653389326929091E-2</v>
      </c>
      <c r="D24" s="12">
        <v>1.1790245425837651E-2</v>
      </c>
      <c r="E24" s="12">
        <v>2.5516533228020531E-2</v>
      </c>
      <c r="F24" s="12">
        <v>9770.9135759135115</v>
      </c>
      <c r="G24" s="12">
        <v>8852.9259383059489</v>
      </c>
      <c r="H24" s="12">
        <v>10688.901213521074</v>
      </c>
    </row>
    <row r="25" spans="2:8" x14ac:dyDescent="0.2">
      <c r="B25" t="s">
        <v>132</v>
      </c>
      <c r="C25" s="12">
        <v>1.4469316590688204E-2</v>
      </c>
      <c r="D25" s="12">
        <v>1.0362982141245706E-2</v>
      </c>
      <c r="E25" s="12">
        <v>1.8575651040130703E-2</v>
      </c>
      <c r="F25" s="12">
        <v>9064.545668941746</v>
      </c>
      <c r="G25" s="12">
        <v>8537.7161882472828</v>
      </c>
      <c r="H25" s="12">
        <v>9591.3751496362092</v>
      </c>
    </row>
    <row r="30" spans="2:8" x14ac:dyDescent="0.2">
      <c r="C30" s="12" t="s">
        <v>57</v>
      </c>
      <c r="D30" s="12" t="s">
        <v>58</v>
      </c>
      <c r="E30" s="12" t="s">
        <v>59</v>
      </c>
      <c r="F30" s="12" t="s">
        <v>60</v>
      </c>
      <c r="G30" s="12" t="s">
        <v>61</v>
      </c>
      <c r="H30" s="12" t="s">
        <v>62</v>
      </c>
    </row>
    <row r="31" spans="2:8" x14ac:dyDescent="0.2">
      <c r="B31" t="s">
        <v>128</v>
      </c>
      <c r="C31" s="12">
        <v>9.3883703940405676E-3</v>
      </c>
      <c r="D31" s="12">
        <v>-7.5961651153449265E-3</v>
      </c>
      <c r="E31" s="12">
        <v>2.6372905903426062E-2</v>
      </c>
      <c r="F31" s="12">
        <v>5686.6456213383244</v>
      </c>
      <c r="G31" s="12">
        <v>4220.4678690697046</v>
      </c>
      <c r="H31" s="12">
        <v>7152.8233736069442</v>
      </c>
    </row>
    <row r="32" spans="2:8" x14ac:dyDescent="0.2">
      <c r="B32" t="s">
        <v>129</v>
      </c>
      <c r="C32" s="12">
        <v>2.10621384387773E-2</v>
      </c>
      <c r="D32" s="12">
        <v>6.2760431869934939E-3</v>
      </c>
      <c r="E32" s="12">
        <v>3.5848233690561108E-2</v>
      </c>
      <c r="F32" s="12">
        <v>7002.8930079547863</v>
      </c>
      <c r="G32" s="12">
        <v>5497.0141374748027</v>
      </c>
      <c r="H32" s="12">
        <v>8508.7718784347708</v>
      </c>
    </row>
    <row r="33" spans="2:8" x14ac:dyDescent="0.2">
      <c r="B33" t="s">
        <v>130</v>
      </c>
      <c r="C33" s="12">
        <v>1.8634752847023844E-2</v>
      </c>
      <c r="D33" s="12">
        <v>5.6782953241882959E-3</v>
      </c>
      <c r="E33" s="12">
        <v>3.1591210369859395E-2</v>
      </c>
      <c r="F33" s="12">
        <v>6714.189407840583</v>
      </c>
      <c r="G33" s="12">
        <v>5376.8664790071716</v>
      </c>
      <c r="H33" s="12">
        <v>8051.5123366739945</v>
      </c>
    </row>
    <row r="34" spans="2:8" x14ac:dyDescent="0.2">
      <c r="B34" t="s">
        <v>131</v>
      </c>
      <c r="C34" s="12">
        <v>1.5594563153820991E-2</v>
      </c>
      <c r="D34" s="12">
        <v>1.8438124233273144E-3</v>
      </c>
      <c r="E34" s="12">
        <v>2.9345313884314668E-2</v>
      </c>
      <c r="F34" s="12">
        <v>6363.5174385431592</v>
      </c>
      <c r="G34" s="12">
        <v>5018.6209030626987</v>
      </c>
      <c r="H34" s="12">
        <v>7708.4139740236196</v>
      </c>
    </row>
    <row r="35" spans="2:8" x14ac:dyDescent="0.2">
      <c r="B35" t="s">
        <v>132</v>
      </c>
      <c r="C35" s="12">
        <v>1.6596007009539202E-2</v>
      </c>
      <c r="D35" s="12">
        <v>9.1524891229380102E-3</v>
      </c>
      <c r="E35" s="12">
        <v>2.4039524896140394E-2</v>
      </c>
      <c r="F35" s="12">
        <v>6456.8058802611522</v>
      </c>
      <c r="G35" s="12">
        <v>5734.0679162190199</v>
      </c>
      <c r="H35" s="12">
        <v>7179.5438443032845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CA4C-28F7-455E-A13D-D20B30586D2E}">
  <dimension ref="A2:AD71"/>
  <sheetViews>
    <sheetView topLeftCell="A7" workbookViewId="0">
      <selection activeCell="I24" sqref="I24"/>
    </sheetView>
  </sheetViews>
  <sheetFormatPr defaultRowHeight="14.25" x14ac:dyDescent="0.2"/>
  <cols>
    <col min="2" max="2" width="9.875" bestFit="1" customWidth="1"/>
  </cols>
  <sheetData>
    <row r="2" spans="1:30" x14ac:dyDescent="0.2">
      <c r="A2" t="s">
        <v>79</v>
      </c>
      <c r="B2">
        <v>7.4783720313601156</v>
      </c>
      <c r="X2" t="s">
        <v>69</v>
      </c>
      <c r="Y2" t="s">
        <v>70</v>
      </c>
    </row>
    <row r="3" spans="1:30" x14ac:dyDescent="0.2">
      <c r="A3" t="s">
        <v>80</v>
      </c>
      <c r="B3">
        <v>488.35298378365638</v>
      </c>
      <c r="U3" t="s">
        <v>79</v>
      </c>
      <c r="V3">
        <v>7.4783954478741004</v>
      </c>
      <c r="X3">
        <v>6.4619171986891573</v>
      </c>
      <c r="Y3">
        <v>8.3891836694383617</v>
      </c>
      <c r="AA3">
        <f>V3-X3</f>
        <v>1.0164782491849431</v>
      </c>
      <c r="AB3">
        <f>Y3-V3</f>
        <v>0.91078822156426131</v>
      </c>
      <c r="AD3">
        <f>AVERAGE(AA3:AB3)</f>
        <v>0.96363323537460222</v>
      </c>
    </row>
    <row r="4" spans="1:30" x14ac:dyDescent="0.2">
      <c r="A4" t="s">
        <v>81</v>
      </c>
      <c r="B4">
        <v>0.1</v>
      </c>
      <c r="U4" t="s">
        <v>80</v>
      </c>
      <c r="V4">
        <v>488.35298378365638</v>
      </c>
      <c r="X4">
        <v>433.90987869819071</v>
      </c>
      <c r="Y4">
        <v>567.94223484693589</v>
      </c>
      <c r="AA4">
        <f>V4-X4</f>
        <v>54.443105085465675</v>
      </c>
      <c r="AB4">
        <f>Y4-V4</f>
        <v>79.589251063279505</v>
      </c>
    </row>
    <row r="5" spans="1:30" x14ac:dyDescent="0.2">
      <c r="A5" t="s">
        <v>82</v>
      </c>
      <c r="B5">
        <f>0.008*24</f>
        <v>0.192</v>
      </c>
      <c r="F5" t="s">
        <v>7</v>
      </c>
      <c r="G5" t="s">
        <v>83</v>
      </c>
      <c r="H5" t="s">
        <v>84</v>
      </c>
      <c r="I5" t="s">
        <v>85</v>
      </c>
      <c r="N5" t="s">
        <v>86</v>
      </c>
      <c r="O5" t="s">
        <v>87</v>
      </c>
      <c r="P5" t="s">
        <v>88</v>
      </c>
      <c r="S5" t="s">
        <v>89</v>
      </c>
      <c r="U5" t="s">
        <v>81</v>
      </c>
      <c r="V5">
        <v>0.1</v>
      </c>
    </row>
    <row r="6" spans="1:30" x14ac:dyDescent="0.2">
      <c r="A6" t="s">
        <v>90</v>
      </c>
      <c r="B6">
        <v>7555.5555555555593</v>
      </c>
      <c r="F6">
        <v>0</v>
      </c>
      <c r="G6">
        <v>8319.3333333333339</v>
      </c>
      <c r="H6">
        <f>N6</f>
        <v>8969.3973817825645</v>
      </c>
      <c r="I6">
        <v>9064.545668941746</v>
      </c>
      <c r="J6">
        <v>8319.2999999999993</v>
      </c>
      <c r="M6">
        <v>0</v>
      </c>
      <c r="N6">
        <f>B7</f>
        <v>8969.3973817825645</v>
      </c>
      <c r="O6">
        <f>B6</f>
        <v>7555.5555555555593</v>
      </c>
      <c r="R6">
        <f>G6</f>
        <v>8319.3333333333339</v>
      </c>
      <c r="S6">
        <f t="shared" ref="S6:S33" si="0">((R6-N6)^2)^0.5</f>
        <v>650.06404844923054</v>
      </c>
      <c r="U6" t="s">
        <v>82</v>
      </c>
      <c r="V6">
        <v>0.192</v>
      </c>
    </row>
    <row r="7" spans="1:30" x14ac:dyDescent="0.2">
      <c r="A7" t="s">
        <v>91</v>
      </c>
      <c r="B7">
        <v>8969.3973817825645</v>
      </c>
      <c r="F7">
        <v>2</v>
      </c>
      <c r="G7">
        <v>9742</v>
      </c>
      <c r="H7">
        <f>N8</f>
        <v>8697.5241618002492</v>
      </c>
      <c r="I7">
        <v>8805.989284685862</v>
      </c>
      <c r="J7">
        <v>7946.9</v>
      </c>
      <c r="M7">
        <v>1</v>
      </c>
      <c r="N7">
        <f>B7-B2*B6*(B7/(B3*B6+B7))</f>
        <v>8832.3779850865067</v>
      </c>
      <c r="O7">
        <f>B6+$B$4*(N7-N6)-$B$5*O6</f>
        <v>6091.1869492192855</v>
      </c>
      <c r="P7">
        <f>N7-$B$2*O7*(N7/($B$3*O7+N7))</f>
        <v>8697.5241618002492</v>
      </c>
      <c r="U7" t="s">
        <v>90</v>
      </c>
      <c r="V7">
        <v>7555.5555555555593</v>
      </c>
    </row>
    <row r="8" spans="1:30" x14ac:dyDescent="0.2">
      <c r="A8" t="s">
        <v>92</v>
      </c>
      <c r="B8">
        <f>S35</f>
        <v>3628.4959952488425</v>
      </c>
      <c r="F8">
        <v>6</v>
      </c>
      <c r="G8">
        <v>9214.3333333333339</v>
      </c>
      <c r="H8">
        <f>N12</f>
        <v>8179.4293906371995</v>
      </c>
      <c r="I8">
        <v>8310.791276672182</v>
      </c>
      <c r="J8">
        <v>7412.3</v>
      </c>
      <c r="M8">
        <v>2</v>
      </c>
      <c r="N8">
        <f>P7</f>
        <v>8697.5241618002492</v>
      </c>
      <c r="O8">
        <f>O7+$B$4*(N8-N7)-$B$5*O7</f>
        <v>4908.1936726405565</v>
      </c>
      <c r="P8">
        <f>N8-$B$2*O8*(N8/($B$3*O8+N8))</f>
        <v>8564.8165503875698</v>
      </c>
      <c r="R8">
        <v>9742</v>
      </c>
      <c r="S8">
        <f t="shared" si="0"/>
        <v>1044.4758381997508</v>
      </c>
      <c r="U8" t="s">
        <v>91</v>
      </c>
      <c r="V8">
        <v>8969.3493506539562</v>
      </c>
      <c r="X8">
        <v>8717.8779356530249</v>
      </c>
      <c r="Y8">
        <v>9306.5250457784114</v>
      </c>
      <c r="AA8">
        <f>V8-X8</f>
        <v>251.4714150009313</v>
      </c>
      <c r="AB8">
        <f>Y8-V8</f>
        <v>337.17569512445516</v>
      </c>
    </row>
    <row r="9" spans="1:30" x14ac:dyDescent="0.2">
      <c r="F9">
        <v>10</v>
      </c>
      <c r="G9">
        <v>7507.666666666667</v>
      </c>
      <c r="H9">
        <f>N16</f>
        <v>7695.1993390783164</v>
      </c>
      <c r="I9">
        <v>7843.4403462795435</v>
      </c>
      <c r="J9">
        <v>7103.2</v>
      </c>
      <c r="M9">
        <v>3</v>
      </c>
      <c r="N9">
        <f t="shared" ref="N9:N33" si="1">P8</f>
        <v>8564.8165503875698</v>
      </c>
      <c r="O9">
        <f>O8+$B$4*(N9-N8)-$B$5*O8</f>
        <v>3952.5497263523016</v>
      </c>
      <c r="P9">
        <f>N9-$B$2*O9*(N9/($B$3*O9+N9))</f>
        <v>8434.2390030664174</v>
      </c>
      <c r="U9" t="s">
        <v>92</v>
      </c>
      <c r="V9">
        <v>3628.5078660974077</v>
      </c>
    </row>
    <row r="10" spans="1:30" x14ac:dyDescent="0.2">
      <c r="A10" t="s">
        <v>93</v>
      </c>
      <c r="B10">
        <f>B8/(COUNT(F6:F15))</f>
        <v>362.84959952488424</v>
      </c>
      <c r="F10">
        <v>13</v>
      </c>
      <c r="G10">
        <v>7355</v>
      </c>
      <c r="H10">
        <f>N19</f>
        <v>7354.9934073536342</v>
      </c>
      <c r="I10">
        <v>7510.2564125960507</v>
      </c>
      <c r="J10">
        <v>6971.8</v>
      </c>
      <c r="M10">
        <v>4</v>
      </c>
      <c r="N10">
        <f t="shared" si="1"/>
        <v>8434.2390030664174</v>
      </c>
      <c r="O10">
        <f t="shared" ref="O10:O33" si="2">O9+$B$4*(N10-N9)-$B$5*O9</f>
        <v>3180.6024241605442</v>
      </c>
      <c r="P10">
        <f t="shared" ref="P10:P33" si="3">N10-$B$2*O10*(N10/($B$3*O10+N10))</f>
        <v>8305.7791947676906</v>
      </c>
    </row>
    <row r="11" spans="1:30" x14ac:dyDescent="0.2">
      <c r="F11">
        <v>16</v>
      </c>
      <c r="G11">
        <v>7221</v>
      </c>
      <c r="H11">
        <f>N22</f>
        <v>7036.8633850929637</v>
      </c>
      <c r="I11">
        <v>7191.2259025077874</v>
      </c>
      <c r="J11">
        <v>6894.2</v>
      </c>
      <c r="M11">
        <v>5</v>
      </c>
      <c r="N11">
        <f t="shared" si="1"/>
        <v>8305.7791947676906</v>
      </c>
      <c r="O11">
        <f t="shared" si="2"/>
        <v>2557.080777891847</v>
      </c>
      <c r="P11">
        <f t="shared" si="3"/>
        <v>8179.4293906371995</v>
      </c>
    </row>
    <row r="12" spans="1:30" x14ac:dyDescent="0.2">
      <c r="A12" t="s">
        <v>94</v>
      </c>
      <c r="F12">
        <v>17</v>
      </c>
      <c r="G12">
        <v>6876.5</v>
      </c>
      <c r="H12">
        <f>N23</f>
        <v>6936.5961788416898</v>
      </c>
      <c r="I12">
        <v>7087.9229421639202</v>
      </c>
      <c r="J12">
        <v>6876.5</v>
      </c>
      <c r="M12">
        <v>6</v>
      </c>
      <c r="N12">
        <f t="shared" si="1"/>
        <v>8179.4293906371995</v>
      </c>
      <c r="O12">
        <f t="shared" si="2"/>
        <v>2053.4862881235631</v>
      </c>
      <c r="P12">
        <f t="shared" si="3"/>
        <v>8055.1874213439478</v>
      </c>
      <c r="R12">
        <v>9214.3333333333339</v>
      </c>
      <c r="S12">
        <f t="shared" si="0"/>
        <v>1034.9039426961344</v>
      </c>
    </row>
    <row r="13" spans="1:30" x14ac:dyDescent="0.2">
      <c r="B13">
        <f>B8+B10*2</f>
        <v>4354.1951942986107</v>
      </c>
      <c r="F13">
        <v>21</v>
      </c>
      <c r="G13">
        <v>6810</v>
      </c>
      <c r="H13">
        <f>N27</f>
        <v>6577.7686093327293</v>
      </c>
      <c r="I13">
        <v>6689.339068343178</v>
      </c>
      <c r="J13">
        <v>6831.1</v>
      </c>
      <c r="M13">
        <v>7</v>
      </c>
      <c r="N13">
        <f t="shared" si="1"/>
        <v>8055.1874213439478</v>
      </c>
      <c r="O13">
        <f t="shared" si="2"/>
        <v>1646.7927238745137</v>
      </c>
      <c r="P13">
        <f t="shared" si="3"/>
        <v>7933.0579345365304</v>
      </c>
    </row>
    <row r="14" spans="1:30" x14ac:dyDescent="0.2">
      <c r="F14">
        <v>23</v>
      </c>
      <c r="G14">
        <v>6443</v>
      </c>
      <c r="H14">
        <f>N29</f>
        <v>6443.0374279454354</v>
      </c>
      <c r="I14">
        <v>6498.5328894412896</v>
      </c>
      <c r="J14">
        <v>6818.5</v>
      </c>
      <c r="M14">
        <v>8</v>
      </c>
      <c r="N14">
        <f t="shared" si="1"/>
        <v>7933.0579345365304</v>
      </c>
      <c r="O14">
        <f t="shared" si="2"/>
        <v>1318.3955722098653</v>
      </c>
      <c r="P14">
        <f t="shared" si="3"/>
        <v>7813.0540188681271</v>
      </c>
    </row>
    <row r="15" spans="1:30" x14ac:dyDescent="0.2">
      <c r="F15">
        <v>27</v>
      </c>
      <c r="G15">
        <v>6128.333333333333</v>
      </c>
      <c r="H15">
        <f>N33</f>
        <v>6363.3446218176123</v>
      </c>
      <c r="I15">
        <v>6133.0929101468437</v>
      </c>
      <c r="J15">
        <v>6804.3</v>
      </c>
      <c r="M15">
        <v>9</v>
      </c>
      <c r="N15">
        <f t="shared" si="1"/>
        <v>7813.0540188681271</v>
      </c>
      <c r="O15">
        <f t="shared" si="2"/>
        <v>1053.2632307787308</v>
      </c>
      <c r="P15">
        <f t="shared" si="3"/>
        <v>7695.1993390783164</v>
      </c>
    </row>
    <row r="16" spans="1:30" x14ac:dyDescent="0.2">
      <c r="M16">
        <v>10</v>
      </c>
      <c r="N16">
        <f t="shared" si="1"/>
        <v>7695.1993390783164</v>
      </c>
      <c r="O16">
        <f t="shared" si="2"/>
        <v>839.25122249023332</v>
      </c>
      <c r="P16">
        <f t="shared" si="3"/>
        <v>7579.5309848469306</v>
      </c>
      <c r="R16">
        <v>7507.666666666667</v>
      </c>
      <c r="S16">
        <f t="shared" si="0"/>
        <v>187.5326724116494</v>
      </c>
    </row>
    <row r="17" spans="8:19" x14ac:dyDescent="0.2">
      <c r="H17">
        <f>RSQ(G6:G15,H6:H15)</f>
        <v>0.80606796537434222</v>
      </c>
      <c r="I17">
        <f>RSQ(G6:G15,I6:I15)</f>
        <v>0.81154307566875739</v>
      </c>
      <c r="M17">
        <v>11</v>
      </c>
      <c r="N17">
        <f t="shared" si="1"/>
        <v>7579.5309848469306</v>
      </c>
      <c r="O17">
        <f t="shared" si="2"/>
        <v>666.54815234896989</v>
      </c>
      <c r="P17">
        <f t="shared" si="3"/>
        <v>7466.1033361842092</v>
      </c>
    </row>
    <row r="18" spans="8:19" x14ac:dyDescent="0.2">
      <c r="M18">
        <v>12</v>
      </c>
      <c r="N18">
        <f t="shared" si="1"/>
        <v>7466.1033361842092</v>
      </c>
      <c r="O18">
        <f t="shared" si="2"/>
        <v>527.22814223169553</v>
      </c>
      <c r="P18">
        <f t="shared" si="3"/>
        <v>7354.9934073536342</v>
      </c>
    </row>
    <row r="19" spans="8:19" x14ac:dyDescent="0.2">
      <c r="M19">
        <v>13</v>
      </c>
      <c r="N19">
        <f t="shared" si="1"/>
        <v>7354.9934073536342</v>
      </c>
      <c r="O19">
        <f t="shared" si="2"/>
        <v>414.88934604015247</v>
      </c>
      <c r="P19">
        <f t="shared" si="3"/>
        <v>7246.308390620442</v>
      </c>
      <c r="R19">
        <v>7355</v>
      </c>
      <c r="S19">
        <f t="shared" si="0"/>
        <v>6.5926463657888235E-3</v>
      </c>
    </row>
    <row r="20" spans="8:19" x14ac:dyDescent="0.2">
      <c r="M20">
        <v>14</v>
      </c>
      <c r="N20">
        <f t="shared" si="1"/>
        <v>7246.308390620442</v>
      </c>
      <c r="O20">
        <f t="shared" si="2"/>
        <v>324.36208992712398</v>
      </c>
      <c r="P20">
        <f t="shared" si="3"/>
        <v>7140.1965537246424</v>
      </c>
    </row>
    <row r="21" spans="8:19" x14ac:dyDescent="0.2">
      <c r="M21">
        <v>15</v>
      </c>
      <c r="N21">
        <f t="shared" si="1"/>
        <v>7140.1965537246424</v>
      </c>
      <c r="O21">
        <f t="shared" si="2"/>
        <v>251.47338497153623</v>
      </c>
      <c r="P21">
        <f t="shared" si="3"/>
        <v>7036.8633850929637</v>
      </c>
    </row>
    <row r="22" spans="8:19" x14ac:dyDescent="0.2">
      <c r="M22">
        <v>16</v>
      </c>
      <c r="N22">
        <f t="shared" si="1"/>
        <v>7036.8633850929637</v>
      </c>
      <c r="O22">
        <f t="shared" si="2"/>
        <v>192.85717819383339</v>
      </c>
      <c r="P22">
        <f t="shared" si="3"/>
        <v>6936.5961788416898</v>
      </c>
      <c r="R22">
        <v>7221</v>
      </c>
      <c r="S22">
        <f t="shared" si="0"/>
        <v>184.13661490703635</v>
      </c>
    </row>
    <row r="23" spans="8:19" x14ac:dyDescent="0.2">
      <c r="M23">
        <v>17</v>
      </c>
      <c r="N23">
        <f t="shared" si="1"/>
        <v>6936.5961788416898</v>
      </c>
      <c r="O23">
        <f t="shared" si="2"/>
        <v>145.80187935549</v>
      </c>
      <c r="P23">
        <f>N23-$B$2*O23*(N23/($B$3*O23+N23))</f>
        <v>6839.802578243628</v>
      </c>
      <c r="R23">
        <v>6876.5</v>
      </c>
      <c r="S23">
        <f t="shared" si="0"/>
        <v>60.096178841689834</v>
      </c>
    </row>
    <row r="24" spans="8:19" x14ac:dyDescent="0.2">
      <c r="M24">
        <v>18</v>
      </c>
      <c r="N24">
        <f t="shared" si="1"/>
        <v>6839.802578243628</v>
      </c>
      <c r="O24">
        <f t="shared" si="2"/>
        <v>108.12855845942974</v>
      </c>
      <c r="P24">
        <f t="shared" si="3"/>
        <v>6747.0728176294915</v>
      </c>
    </row>
    <row r="25" spans="8:19" x14ac:dyDescent="0.2">
      <c r="M25">
        <v>19</v>
      </c>
      <c r="N25">
        <f t="shared" si="1"/>
        <v>6747.0728176294915</v>
      </c>
      <c r="O25">
        <f t="shared" si="2"/>
        <v>78.094899173805587</v>
      </c>
      <c r="P25">
        <f t="shared" si="3"/>
        <v>6659.2829512403632</v>
      </c>
    </row>
    <row r="26" spans="8:19" x14ac:dyDescent="0.2">
      <c r="M26">
        <v>20</v>
      </c>
      <c r="N26">
        <f t="shared" si="1"/>
        <v>6659.2829512403632</v>
      </c>
      <c r="O26">
        <f t="shared" si="2"/>
        <v>54.321691893522086</v>
      </c>
      <c r="P26">
        <f t="shared" si="3"/>
        <v>6577.7686093327293</v>
      </c>
    </row>
    <row r="27" spans="8:19" x14ac:dyDescent="0.2">
      <c r="M27">
        <v>21</v>
      </c>
      <c r="N27">
        <f t="shared" si="1"/>
        <v>6577.7686093327293</v>
      </c>
      <c r="O27">
        <f t="shared" si="2"/>
        <v>35.740492859202448</v>
      </c>
      <c r="P27">
        <f t="shared" si="3"/>
        <v>6504.6107667717442</v>
      </c>
      <c r="R27">
        <v>6810</v>
      </c>
      <c r="S27">
        <f t="shared" si="0"/>
        <v>232.23139066727072</v>
      </c>
    </row>
    <row r="28" spans="8:19" x14ac:dyDescent="0.2">
      <c r="M28">
        <v>22</v>
      </c>
      <c r="N28">
        <f t="shared" si="1"/>
        <v>6504.6107667717442</v>
      </c>
      <c r="O28">
        <f t="shared" si="2"/>
        <v>21.562533974137075</v>
      </c>
      <c r="P28">
        <f t="shared" si="3"/>
        <v>6443.0374279454354</v>
      </c>
    </row>
    <row r="29" spans="8:19" x14ac:dyDescent="0.2">
      <c r="M29">
        <v>23</v>
      </c>
      <c r="N29">
        <f t="shared" si="1"/>
        <v>6443.0374279454354</v>
      </c>
      <c r="O29">
        <f t="shared" si="2"/>
        <v>11.265193568471872</v>
      </c>
      <c r="P29">
        <f t="shared" si="3"/>
        <v>6397.5940076896914</v>
      </c>
      <c r="R29">
        <v>6443</v>
      </c>
      <c r="S29">
        <f t="shared" si="0"/>
        <v>3.7427945435410948E-2</v>
      </c>
    </row>
    <row r="30" spans="8:19" x14ac:dyDescent="0.2">
      <c r="M30">
        <v>24</v>
      </c>
      <c r="N30">
        <f t="shared" si="1"/>
        <v>6397.5940076896914</v>
      </c>
      <c r="O30">
        <f t="shared" si="2"/>
        <v>4.5579343777508665</v>
      </c>
      <c r="P30">
        <f t="shared" si="3"/>
        <v>6372.3062972887483</v>
      </c>
    </row>
    <row r="31" spans="8:19" x14ac:dyDescent="0.2">
      <c r="M31">
        <v>25</v>
      </c>
      <c r="N31">
        <f t="shared" si="1"/>
        <v>6372.3062972887483</v>
      </c>
      <c r="O31">
        <f t="shared" si="2"/>
        <v>1.1540399371283927</v>
      </c>
      <c r="P31">
        <f t="shared" si="3"/>
        <v>6364.3772199298746</v>
      </c>
    </row>
    <row r="32" spans="8:19" x14ac:dyDescent="0.2">
      <c r="M32">
        <v>26</v>
      </c>
      <c r="N32">
        <f t="shared" si="1"/>
        <v>6364.3772199298746</v>
      </c>
      <c r="O32">
        <f t="shared" si="2"/>
        <v>0.13955653331237566</v>
      </c>
      <c r="P32">
        <f t="shared" si="3"/>
        <v>6363.3446218176123</v>
      </c>
    </row>
    <row r="33" spans="1:30" x14ac:dyDescent="0.2">
      <c r="M33">
        <v>27</v>
      </c>
      <c r="N33">
        <f t="shared" si="1"/>
        <v>6363.3446218176123</v>
      </c>
      <c r="O33">
        <f t="shared" si="2"/>
        <v>9.5018676901646379E-3</v>
      </c>
      <c r="P33">
        <f t="shared" si="3"/>
        <v>6363.2736150954124</v>
      </c>
      <c r="R33">
        <v>6128.333333333333</v>
      </c>
      <c r="S33">
        <f t="shared" si="0"/>
        <v>235.01128848427925</v>
      </c>
    </row>
    <row r="35" spans="1:30" x14ac:dyDescent="0.2">
      <c r="S35">
        <f>SUM(S6:S33)</f>
        <v>3628.4959952488425</v>
      </c>
    </row>
    <row r="38" spans="1:30" x14ac:dyDescent="0.2">
      <c r="A38" t="s">
        <v>79</v>
      </c>
      <c r="B38">
        <v>7.8759627344370184E-2</v>
      </c>
    </row>
    <row r="39" spans="1:30" x14ac:dyDescent="0.2">
      <c r="A39" t="s">
        <v>80</v>
      </c>
      <c r="B39">
        <v>4604.7581390779933</v>
      </c>
    </row>
    <row r="40" spans="1:30" x14ac:dyDescent="0.2">
      <c r="A40" t="s">
        <v>81</v>
      </c>
      <c r="B40">
        <v>0.1</v>
      </c>
    </row>
    <row r="41" spans="1:30" x14ac:dyDescent="0.2">
      <c r="A41" t="s">
        <v>82</v>
      </c>
      <c r="B41">
        <f>0.008*24</f>
        <v>0.192</v>
      </c>
      <c r="F41" t="s">
        <v>7</v>
      </c>
      <c r="G41" t="s">
        <v>83</v>
      </c>
      <c r="H41" t="s">
        <v>95</v>
      </c>
      <c r="I41" t="s">
        <v>85</v>
      </c>
      <c r="J41" t="s">
        <v>84</v>
      </c>
      <c r="K41" t="s">
        <v>133</v>
      </c>
      <c r="N41" t="s">
        <v>86</v>
      </c>
      <c r="O41" t="s">
        <v>87</v>
      </c>
      <c r="P41" t="s">
        <v>88</v>
      </c>
      <c r="S41" t="s">
        <v>89</v>
      </c>
      <c r="U41" t="s">
        <v>79</v>
      </c>
      <c r="V41">
        <v>7.8759627344370184E-2</v>
      </c>
      <c r="AA41">
        <f>V41-X41</f>
        <v>7.8759627344370184E-2</v>
      </c>
      <c r="AB41">
        <f>Y41-V41</f>
        <v>-7.8759627344370184E-2</v>
      </c>
      <c r="AD41">
        <f>AVERAGE(AA41:AB41)</f>
        <v>0</v>
      </c>
    </row>
    <row r="42" spans="1:30" x14ac:dyDescent="0.2">
      <c r="A42" t="s">
        <v>90</v>
      </c>
      <c r="B42">
        <v>7555.5555555555593</v>
      </c>
      <c r="F42">
        <v>0</v>
      </c>
      <c r="G42">
        <v>8319.3333333333339</v>
      </c>
      <c r="H42">
        <f>B43</f>
        <v>8367.565724215101</v>
      </c>
      <c r="I42">
        <v>9064.545668941746</v>
      </c>
      <c r="J42">
        <v>8969.3493506539562</v>
      </c>
      <c r="K42">
        <v>8319.2999999999993</v>
      </c>
      <c r="L42">
        <v>463.90827637463946</v>
      </c>
      <c r="M42">
        <v>0</v>
      </c>
      <c r="N42">
        <f>B43</f>
        <v>8367.565724215101</v>
      </c>
      <c r="O42">
        <f>B42</f>
        <v>7555.5555555555593</v>
      </c>
      <c r="R42">
        <f>G42</f>
        <v>8319.3333333333339</v>
      </c>
      <c r="S42">
        <f t="shared" ref="S42" si="4">((R42-N42)^2)^0.5</f>
        <v>48.23239088176706</v>
      </c>
      <c r="U42" t="s">
        <v>80</v>
      </c>
      <c r="V42">
        <v>4604.7581390779933</v>
      </c>
      <c r="AA42">
        <f>V42-X42</f>
        <v>4604.7581390779933</v>
      </c>
      <c r="AB42">
        <f>Y42-V42</f>
        <v>-4604.7581390779933</v>
      </c>
    </row>
    <row r="43" spans="1:30" x14ac:dyDescent="0.2">
      <c r="A43" t="s">
        <v>91</v>
      </c>
      <c r="B43">
        <v>8367.565724215101</v>
      </c>
      <c r="F43">
        <v>2</v>
      </c>
      <c r="G43">
        <v>9742</v>
      </c>
      <c r="H43">
        <f>N44</f>
        <v>7680.7025482136678</v>
      </c>
      <c r="I43">
        <v>8805.989284685862</v>
      </c>
      <c r="J43">
        <v>8697.4767378986508</v>
      </c>
      <c r="K43">
        <v>7950.7</v>
      </c>
      <c r="L43">
        <v>894.62729669958094</v>
      </c>
      <c r="M43">
        <v>1</v>
      </c>
      <c r="N43">
        <f>B43-B38*B42*(B43/(B39+B43))</f>
        <v>7983.7246858190038</v>
      </c>
      <c r="O43">
        <f>B42+$B$4*(N43-N42)-$B$5*O42</f>
        <v>6066.5047850492829</v>
      </c>
      <c r="P43">
        <f>N43-$B$38*O43*(N43/($B$39+N43))</f>
        <v>7680.7025482136678</v>
      </c>
      <c r="U43" t="s">
        <v>81</v>
      </c>
      <c r="V43">
        <v>0.1</v>
      </c>
    </row>
    <row r="44" spans="1:30" x14ac:dyDescent="0.2">
      <c r="A44" t="s">
        <v>92</v>
      </c>
      <c r="B44">
        <f>S71</f>
        <v>7656.9994963091776</v>
      </c>
      <c r="F44">
        <v>6</v>
      </c>
      <c r="G44">
        <v>9214.3333333333339</v>
      </c>
      <c r="H44">
        <f>N48</f>
        <v>6978.6033092254156</v>
      </c>
      <c r="I44">
        <v>8310.791276672182</v>
      </c>
      <c r="J44">
        <v>8179.3831924777278</v>
      </c>
      <c r="K44">
        <v>7480.6</v>
      </c>
      <c r="L44">
        <v>271.48767109310057</v>
      </c>
      <c r="M44">
        <v>2</v>
      </c>
      <c r="N44">
        <f>P43</f>
        <v>7680.7025482136678</v>
      </c>
      <c r="O44">
        <f>O43+$B$4*(N44-N43)-$B$5*O43</f>
        <v>4871.4336525592862</v>
      </c>
      <c r="P44">
        <f>N44-$B$38*O44*(N44/($B$39+N44))</f>
        <v>7440.8358569719512</v>
      </c>
      <c r="R44">
        <v>9742</v>
      </c>
      <c r="S44">
        <f t="shared" ref="S44" si="5">((R44-N44)^2)^0.5</f>
        <v>2061.2974517863322</v>
      </c>
      <c r="U44" t="s">
        <v>82</v>
      </c>
      <c r="V44">
        <v>0.192</v>
      </c>
    </row>
    <row r="45" spans="1:30" x14ac:dyDescent="0.2">
      <c r="F45">
        <v>10</v>
      </c>
      <c r="G45">
        <v>7507.666666666667</v>
      </c>
      <c r="H45">
        <f>N52</f>
        <v>6694.9786406250923</v>
      </c>
      <c r="I45">
        <v>7843.4403462795435</v>
      </c>
      <c r="J45">
        <v>7695.1543630715823</v>
      </c>
      <c r="K45">
        <v>7222.7</v>
      </c>
      <c r="L45">
        <v>497.71767990386769</v>
      </c>
      <c r="M45">
        <v>3</v>
      </c>
      <c r="N45">
        <f t="shared" ref="N45:N69" si="6">P44</f>
        <v>7440.8358569719512</v>
      </c>
      <c r="O45">
        <f>O44+$B$4*(N45-N44)-$B$5*O44</f>
        <v>3912.1317221437321</v>
      </c>
      <c r="P45">
        <f>N45-$B$38*O45*(N45/($B$39+N45))</f>
        <v>7250.5043768180176</v>
      </c>
      <c r="U45" t="s">
        <v>90</v>
      </c>
      <c r="V45">
        <v>7555.5555555555593</v>
      </c>
    </row>
    <row r="46" spans="1:30" x14ac:dyDescent="0.2">
      <c r="A46" t="s">
        <v>93</v>
      </c>
      <c r="B46">
        <f>B44/(COUNT(F42:F51))</f>
        <v>765.69994963091779</v>
      </c>
      <c r="F46">
        <v>13</v>
      </c>
      <c r="G46">
        <v>7355</v>
      </c>
      <c r="H46">
        <f>N55</f>
        <v>6598.7248233842847</v>
      </c>
      <c r="I46">
        <v>7510.2564125960507</v>
      </c>
      <c r="J46">
        <v>7354.9493230552316</v>
      </c>
      <c r="K46">
        <v>7106.8</v>
      </c>
      <c r="L46">
        <v>626</v>
      </c>
      <c r="M46">
        <v>4</v>
      </c>
      <c r="N46">
        <f t="shared" si="6"/>
        <v>7250.5043768180176</v>
      </c>
      <c r="O46">
        <f t="shared" ref="O46:O69" si="7">O45+$B$4*(N46-N45)-$B$5*O45</f>
        <v>3141.9692834767425</v>
      </c>
      <c r="P46">
        <f>N46-$B$38*O46*(N46/($B$39+N46))</f>
        <v>7099.1612747500412</v>
      </c>
      <c r="U46" t="s">
        <v>91</v>
      </c>
      <c r="V46">
        <v>9099.3874438371331</v>
      </c>
      <c r="AA46">
        <f>V46-X46</f>
        <v>9099.3874438371331</v>
      </c>
      <c r="AB46">
        <f>Y46-V46</f>
        <v>-9099.3874438371331</v>
      </c>
    </row>
    <row r="47" spans="1:30" x14ac:dyDescent="0.2">
      <c r="F47">
        <v>16</v>
      </c>
      <c r="G47">
        <v>7221</v>
      </c>
      <c r="H47">
        <f>N58</f>
        <v>6549.0702309475746</v>
      </c>
      <c r="I47">
        <v>7191.2259025077874</v>
      </c>
      <c r="J47">
        <v>7036.8201349879255</v>
      </c>
      <c r="K47">
        <v>7031.3</v>
      </c>
      <c r="L47">
        <v>425.89278776080096</v>
      </c>
      <c r="M47">
        <v>5</v>
      </c>
      <c r="N47">
        <f t="shared" si="6"/>
        <v>7099.1612747500412</v>
      </c>
      <c r="O47">
        <f t="shared" si="7"/>
        <v>2523.5768708424102</v>
      </c>
      <c r="P47">
        <f>N47-$B$38*O47*(N47/($B$39+N47))</f>
        <v>6978.6033092254156</v>
      </c>
      <c r="U47" t="s">
        <v>92</v>
      </c>
      <c r="V47">
        <v>6381.3662153592222</v>
      </c>
    </row>
    <row r="48" spans="1:30" x14ac:dyDescent="0.2">
      <c r="A48" t="s">
        <v>94</v>
      </c>
      <c r="F48">
        <v>17</v>
      </c>
      <c r="G48">
        <v>6876.5</v>
      </c>
      <c r="H48">
        <f>N59</f>
        <v>6538.5785139687514</v>
      </c>
      <c r="I48">
        <v>7087.9229421639202</v>
      </c>
      <c r="J48">
        <v>6936.5531829358069</v>
      </c>
      <c r="K48">
        <v>7012.5</v>
      </c>
      <c r="L48">
        <v>77.5</v>
      </c>
      <c r="M48">
        <v>6</v>
      </c>
      <c r="N48">
        <f t="shared" si="6"/>
        <v>6978.6033092254156</v>
      </c>
      <c r="O48">
        <f t="shared" si="7"/>
        <v>2026.9943150882048</v>
      </c>
      <c r="P48">
        <f t="shared" ref="P48:P69" si="8">N48-$B$38*O48*(N48/($B$39+N48))</f>
        <v>6882.4221323112915</v>
      </c>
      <c r="R48">
        <v>9214.3333333333339</v>
      </c>
      <c r="S48">
        <f t="shared" ref="S48" si="9">((R48-N48)^2)^0.5</f>
        <v>2235.7300241079183</v>
      </c>
    </row>
    <row r="49" spans="2:22" x14ac:dyDescent="0.2">
      <c r="B49">
        <f>B44+B46*2</f>
        <v>9188.3993955710139</v>
      </c>
      <c r="F49">
        <v>21</v>
      </c>
      <c r="G49">
        <v>6810</v>
      </c>
      <c r="H49">
        <f>N63</f>
        <v>6513.5987170010476</v>
      </c>
      <c r="I49">
        <v>6689.339068343178</v>
      </c>
      <c r="J49">
        <v>6577.7263526000288</v>
      </c>
      <c r="K49">
        <v>6958.9</v>
      </c>
      <c r="L49">
        <v>131.59280628767922</v>
      </c>
      <c r="M49">
        <v>7</v>
      </c>
      <c r="N49">
        <f t="shared" si="6"/>
        <v>6882.4221323112915</v>
      </c>
      <c r="O49">
        <f t="shared" si="7"/>
        <v>1628.193288899857</v>
      </c>
      <c r="P49">
        <f t="shared" si="8"/>
        <v>6805.5909559386091</v>
      </c>
      <c r="U49" t="s">
        <v>93</v>
      </c>
      <c r="V49">
        <v>638.13662153592225</v>
      </c>
    </row>
    <row r="50" spans="2:22" x14ac:dyDescent="0.2">
      <c r="F50">
        <v>23</v>
      </c>
      <c r="G50">
        <v>6443</v>
      </c>
      <c r="H50">
        <f>N65</f>
        <v>6507.2815331352267</v>
      </c>
      <c r="I50">
        <v>6498.5328894412896</v>
      </c>
      <c r="J50">
        <v>6442.9951691650494</v>
      </c>
      <c r="K50">
        <v>6941.5</v>
      </c>
      <c r="L50">
        <v>46.504480070920764</v>
      </c>
      <c r="M50">
        <v>8</v>
      </c>
      <c r="N50">
        <f t="shared" si="6"/>
        <v>6805.5909559386091</v>
      </c>
      <c r="O50">
        <f t="shared" si="7"/>
        <v>1307.8970597938162</v>
      </c>
      <c r="P50">
        <f t="shared" si="8"/>
        <v>6744.1519575445518</v>
      </c>
    </row>
    <row r="51" spans="2:22" x14ac:dyDescent="0.2">
      <c r="F51">
        <v>27</v>
      </c>
      <c r="G51">
        <v>6128.333333333333</v>
      </c>
      <c r="H51">
        <f>N69</f>
        <v>6500.57568899135</v>
      </c>
      <c r="I51">
        <v>6133.0929101468437</v>
      </c>
      <c r="J51">
        <v>6363.3018796206761</v>
      </c>
      <c r="K51">
        <v>6918.5</v>
      </c>
      <c r="L51">
        <v>93.660142121514099</v>
      </c>
      <c r="M51">
        <v>9</v>
      </c>
      <c r="N51">
        <f t="shared" si="6"/>
        <v>6744.1519575445518</v>
      </c>
      <c r="O51">
        <f t="shared" si="7"/>
        <v>1050.6369244739976</v>
      </c>
      <c r="P51">
        <f t="shared" si="8"/>
        <v>6694.9786406250923</v>
      </c>
      <c r="U51" t="s">
        <v>94</v>
      </c>
    </row>
    <row r="52" spans="2:22" x14ac:dyDescent="0.2">
      <c r="M52">
        <v>10</v>
      </c>
      <c r="N52">
        <f t="shared" si="6"/>
        <v>6694.9786406250923</v>
      </c>
      <c r="O52">
        <f t="shared" si="7"/>
        <v>843.99730328304418</v>
      </c>
      <c r="P52">
        <f t="shared" si="8"/>
        <v>6655.5941184925241</v>
      </c>
      <c r="R52">
        <v>7507.666666666667</v>
      </c>
      <c r="S52">
        <f t="shared" ref="S52" si="10">((R52-N52)^2)^0.5</f>
        <v>812.68802604157463</v>
      </c>
      <c r="V52">
        <v>7657.6394584310665</v>
      </c>
    </row>
    <row r="53" spans="2:22" x14ac:dyDescent="0.2">
      <c r="H53">
        <f>RSQ(G42:G51,H42:H51)</f>
        <v>0.48326616871289857</v>
      </c>
      <c r="I53">
        <f>RSQ(G42:G51,I42:I51)</f>
        <v>0.81154307566875739</v>
      </c>
      <c r="J53">
        <f>RSQ(G42:G51,J42:J51)</f>
        <v>0.80606798888440212</v>
      </c>
      <c r="M53">
        <v>11</v>
      </c>
      <c r="N53">
        <f t="shared" si="6"/>
        <v>6655.5941184925241</v>
      </c>
      <c r="O53">
        <f t="shared" si="7"/>
        <v>678.01136883944287</v>
      </c>
      <c r="P53">
        <f t="shared" si="8"/>
        <v>6624.031321555075</v>
      </c>
    </row>
    <row r="54" spans="2:22" x14ac:dyDescent="0.2">
      <c r="M54">
        <v>12</v>
      </c>
      <c r="N54">
        <f t="shared" si="6"/>
        <v>6624.031321555075</v>
      </c>
      <c r="O54">
        <f t="shared" si="7"/>
        <v>544.67690632852498</v>
      </c>
      <c r="P54">
        <f t="shared" si="8"/>
        <v>6598.7248233842847</v>
      </c>
    </row>
    <row r="55" spans="2:22" x14ac:dyDescent="0.2">
      <c r="M55">
        <v>13</v>
      </c>
      <c r="N55">
        <f t="shared" si="6"/>
        <v>6598.7248233842847</v>
      </c>
      <c r="O55">
        <f t="shared" si="7"/>
        <v>437.56829049636912</v>
      </c>
      <c r="P55">
        <f t="shared" si="8"/>
        <v>6578.4266735147667</v>
      </c>
      <c r="R55">
        <v>7355</v>
      </c>
      <c r="S55">
        <f t="shared" ref="S55" si="11">((R55-N55)^2)^0.5</f>
        <v>756.27517661571528</v>
      </c>
    </row>
    <row r="56" spans="2:22" x14ac:dyDescent="0.2">
      <c r="M56">
        <v>14</v>
      </c>
      <c r="N56">
        <f t="shared" si="6"/>
        <v>6578.4266735147667</v>
      </c>
      <c r="O56">
        <f t="shared" si="7"/>
        <v>351.52536373411442</v>
      </c>
      <c r="P56">
        <f t="shared" si="8"/>
        <v>6562.1405825952088</v>
      </c>
    </row>
    <row r="57" spans="2:22" x14ac:dyDescent="0.2">
      <c r="M57">
        <v>15</v>
      </c>
      <c r="N57">
        <f t="shared" si="6"/>
        <v>6562.1405825952088</v>
      </c>
      <c r="O57">
        <f t="shared" si="7"/>
        <v>282.40388480520863</v>
      </c>
      <c r="P57">
        <f t="shared" si="8"/>
        <v>6549.0702309475746</v>
      </c>
    </row>
    <row r="58" spans="2:22" x14ac:dyDescent="0.2">
      <c r="M58">
        <v>16</v>
      </c>
      <c r="N58">
        <f t="shared" si="6"/>
        <v>6549.0702309475746</v>
      </c>
      <c r="O58">
        <f t="shared" si="7"/>
        <v>226.87530375784516</v>
      </c>
      <c r="P58">
        <f t="shared" si="8"/>
        <v>6538.5785139687514</v>
      </c>
      <c r="R58">
        <v>7221</v>
      </c>
      <c r="S58">
        <f t="shared" ref="S58:S59" si="12">((R58-N58)^2)^0.5</f>
        <v>671.9297690524254</v>
      </c>
    </row>
    <row r="59" spans="2:22" x14ac:dyDescent="0.2">
      <c r="M59">
        <v>17</v>
      </c>
      <c r="N59">
        <f t="shared" si="6"/>
        <v>6538.5785139687514</v>
      </c>
      <c r="O59">
        <f t="shared" si="7"/>
        <v>182.26607373845658</v>
      </c>
      <c r="P59">
        <f t="shared" si="8"/>
        <v>6530.155304851939</v>
      </c>
      <c r="R59">
        <v>6876.5</v>
      </c>
      <c r="S59">
        <f t="shared" si="12"/>
        <v>337.92148603124861</v>
      </c>
    </row>
    <row r="60" spans="2:22" x14ac:dyDescent="0.2">
      <c r="M60">
        <v>18</v>
      </c>
      <c r="N60">
        <f t="shared" si="6"/>
        <v>6530.155304851939</v>
      </c>
      <c r="O60">
        <f t="shared" si="7"/>
        <v>146.42866666899167</v>
      </c>
      <c r="P60">
        <f t="shared" si="8"/>
        <v>6523.3918837978854</v>
      </c>
    </row>
    <row r="61" spans="2:22" x14ac:dyDescent="0.2">
      <c r="M61">
        <v>19</v>
      </c>
      <c r="N61">
        <f t="shared" si="6"/>
        <v>6523.3918837978854</v>
      </c>
      <c r="O61">
        <f t="shared" si="7"/>
        <v>117.63802056313992</v>
      </c>
      <c r="P61">
        <f t="shared" si="8"/>
        <v>6517.9606079848327</v>
      </c>
    </row>
    <row r="62" spans="2:22" x14ac:dyDescent="0.2">
      <c r="M62">
        <v>20</v>
      </c>
      <c r="N62">
        <f t="shared" si="6"/>
        <v>6517.9606079848327</v>
      </c>
      <c r="O62">
        <f t="shared" si="7"/>
        <v>94.508393033711783</v>
      </c>
      <c r="P62">
        <f t="shared" si="8"/>
        <v>6513.5987170010476</v>
      </c>
    </row>
    <row r="63" spans="2:22" x14ac:dyDescent="0.2">
      <c r="M63">
        <v>21</v>
      </c>
      <c r="N63">
        <f t="shared" si="6"/>
        <v>6513.5987170010476</v>
      </c>
      <c r="O63">
        <f t="shared" si="7"/>
        <v>75.926592472860619</v>
      </c>
      <c r="P63">
        <f t="shared" si="8"/>
        <v>6510.095411972241</v>
      </c>
      <c r="R63">
        <v>6810</v>
      </c>
      <c r="S63">
        <f t="shared" ref="S63" si="13">((R63-N63)^2)^0.5</f>
        <v>296.40128299895241</v>
      </c>
    </row>
    <row r="64" spans="2:22" x14ac:dyDescent="0.2">
      <c r="M64">
        <v>22</v>
      </c>
      <c r="N64">
        <f t="shared" si="6"/>
        <v>6510.095411972241</v>
      </c>
      <c r="O64">
        <f t="shared" si="7"/>
        <v>60.998356215190711</v>
      </c>
      <c r="P64">
        <f t="shared" si="8"/>
        <v>6507.2815331352267</v>
      </c>
    </row>
    <row r="65" spans="13:19" x14ac:dyDescent="0.2">
      <c r="M65">
        <v>23</v>
      </c>
      <c r="N65">
        <f t="shared" si="6"/>
        <v>6507.2815331352267</v>
      </c>
      <c r="O65">
        <f t="shared" si="7"/>
        <v>49.005283938172667</v>
      </c>
      <c r="P65">
        <f t="shared" si="8"/>
        <v>6505.0213044843376</v>
      </c>
      <c r="R65">
        <v>6443</v>
      </c>
      <c r="S65">
        <f t="shared" ref="S65" si="14">((R65-N65)^2)^0.5</f>
        <v>64.281533135226709</v>
      </c>
    </row>
    <row r="66" spans="13:19" x14ac:dyDescent="0.2">
      <c r="M66">
        <v>24</v>
      </c>
      <c r="N66">
        <f t="shared" si="6"/>
        <v>6505.0213044843376</v>
      </c>
      <c r="O66">
        <f t="shared" si="7"/>
        <v>39.370246556954605</v>
      </c>
      <c r="P66">
        <f t="shared" si="8"/>
        <v>6503.2057258087953</v>
      </c>
    </row>
    <row r="67" spans="13:19" x14ac:dyDescent="0.2">
      <c r="M67">
        <v>25</v>
      </c>
      <c r="N67">
        <f t="shared" si="6"/>
        <v>6503.2057258087953</v>
      </c>
      <c r="O67">
        <f t="shared" si="7"/>
        <v>31.62960135046508</v>
      </c>
      <c r="P67">
        <f t="shared" si="8"/>
        <v>6501.747279634953</v>
      </c>
    </row>
    <row r="68" spans="13:19" x14ac:dyDescent="0.2">
      <c r="M68">
        <v>26</v>
      </c>
      <c r="N68">
        <f t="shared" si="6"/>
        <v>6501.747279634953</v>
      </c>
      <c r="O68">
        <f t="shared" si="7"/>
        <v>25.410873273791559</v>
      </c>
      <c r="P68">
        <f t="shared" si="8"/>
        <v>6500.57568899135</v>
      </c>
    </row>
    <row r="69" spans="13:19" x14ac:dyDescent="0.2">
      <c r="M69">
        <v>27</v>
      </c>
      <c r="N69">
        <f t="shared" si="6"/>
        <v>6500.57568899135</v>
      </c>
      <c r="O69">
        <f t="shared" si="7"/>
        <v>20.414826540863285</v>
      </c>
      <c r="P69">
        <f t="shared" si="8"/>
        <v>6499.6345158000913</v>
      </c>
      <c r="R69">
        <v>6128.333333333333</v>
      </c>
      <c r="S69">
        <f t="shared" ref="S69" si="15">((R69-N69)^2)^0.5</f>
        <v>372.242355658017</v>
      </c>
    </row>
    <row r="71" spans="13:19" x14ac:dyDescent="0.2">
      <c r="S71">
        <f>SUM(S42:S69)</f>
        <v>7656.9994963091776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8EDA-6ED0-481F-8B0F-16F1C214A642}">
  <dimension ref="B2:J97"/>
  <sheetViews>
    <sheetView workbookViewId="0">
      <selection activeCell="M31" sqref="M31"/>
    </sheetView>
  </sheetViews>
  <sheetFormatPr defaultRowHeight="14.25" x14ac:dyDescent="0.2"/>
  <cols>
    <col min="3" max="3" width="9.875" bestFit="1" customWidth="1"/>
  </cols>
  <sheetData>
    <row r="2" spans="2:10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3</v>
      </c>
      <c r="I2" t="s">
        <v>41</v>
      </c>
      <c r="J2" t="s">
        <v>49</v>
      </c>
    </row>
    <row r="3" spans="2:10" x14ac:dyDescent="0.2">
      <c r="B3">
        <v>351</v>
      </c>
      <c r="C3" s="5">
        <v>44663</v>
      </c>
      <c r="D3">
        <v>1269</v>
      </c>
      <c r="E3">
        <v>3</v>
      </c>
      <c r="F3">
        <v>1459</v>
      </c>
      <c r="G3">
        <v>1289</v>
      </c>
      <c r="H3">
        <v>9130</v>
      </c>
      <c r="I3">
        <v>45</v>
      </c>
    </row>
    <row r="4" spans="2:10" x14ac:dyDescent="0.2">
      <c r="B4">
        <v>352</v>
      </c>
      <c r="C4" s="5">
        <v>44663</v>
      </c>
      <c r="D4">
        <v>874</v>
      </c>
      <c r="E4">
        <v>2</v>
      </c>
      <c r="F4">
        <v>981</v>
      </c>
      <c r="G4">
        <v>846</v>
      </c>
      <c r="H4">
        <v>9250</v>
      </c>
      <c r="I4">
        <v>246</v>
      </c>
    </row>
    <row r="5" spans="2:10" x14ac:dyDescent="0.2">
      <c r="B5">
        <v>353</v>
      </c>
      <c r="C5" s="5">
        <v>44663</v>
      </c>
      <c r="D5">
        <v>1272</v>
      </c>
      <c r="E5">
        <v>2</v>
      </c>
      <c r="F5">
        <v>1385</v>
      </c>
      <c r="G5">
        <v>1282</v>
      </c>
      <c r="H5">
        <v>7005</v>
      </c>
      <c r="I5">
        <v>165</v>
      </c>
    </row>
    <row r="7" spans="2:10" x14ac:dyDescent="0.2">
      <c r="B7">
        <v>851</v>
      </c>
      <c r="C7" s="5">
        <v>44663</v>
      </c>
      <c r="D7">
        <v>881</v>
      </c>
      <c r="E7">
        <v>2</v>
      </c>
      <c r="F7">
        <v>1005</v>
      </c>
      <c r="G7">
        <v>891</v>
      </c>
      <c r="H7">
        <v>8420</v>
      </c>
      <c r="I7">
        <v>270</v>
      </c>
    </row>
    <row r="8" spans="2:10" x14ac:dyDescent="0.2">
      <c r="B8">
        <v>852</v>
      </c>
      <c r="C8" s="5">
        <v>44663</v>
      </c>
      <c r="D8">
        <v>873</v>
      </c>
      <c r="E8">
        <v>2</v>
      </c>
      <c r="F8">
        <v>997</v>
      </c>
      <c r="G8">
        <v>880</v>
      </c>
      <c r="H8">
        <v>8800</v>
      </c>
      <c r="I8">
        <v>245</v>
      </c>
    </row>
    <row r="9" spans="2:10" x14ac:dyDescent="0.2">
      <c r="B9">
        <v>853</v>
      </c>
      <c r="C9" s="5">
        <v>44663</v>
      </c>
      <c r="D9">
        <v>875</v>
      </c>
      <c r="E9">
        <v>2</v>
      </c>
      <c r="F9">
        <v>975</v>
      </c>
      <c r="G9">
        <v>872</v>
      </c>
      <c r="H9">
        <v>7550</v>
      </c>
      <c r="I9">
        <v>110</v>
      </c>
    </row>
    <row r="11" spans="2:10" x14ac:dyDescent="0.2">
      <c r="B11">
        <v>101</v>
      </c>
      <c r="C11" s="5">
        <v>44663</v>
      </c>
      <c r="D11">
        <v>881</v>
      </c>
      <c r="E11">
        <v>2</v>
      </c>
      <c r="F11">
        <v>1023</v>
      </c>
      <c r="G11">
        <v>900</v>
      </c>
      <c r="H11">
        <v>9335</v>
      </c>
      <c r="I11">
        <v>205</v>
      </c>
    </row>
    <row r="12" spans="2:10" x14ac:dyDescent="0.2">
      <c r="B12">
        <v>102</v>
      </c>
      <c r="C12" s="5">
        <v>44663</v>
      </c>
      <c r="D12">
        <v>878</v>
      </c>
      <c r="E12">
        <v>2</v>
      </c>
      <c r="F12">
        <v>1008</v>
      </c>
      <c r="G12">
        <v>885</v>
      </c>
      <c r="H12">
        <v>8395</v>
      </c>
    </row>
    <row r="13" spans="2:10" x14ac:dyDescent="0.2">
      <c r="B13">
        <v>103</v>
      </c>
      <c r="C13" s="5">
        <v>44663</v>
      </c>
      <c r="D13">
        <v>881</v>
      </c>
      <c r="E13">
        <v>2</v>
      </c>
      <c r="F13">
        <v>989</v>
      </c>
      <c r="G13">
        <v>870</v>
      </c>
      <c r="H13">
        <v>9475</v>
      </c>
      <c r="I13">
        <v>415</v>
      </c>
    </row>
    <row r="15" spans="2:10" x14ac:dyDescent="0.2">
      <c r="B15">
        <v>351</v>
      </c>
      <c r="C15" s="5">
        <v>44665</v>
      </c>
      <c r="D15">
        <v>874</v>
      </c>
      <c r="E15">
        <v>2</v>
      </c>
      <c r="F15">
        <v>1015</v>
      </c>
      <c r="G15">
        <v>899</v>
      </c>
      <c r="H15">
        <v>8555</v>
      </c>
      <c r="I15">
        <v>614</v>
      </c>
      <c r="J15">
        <v>6.17</v>
      </c>
    </row>
    <row r="16" spans="2:10" x14ac:dyDescent="0.2">
      <c r="B16">
        <v>352</v>
      </c>
      <c r="C16" s="5">
        <v>44665</v>
      </c>
      <c r="D16">
        <v>874</v>
      </c>
      <c r="E16">
        <v>2</v>
      </c>
      <c r="F16">
        <v>1003</v>
      </c>
      <c r="G16">
        <v>884</v>
      </c>
      <c r="H16">
        <v>8335</v>
      </c>
      <c r="I16">
        <v>568</v>
      </c>
      <c r="J16">
        <v>6.19</v>
      </c>
    </row>
    <row r="17" spans="2:10" x14ac:dyDescent="0.2">
      <c r="B17">
        <v>353</v>
      </c>
      <c r="C17" s="5">
        <v>44665</v>
      </c>
      <c r="D17">
        <v>873</v>
      </c>
      <c r="E17">
        <v>2</v>
      </c>
      <c r="F17">
        <v>962</v>
      </c>
      <c r="G17">
        <v>878</v>
      </c>
      <c r="H17">
        <v>5225</v>
      </c>
      <c r="I17">
        <v>513</v>
      </c>
      <c r="J17">
        <v>6.27</v>
      </c>
    </row>
    <row r="19" spans="2:10" x14ac:dyDescent="0.2">
      <c r="B19">
        <v>851</v>
      </c>
      <c r="C19" s="5">
        <v>44665</v>
      </c>
      <c r="D19">
        <v>884</v>
      </c>
      <c r="E19">
        <v>2</v>
      </c>
      <c r="F19">
        <v>1032</v>
      </c>
      <c r="G19">
        <v>896</v>
      </c>
      <c r="H19">
        <v>8335</v>
      </c>
      <c r="I19">
        <v>588</v>
      </c>
      <c r="J19">
        <v>6.43</v>
      </c>
    </row>
    <row r="20" spans="2:10" x14ac:dyDescent="0.2">
      <c r="B20">
        <v>852</v>
      </c>
      <c r="C20" s="5">
        <v>44665</v>
      </c>
      <c r="D20">
        <v>872</v>
      </c>
      <c r="E20">
        <v>2</v>
      </c>
      <c r="F20">
        <v>1021</v>
      </c>
      <c r="G20">
        <v>887</v>
      </c>
      <c r="H20">
        <v>8305</v>
      </c>
      <c r="I20">
        <f>509/(2/3)</f>
        <v>763.5</v>
      </c>
      <c r="J20">
        <v>6.38</v>
      </c>
    </row>
    <row r="21" spans="2:10" x14ac:dyDescent="0.2">
      <c r="B21">
        <v>853</v>
      </c>
      <c r="C21" s="5">
        <v>44665</v>
      </c>
      <c r="D21">
        <v>867</v>
      </c>
      <c r="E21">
        <v>2</v>
      </c>
      <c r="F21">
        <v>1004</v>
      </c>
      <c r="G21">
        <v>881</v>
      </c>
      <c r="H21">
        <v>8705</v>
      </c>
      <c r="I21">
        <v>161</v>
      </c>
      <c r="J21">
        <v>6.83</v>
      </c>
    </row>
    <row r="23" spans="2:10" x14ac:dyDescent="0.2">
      <c r="B23">
        <v>101</v>
      </c>
      <c r="C23" s="5">
        <v>44665</v>
      </c>
      <c r="D23">
        <v>884</v>
      </c>
      <c r="E23">
        <v>2</v>
      </c>
      <c r="F23">
        <v>1017</v>
      </c>
      <c r="G23">
        <v>891</v>
      </c>
      <c r="H23">
        <v>8605</v>
      </c>
      <c r="I23">
        <v>643</v>
      </c>
      <c r="J23">
        <v>6.26</v>
      </c>
    </row>
    <row r="24" spans="2:10" x14ac:dyDescent="0.2">
      <c r="B24">
        <v>102</v>
      </c>
      <c r="C24" s="5">
        <v>44665</v>
      </c>
      <c r="D24">
        <v>876</v>
      </c>
      <c r="E24">
        <v>2</v>
      </c>
      <c r="F24">
        <v>1039</v>
      </c>
      <c r="G24">
        <v>894</v>
      </c>
      <c r="H24">
        <v>9195</v>
      </c>
      <c r="I24">
        <v>514</v>
      </c>
      <c r="J24">
        <v>6.48</v>
      </c>
    </row>
    <row r="25" spans="2:10" x14ac:dyDescent="0.2">
      <c r="B25">
        <v>103</v>
      </c>
      <c r="C25" s="5">
        <v>44665</v>
      </c>
      <c r="D25">
        <v>890</v>
      </c>
      <c r="E25">
        <v>2</v>
      </c>
      <c r="F25">
        <v>1049</v>
      </c>
      <c r="G25">
        <v>895</v>
      </c>
      <c r="H25">
        <v>9800</v>
      </c>
      <c r="I25">
        <v>521</v>
      </c>
      <c r="J25">
        <v>6.3</v>
      </c>
    </row>
    <row r="27" spans="2:10" x14ac:dyDescent="0.2">
      <c r="B27">
        <v>351</v>
      </c>
      <c r="C27" s="5">
        <v>44671</v>
      </c>
      <c r="D27">
        <v>874</v>
      </c>
      <c r="E27">
        <v>2</v>
      </c>
      <c r="F27">
        <v>969</v>
      </c>
      <c r="G27">
        <v>884</v>
      </c>
      <c r="H27">
        <v>6925</v>
      </c>
      <c r="I27">
        <v>472</v>
      </c>
      <c r="J27">
        <v>6.02</v>
      </c>
    </row>
    <row r="28" spans="2:10" x14ac:dyDescent="0.2">
      <c r="B28">
        <v>352</v>
      </c>
      <c r="C28" s="5">
        <v>44671</v>
      </c>
      <c r="D28">
        <v>882</v>
      </c>
      <c r="E28">
        <v>2</v>
      </c>
      <c r="F28">
        <v>999</v>
      </c>
      <c r="G28">
        <v>894</v>
      </c>
      <c r="H28">
        <v>8105</v>
      </c>
      <c r="I28">
        <v>599</v>
      </c>
      <c r="J28">
        <v>5.86</v>
      </c>
    </row>
    <row r="29" spans="2:10" x14ac:dyDescent="0.2">
      <c r="B29">
        <v>353</v>
      </c>
      <c r="C29" s="5">
        <v>44671</v>
      </c>
      <c r="D29">
        <v>877</v>
      </c>
      <c r="E29">
        <v>2</v>
      </c>
      <c r="F29">
        <v>994</v>
      </c>
      <c r="G29">
        <v>891</v>
      </c>
      <c r="H29">
        <v>7375</v>
      </c>
      <c r="I29">
        <v>534</v>
      </c>
      <c r="J29">
        <v>6.07</v>
      </c>
    </row>
    <row r="31" spans="2:10" x14ac:dyDescent="0.2">
      <c r="B31">
        <v>851</v>
      </c>
      <c r="C31" s="5">
        <v>44671</v>
      </c>
      <c r="D31">
        <v>877</v>
      </c>
      <c r="E31">
        <v>2</v>
      </c>
      <c r="F31">
        <v>999</v>
      </c>
      <c r="G31">
        <v>893</v>
      </c>
      <c r="H31">
        <v>7975</v>
      </c>
      <c r="I31">
        <v>474</v>
      </c>
      <c r="J31">
        <v>6.28</v>
      </c>
    </row>
    <row r="32" spans="2:10" x14ac:dyDescent="0.2">
      <c r="B32">
        <v>852</v>
      </c>
      <c r="C32" s="5">
        <v>44671</v>
      </c>
      <c r="D32">
        <v>864</v>
      </c>
      <c r="E32">
        <v>2</v>
      </c>
      <c r="F32">
        <v>999</v>
      </c>
      <c r="G32">
        <v>882</v>
      </c>
      <c r="H32">
        <v>8745</v>
      </c>
      <c r="I32">
        <v>609</v>
      </c>
      <c r="J32">
        <v>6.1</v>
      </c>
    </row>
    <row r="33" spans="2:10" x14ac:dyDescent="0.2">
      <c r="B33">
        <v>853</v>
      </c>
      <c r="C33" s="5">
        <v>44671</v>
      </c>
      <c r="D33">
        <v>870</v>
      </c>
      <c r="E33">
        <v>2</v>
      </c>
      <c r="F33">
        <v>1011</v>
      </c>
      <c r="G33">
        <v>887</v>
      </c>
      <c r="H33">
        <v>9140</v>
      </c>
      <c r="I33">
        <v>470</v>
      </c>
      <c r="J33">
        <v>6.56</v>
      </c>
    </row>
    <row r="35" spans="2:10" x14ac:dyDescent="0.2">
      <c r="B35">
        <v>101</v>
      </c>
      <c r="C35" s="5">
        <v>44671</v>
      </c>
      <c r="D35">
        <v>867</v>
      </c>
      <c r="E35">
        <v>2</v>
      </c>
      <c r="F35">
        <v>1011</v>
      </c>
      <c r="G35">
        <v>887</v>
      </c>
      <c r="H35">
        <v>9175</v>
      </c>
      <c r="I35">
        <v>540</v>
      </c>
      <c r="J35">
        <v>6.09</v>
      </c>
    </row>
    <row r="36" spans="2:10" x14ac:dyDescent="0.2">
      <c r="B36">
        <v>102</v>
      </c>
      <c r="C36" s="5">
        <v>44671</v>
      </c>
      <c r="D36">
        <v>873</v>
      </c>
      <c r="E36">
        <v>2</v>
      </c>
      <c r="F36">
        <v>1026</v>
      </c>
      <c r="G36">
        <v>893</v>
      </c>
      <c r="H36">
        <v>9230</v>
      </c>
      <c r="I36">
        <f>277/(2/3)</f>
        <v>415.5</v>
      </c>
      <c r="J36">
        <v>6.36</v>
      </c>
    </row>
    <row r="37" spans="2:10" x14ac:dyDescent="0.2">
      <c r="B37">
        <v>103</v>
      </c>
      <c r="C37" s="5">
        <v>44671</v>
      </c>
      <c r="D37">
        <v>873</v>
      </c>
      <c r="E37">
        <v>2</v>
      </c>
      <c r="F37">
        <v>1011</v>
      </c>
      <c r="G37">
        <v>892</v>
      </c>
      <c r="H37">
        <v>8400</v>
      </c>
      <c r="I37">
        <v>321</v>
      </c>
      <c r="J37">
        <v>6.48</v>
      </c>
    </row>
    <row r="39" spans="2:10" x14ac:dyDescent="0.2">
      <c r="B39">
        <v>351</v>
      </c>
      <c r="C39" s="5">
        <v>44673</v>
      </c>
      <c r="D39">
        <v>865</v>
      </c>
      <c r="E39">
        <v>2</v>
      </c>
      <c r="F39">
        <v>951</v>
      </c>
      <c r="G39">
        <v>871</v>
      </c>
      <c r="H39">
        <v>6690</v>
      </c>
      <c r="I39">
        <v>705</v>
      </c>
      <c r="J39">
        <v>5.68</v>
      </c>
    </row>
    <row r="40" spans="2:10" x14ac:dyDescent="0.2">
      <c r="B40">
        <v>352</v>
      </c>
      <c r="C40" s="5">
        <v>44673</v>
      </c>
      <c r="D40">
        <v>888</v>
      </c>
      <c r="E40">
        <v>2</v>
      </c>
      <c r="F40">
        <v>984</v>
      </c>
      <c r="G40">
        <v>895</v>
      </c>
      <c r="H40">
        <v>7095</v>
      </c>
      <c r="I40">
        <v>647</v>
      </c>
      <c r="J40">
        <v>5.82</v>
      </c>
    </row>
    <row r="41" spans="2:10" x14ac:dyDescent="0.2">
      <c r="B41">
        <v>353</v>
      </c>
      <c r="C41" s="5">
        <v>44673</v>
      </c>
      <c r="D41">
        <v>886</v>
      </c>
      <c r="E41">
        <v>2</v>
      </c>
      <c r="F41">
        <v>1003</v>
      </c>
      <c r="G41">
        <v>900</v>
      </c>
      <c r="H41">
        <v>8225</v>
      </c>
      <c r="I41">
        <f>547/(2/3)</f>
        <v>820.5</v>
      </c>
      <c r="J41">
        <v>5.54</v>
      </c>
    </row>
    <row r="43" spans="2:10" x14ac:dyDescent="0.2">
      <c r="B43">
        <v>851</v>
      </c>
      <c r="C43" s="5">
        <v>44673</v>
      </c>
      <c r="D43">
        <v>877</v>
      </c>
      <c r="E43">
        <v>2</v>
      </c>
      <c r="F43">
        <v>999</v>
      </c>
      <c r="G43">
        <v>891</v>
      </c>
      <c r="H43">
        <v>8450</v>
      </c>
      <c r="I43">
        <v>438</v>
      </c>
      <c r="J43">
        <v>6.34</v>
      </c>
    </row>
    <row r="44" spans="2:10" x14ac:dyDescent="0.2">
      <c r="B44">
        <v>852</v>
      </c>
      <c r="C44" s="5">
        <v>44673</v>
      </c>
      <c r="D44">
        <v>885</v>
      </c>
      <c r="E44">
        <v>2</v>
      </c>
      <c r="F44">
        <v>1032</v>
      </c>
      <c r="G44">
        <v>899</v>
      </c>
      <c r="H44">
        <v>9655</v>
      </c>
      <c r="I44">
        <f>440/(2/3)</f>
        <v>660</v>
      </c>
      <c r="J44">
        <v>6.03</v>
      </c>
    </row>
    <row r="45" spans="2:10" x14ac:dyDescent="0.2">
      <c r="B45">
        <v>853</v>
      </c>
      <c r="C45" s="5">
        <v>44673</v>
      </c>
      <c r="D45">
        <v>891</v>
      </c>
      <c r="E45">
        <v>2</v>
      </c>
      <c r="F45">
        <v>1021</v>
      </c>
      <c r="G45">
        <v>901</v>
      </c>
      <c r="H45">
        <v>9345</v>
      </c>
      <c r="I45">
        <f>305/(2/3)</f>
        <v>457.5</v>
      </c>
      <c r="J45">
        <v>6.44</v>
      </c>
    </row>
    <row r="47" spans="2:10" x14ac:dyDescent="0.2">
      <c r="B47">
        <v>101</v>
      </c>
      <c r="C47" s="5">
        <v>44673</v>
      </c>
      <c r="D47">
        <v>880</v>
      </c>
      <c r="E47">
        <v>2</v>
      </c>
      <c r="F47">
        <v>1011</v>
      </c>
      <c r="G47">
        <v>893</v>
      </c>
      <c r="H47">
        <v>9680</v>
      </c>
      <c r="I47">
        <v>868</v>
      </c>
      <c r="J47">
        <v>5.5</v>
      </c>
    </row>
    <row r="48" spans="2:10" x14ac:dyDescent="0.2">
      <c r="B48">
        <v>102</v>
      </c>
      <c r="C48" s="5">
        <v>44673</v>
      </c>
      <c r="D48">
        <v>886</v>
      </c>
      <c r="E48">
        <v>2</v>
      </c>
      <c r="F48">
        <v>1015</v>
      </c>
      <c r="G48">
        <v>900</v>
      </c>
      <c r="H48">
        <v>9425</v>
      </c>
      <c r="I48">
        <v>884</v>
      </c>
      <c r="J48">
        <v>5.63</v>
      </c>
    </row>
    <row r="49" spans="2:10" x14ac:dyDescent="0.2">
      <c r="B49">
        <v>103</v>
      </c>
      <c r="C49" s="5">
        <v>44673</v>
      </c>
      <c r="D49">
        <v>862</v>
      </c>
      <c r="E49">
        <v>2</v>
      </c>
      <c r="F49">
        <v>1000</v>
      </c>
      <c r="G49">
        <v>877</v>
      </c>
      <c r="H49">
        <v>9550</v>
      </c>
      <c r="I49">
        <v>881</v>
      </c>
      <c r="J49">
        <v>5.58</v>
      </c>
    </row>
    <row r="51" spans="2:10" x14ac:dyDescent="0.2">
      <c r="B51">
        <v>351</v>
      </c>
      <c r="C51" s="5">
        <v>44678</v>
      </c>
      <c r="D51">
        <v>884</v>
      </c>
      <c r="E51">
        <v>3</v>
      </c>
      <c r="F51">
        <v>999</v>
      </c>
      <c r="G51">
        <v>896</v>
      </c>
      <c r="H51">
        <v>5110</v>
      </c>
      <c r="I51">
        <v>817</v>
      </c>
      <c r="J51">
        <v>5.66</v>
      </c>
    </row>
    <row r="52" spans="2:10" x14ac:dyDescent="0.2">
      <c r="B52">
        <v>352</v>
      </c>
      <c r="C52" s="5">
        <v>44678</v>
      </c>
      <c r="D52">
        <v>874</v>
      </c>
      <c r="E52">
        <v>3</v>
      </c>
      <c r="F52">
        <v>1039</v>
      </c>
      <c r="G52">
        <v>893</v>
      </c>
      <c r="H52">
        <v>7470</v>
      </c>
      <c r="I52">
        <v>1089</v>
      </c>
      <c r="J52">
        <v>5.66</v>
      </c>
    </row>
    <row r="53" spans="2:10" x14ac:dyDescent="0.2">
      <c r="B53">
        <v>353</v>
      </c>
      <c r="C53" s="5">
        <v>44678</v>
      </c>
      <c r="D53">
        <v>873</v>
      </c>
      <c r="E53">
        <v>3</v>
      </c>
      <c r="F53">
        <v>1037</v>
      </c>
      <c r="G53">
        <v>891</v>
      </c>
      <c r="H53">
        <v>7690</v>
      </c>
      <c r="I53">
        <v>980</v>
      </c>
      <c r="J53">
        <v>5.68</v>
      </c>
    </row>
    <row r="55" spans="2:10" x14ac:dyDescent="0.2">
      <c r="B55">
        <v>851</v>
      </c>
      <c r="C55" s="5">
        <v>44678</v>
      </c>
      <c r="D55">
        <v>879</v>
      </c>
      <c r="E55">
        <v>3</v>
      </c>
      <c r="F55">
        <v>1077</v>
      </c>
      <c r="G55">
        <v>902</v>
      </c>
      <c r="H55">
        <v>8500</v>
      </c>
      <c r="I55">
        <v>524</v>
      </c>
      <c r="J55">
        <v>7.04</v>
      </c>
    </row>
    <row r="56" spans="2:10" x14ac:dyDescent="0.2">
      <c r="B56">
        <v>852</v>
      </c>
      <c r="C56" s="5">
        <v>44678</v>
      </c>
      <c r="D56">
        <v>871</v>
      </c>
      <c r="E56">
        <v>3</v>
      </c>
      <c r="F56">
        <v>1059</v>
      </c>
      <c r="G56">
        <v>891</v>
      </c>
      <c r="H56">
        <v>8445</v>
      </c>
      <c r="I56">
        <v>838</v>
      </c>
      <c r="J56">
        <v>6.45</v>
      </c>
    </row>
    <row r="57" spans="2:10" x14ac:dyDescent="0.2">
      <c r="B57">
        <v>853</v>
      </c>
      <c r="C57" s="5">
        <v>44678</v>
      </c>
      <c r="D57">
        <v>872</v>
      </c>
      <c r="E57">
        <v>3</v>
      </c>
      <c r="F57">
        <v>1064</v>
      </c>
      <c r="G57">
        <v>894</v>
      </c>
      <c r="H57">
        <v>8525</v>
      </c>
      <c r="I57">
        <v>884</v>
      </c>
      <c r="J57">
        <v>6.56</v>
      </c>
    </row>
    <row r="59" spans="2:10" x14ac:dyDescent="0.2">
      <c r="B59">
        <v>101</v>
      </c>
      <c r="C59" s="5">
        <v>44678</v>
      </c>
      <c r="D59">
        <v>885</v>
      </c>
      <c r="E59">
        <v>3</v>
      </c>
      <c r="F59">
        <v>1074</v>
      </c>
      <c r="G59">
        <v>902</v>
      </c>
      <c r="H59">
        <v>9290</v>
      </c>
      <c r="I59">
        <v>1279</v>
      </c>
      <c r="J59">
        <v>5.49</v>
      </c>
    </row>
    <row r="60" spans="2:10" x14ac:dyDescent="0.2">
      <c r="B60">
        <v>102</v>
      </c>
      <c r="C60" s="5">
        <v>44678</v>
      </c>
      <c r="D60">
        <v>889</v>
      </c>
      <c r="E60">
        <v>3</v>
      </c>
      <c r="F60">
        <v>1085</v>
      </c>
      <c r="G60">
        <v>907</v>
      </c>
      <c r="H60">
        <v>9220</v>
      </c>
      <c r="J60">
        <v>5.47</v>
      </c>
    </row>
    <row r="61" spans="2:10" x14ac:dyDescent="0.2">
      <c r="B61">
        <v>103</v>
      </c>
      <c r="C61" s="5">
        <v>44678</v>
      </c>
      <c r="D61">
        <v>884</v>
      </c>
      <c r="E61">
        <v>3</v>
      </c>
      <c r="F61">
        <v>1080</v>
      </c>
      <c r="G61">
        <v>906</v>
      </c>
      <c r="H61">
        <v>9715</v>
      </c>
      <c r="I61">
        <v>1184</v>
      </c>
      <c r="J61">
        <v>5.66</v>
      </c>
    </row>
    <row r="63" spans="2:10" x14ac:dyDescent="0.2">
      <c r="B63">
        <v>351</v>
      </c>
      <c r="C63" s="5">
        <v>44680</v>
      </c>
      <c r="D63">
        <v>877</v>
      </c>
      <c r="E63">
        <v>3</v>
      </c>
      <c r="F63">
        <v>1027</v>
      </c>
      <c r="G63">
        <v>895</v>
      </c>
      <c r="H63">
        <v>6710</v>
      </c>
      <c r="I63">
        <v>906</v>
      </c>
      <c r="J63">
        <v>5.45</v>
      </c>
    </row>
    <row r="64" spans="2:10" x14ac:dyDescent="0.2">
      <c r="B64">
        <v>352</v>
      </c>
      <c r="C64" s="5">
        <v>44680</v>
      </c>
      <c r="D64">
        <v>875</v>
      </c>
      <c r="E64">
        <v>3</v>
      </c>
      <c r="F64">
        <v>1033</v>
      </c>
      <c r="G64">
        <v>895</v>
      </c>
      <c r="H64">
        <v>6775</v>
      </c>
      <c r="I64">
        <v>966</v>
      </c>
      <c r="J64">
        <v>5.92</v>
      </c>
    </row>
    <row r="65" spans="2:10" x14ac:dyDescent="0.2">
      <c r="B65">
        <v>353</v>
      </c>
      <c r="C65" s="5">
        <v>44680</v>
      </c>
      <c r="D65">
        <v>880</v>
      </c>
      <c r="E65">
        <v>3</v>
      </c>
      <c r="F65">
        <v>1036</v>
      </c>
      <c r="G65">
        <v>896</v>
      </c>
      <c r="H65">
        <v>7025</v>
      </c>
      <c r="I65">
        <v>1108</v>
      </c>
      <c r="J65">
        <v>5.83</v>
      </c>
    </row>
    <row r="67" spans="2:10" x14ac:dyDescent="0.2">
      <c r="B67">
        <v>851</v>
      </c>
      <c r="C67" s="5">
        <v>44680</v>
      </c>
      <c r="D67">
        <v>871</v>
      </c>
      <c r="E67">
        <v>3</v>
      </c>
      <c r="F67">
        <v>1054</v>
      </c>
      <c r="G67">
        <v>891</v>
      </c>
      <c r="H67">
        <v>7780</v>
      </c>
      <c r="I67">
        <v>337</v>
      </c>
      <c r="J67">
        <v>7.31</v>
      </c>
    </row>
    <row r="68" spans="2:10" x14ac:dyDescent="0.2">
      <c r="B68">
        <v>852</v>
      </c>
      <c r="C68" s="5">
        <v>44680</v>
      </c>
      <c r="D68">
        <v>876</v>
      </c>
      <c r="E68">
        <v>3</v>
      </c>
      <c r="F68">
        <v>1072</v>
      </c>
      <c r="G68">
        <v>899</v>
      </c>
      <c r="H68">
        <v>8140</v>
      </c>
      <c r="I68">
        <v>784</v>
      </c>
      <c r="J68">
        <v>6.53</v>
      </c>
    </row>
    <row r="69" spans="2:10" x14ac:dyDescent="0.2">
      <c r="B69">
        <v>853</v>
      </c>
      <c r="C69" s="5">
        <v>44680</v>
      </c>
      <c r="D69">
        <v>873</v>
      </c>
      <c r="E69">
        <v>3</v>
      </c>
      <c r="F69">
        <v>1065</v>
      </c>
      <c r="G69">
        <v>900</v>
      </c>
      <c r="H69">
        <v>8360</v>
      </c>
      <c r="I69">
        <v>867</v>
      </c>
      <c r="J69">
        <v>6.79</v>
      </c>
    </row>
    <row r="71" spans="2:10" x14ac:dyDescent="0.2">
      <c r="B71">
        <v>101</v>
      </c>
      <c r="C71" s="5">
        <v>44680</v>
      </c>
      <c r="D71">
        <v>867</v>
      </c>
      <c r="E71">
        <v>3</v>
      </c>
      <c r="F71">
        <v>1067</v>
      </c>
      <c r="G71">
        <v>892</v>
      </c>
      <c r="H71">
        <v>8810</v>
      </c>
      <c r="I71">
        <v>1386</v>
      </c>
    </row>
    <row r="72" spans="2:10" x14ac:dyDescent="0.2">
      <c r="B72">
        <v>102</v>
      </c>
      <c r="C72" s="5">
        <v>44680</v>
      </c>
      <c r="D72">
        <v>871</v>
      </c>
      <c r="E72">
        <v>3</v>
      </c>
      <c r="F72">
        <v>1086</v>
      </c>
      <c r="G72">
        <v>890</v>
      </c>
      <c r="H72">
        <v>8800</v>
      </c>
      <c r="I72">
        <v>1191</v>
      </c>
      <c r="J72">
        <v>5.5</v>
      </c>
    </row>
    <row r="73" spans="2:10" x14ac:dyDescent="0.2">
      <c r="B73">
        <v>103</v>
      </c>
      <c r="C73" s="5">
        <v>44680</v>
      </c>
      <c r="D73">
        <v>882</v>
      </c>
      <c r="E73">
        <v>3</v>
      </c>
      <c r="F73">
        <v>1077</v>
      </c>
      <c r="G73">
        <v>906</v>
      </c>
      <c r="H73">
        <v>9370</v>
      </c>
      <c r="I73">
        <v>1165</v>
      </c>
      <c r="J73">
        <v>5.57</v>
      </c>
    </row>
    <row r="75" spans="2:10" x14ac:dyDescent="0.2">
      <c r="B75">
        <v>351</v>
      </c>
      <c r="C75" s="5">
        <v>44684</v>
      </c>
      <c r="D75">
        <v>881</v>
      </c>
      <c r="E75">
        <v>3</v>
      </c>
      <c r="F75">
        <v>1011</v>
      </c>
      <c r="G75">
        <v>890</v>
      </c>
      <c r="H75">
        <v>6565</v>
      </c>
    </row>
    <row r="76" spans="2:10" x14ac:dyDescent="0.2">
      <c r="B76">
        <v>352</v>
      </c>
      <c r="C76" s="5">
        <v>44684</v>
      </c>
      <c r="D76">
        <v>845</v>
      </c>
      <c r="E76">
        <v>3</v>
      </c>
      <c r="F76">
        <v>987</v>
      </c>
      <c r="G76">
        <v>863</v>
      </c>
    </row>
    <row r="77" spans="2:10" x14ac:dyDescent="0.2">
      <c r="B77">
        <v>353</v>
      </c>
      <c r="C77" s="5">
        <v>44684</v>
      </c>
      <c r="D77">
        <v>856</v>
      </c>
      <c r="E77">
        <v>3</v>
      </c>
      <c r="F77">
        <v>1029</v>
      </c>
      <c r="G77">
        <v>861</v>
      </c>
    </row>
    <row r="79" spans="2:10" x14ac:dyDescent="0.2">
      <c r="B79">
        <v>851</v>
      </c>
      <c r="C79" s="5">
        <v>44684</v>
      </c>
      <c r="D79">
        <v>866</v>
      </c>
      <c r="E79">
        <v>3</v>
      </c>
      <c r="F79">
        <v>1051</v>
      </c>
      <c r="G79">
        <v>881</v>
      </c>
      <c r="H79">
        <v>7760</v>
      </c>
    </row>
    <row r="80" spans="2:10" x14ac:dyDescent="0.2">
      <c r="B80">
        <v>852</v>
      </c>
      <c r="C80" s="5">
        <v>44684</v>
      </c>
      <c r="D80">
        <v>863</v>
      </c>
      <c r="E80">
        <v>3</v>
      </c>
      <c r="F80">
        <v>1067</v>
      </c>
      <c r="G80">
        <v>894</v>
      </c>
      <c r="H80">
        <v>8355</v>
      </c>
    </row>
    <row r="81" spans="2:10" x14ac:dyDescent="0.2">
      <c r="B81">
        <v>853</v>
      </c>
      <c r="C81" s="5">
        <v>44684</v>
      </c>
      <c r="D81">
        <v>869</v>
      </c>
      <c r="E81">
        <v>3</v>
      </c>
      <c r="F81">
        <v>1065</v>
      </c>
      <c r="G81">
        <v>907</v>
      </c>
      <c r="H81">
        <v>8760</v>
      </c>
    </row>
    <row r="83" spans="2:10" x14ac:dyDescent="0.2">
      <c r="B83">
        <v>101</v>
      </c>
      <c r="C83" s="5">
        <v>44684</v>
      </c>
      <c r="D83">
        <v>862</v>
      </c>
      <c r="E83">
        <v>3</v>
      </c>
      <c r="F83">
        <v>1064</v>
      </c>
      <c r="G83">
        <v>888</v>
      </c>
      <c r="H83">
        <v>9345</v>
      </c>
      <c r="I83">
        <v>1386</v>
      </c>
    </row>
    <row r="84" spans="2:10" x14ac:dyDescent="0.2">
      <c r="B84">
        <v>102</v>
      </c>
      <c r="C84" s="5">
        <v>44684</v>
      </c>
      <c r="D84">
        <v>861</v>
      </c>
      <c r="E84">
        <v>2</v>
      </c>
      <c r="F84">
        <v>1007</v>
      </c>
      <c r="G84">
        <v>881</v>
      </c>
      <c r="H84">
        <v>9410</v>
      </c>
      <c r="I84">
        <v>1191</v>
      </c>
    </row>
    <row r="85" spans="2:10" x14ac:dyDescent="0.2">
      <c r="B85">
        <v>103</v>
      </c>
      <c r="C85" s="5">
        <v>44684</v>
      </c>
      <c r="D85">
        <v>864</v>
      </c>
      <c r="E85">
        <v>2</v>
      </c>
      <c r="F85">
        <v>1002</v>
      </c>
      <c r="G85">
        <v>885</v>
      </c>
      <c r="H85">
        <v>8615</v>
      </c>
      <c r="I85">
        <v>1165</v>
      </c>
    </row>
    <row r="87" spans="2:10" x14ac:dyDescent="0.2">
      <c r="B87">
        <v>351</v>
      </c>
      <c r="C87" s="5">
        <v>44686</v>
      </c>
      <c r="D87">
        <v>877</v>
      </c>
      <c r="E87">
        <v>2</v>
      </c>
      <c r="F87">
        <v>968</v>
      </c>
      <c r="H87">
        <v>7945</v>
      </c>
      <c r="J87">
        <v>5.75</v>
      </c>
    </row>
    <row r="88" spans="2:10" x14ac:dyDescent="0.2">
      <c r="B88">
        <v>352</v>
      </c>
      <c r="C88" s="5">
        <v>44686</v>
      </c>
      <c r="D88">
        <v>876</v>
      </c>
      <c r="E88">
        <v>2</v>
      </c>
      <c r="F88">
        <v>977</v>
      </c>
      <c r="H88">
        <v>6310</v>
      </c>
      <c r="I88">
        <v>966</v>
      </c>
      <c r="J88">
        <v>5.68</v>
      </c>
    </row>
    <row r="89" spans="2:10" x14ac:dyDescent="0.2">
      <c r="B89">
        <v>353</v>
      </c>
      <c r="C89" s="5">
        <v>44686</v>
      </c>
      <c r="D89">
        <v>884</v>
      </c>
      <c r="E89">
        <v>2</v>
      </c>
      <c r="F89">
        <v>1003</v>
      </c>
      <c r="H89">
        <v>8095</v>
      </c>
      <c r="J89">
        <v>5.63</v>
      </c>
    </row>
    <row r="91" spans="2:10" x14ac:dyDescent="0.2">
      <c r="B91">
        <v>851</v>
      </c>
      <c r="C91" s="5">
        <v>44686</v>
      </c>
      <c r="D91">
        <v>881</v>
      </c>
      <c r="E91">
        <v>2</v>
      </c>
      <c r="F91">
        <v>992</v>
      </c>
      <c r="H91">
        <v>8670</v>
      </c>
      <c r="I91">
        <v>337</v>
      </c>
      <c r="J91">
        <v>6.71</v>
      </c>
    </row>
    <row r="92" spans="2:10" x14ac:dyDescent="0.2">
      <c r="B92">
        <v>852</v>
      </c>
      <c r="C92" s="5">
        <v>44686</v>
      </c>
      <c r="D92">
        <v>883</v>
      </c>
      <c r="E92">
        <v>2</v>
      </c>
      <c r="F92">
        <v>1002</v>
      </c>
      <c r="H92">
        <v>8640</v>
      </c>
      <c r="I92">
        <v>784</v>
      </c>
      <c r="J92">
        <v>5.88</v>
      </c>
    </row>
    <row r="93" spans="2:10" x14ac:dyDescent="0.2">
      <c r="B93">
        <v>853</v>
      </c>
      <c r="C93" s="5">
        <v>44686</v>
      </c>
      <c r="D93">
        <v>880</v>
      </c>
      <c r="E93">
        <v>2</v>
      </c>
      <c r="F93">
        <v>1005</v>
      </c>
      <c r="H93">
        <v>9025</v>
      </c>
      <c r="I93">
        <v>867</v>
      </c>
      <c r="J93">
        <v>6.41</v>
      </c>
    </row>
    <row r="95" spans="2:10" x14ac:dyDescent="0.2">
      <c r="B95">
        <v>101</v>
      </c>
      <c r="C95" s="5">
        <v>44686</v>
      </c>
      <c r="D95">
        <v>878</v>
      </c>
      <c r="E95">
        <v>2</v>
      </c>
      <c r="F95">
        <v>940</v>
      </c>
      <c r="H95">
        <v>9920</v>
      </c>
      <c r="J95">
        <v>5.52</v>
      </c>
    </row>
    <row r="96" spans="2:10" x14ac:dyDescent="0.2">
      <c r="B96">
        <v>102</v>
      </c>
      <c r="C96" s="5">
        <v>44686</v>
      </c>
      <c r="D96">
        <v>876</v>
      </c>
      <c r="E96">
        <v>2</v>
      </c>
      <c r="F96">
        <v>1006</v>
      </c>
      <c r="H96">
        <v>10305</v>
      </c>
      <c r="J96">
        <v>5.29</v>
      </c>
    </row>
    <row r="97" spans="2:10" x14ac:dyDescent="0.2">
      <c r="B97">
        <v>103</v>
      </c>
      <c r="C97" s="5">
        <v>44686</v>
      </c>
      <c r="D97">
        <v>885</v>
      </c>
      <c r="E97">
        <v>2</v>
      </c>
      <c r="F97">
        <v>982</v>
      </c>
      <c r="H97">
        <v>8995</v>
      </c>
      <c r="J97">
        <v>5.58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1D43-8873-4BB0-B1CF-0F8E03494AED}">
  <dimension ref="A1:V50"/>
  <sheetViews>
    <sheetView workbookViewId="0">
      <selection activeCell="P30" sqref="P30"/>
    </sheetView>
  </sheetViews>
  <sheetFormatPr defaultRowHeight="14.25" x14ac:dyDescent="0.2"/>
  <sheetData>
    <row r="1" spans="1:18" x14ac:dyDescent="0.2">
      <c r="A1" t="s">
        <v>135</v>
      </c>
      <c r="B1" t="s">
        <v>7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3</v>
      </c>
      <c r="K1" t="s">
        <v>41</v>
      </c>
      <c r="L1" t="s">
        <v>122</v>
      </c>
      <c r="M1" t="s">
        <v>49</v>
      </c>
      <c r="O1" t="s">
        <v>140</v>
      </c>
      <c r="P1" t="s">
        <v>142</v>
      </c>
      <c r="Q1" t="s">
        <v>3</v>
      </c>
      <c r="R1" t="s">
        <v>122</v>
      </c>
    </row>
    <row r="2" spans="1:18" x14ac:dyDescent="0.2">
      <c r="A2">
        <v>44663</v>
      </c>
      <c r="B2">
        <v>0</v>
      </c>
      <c r="C2">
        <v>881</v>
      </c>
      <c r="D2">
        <v>2</v>
      </c>
      <c r="E2">
        <v>1023</v>
      </c>
      <c r="F2">
        <v>900</v>
      </c>
      <c r="G2">
        <v>7100</v>
      </c>
      <c r="H2">
        <v>123</v>
      </c>
      <c r="I2">
        <v>6150</v>
      </c>
      <c r="J2">
        <v>9335</v>
      </c>
      <c r="K2">
        <v>205</v>
      </c>
      <c r="L2">
        <v>9130</v>
      </c>
      <c r="O2">
        <v>7100</v>
      </c>
      <c r="P2">
        <v>6150</v>
      </c>
      <c r="Q2">
        <v>9335</v>
      </c>
      <c r="R2">
        <v>9130</v>
      </c>
    </row>
    <row r="3" spans="1:18" x14ac:dyDescent="0.2">
      <c r="A3">
        <v>44663</v>
      </c>
      <c r="B3">
        <v>0</v>
      </c>
      <c r="C3">
        <v>878</v>
      </c>
      <c r="D3">
        <v>2</v>
      </c>
      <c r="E3">
        <v>1008</v>
      </c>
      <c r="F3">
        <v>885</v>
      </c>
      <c r="G3">
        <v>6500</v>
      </c>
      <c r="H3">
        <v>123</v>
      </c>
      <c r="I3">
        <v>6150</v>
      </c>
      <c r="J3">
        <v>8395</v>
      </c>
      <c r="O3">
        <v>6500</v>
      </c>
      <c r="P3">
        <v>6150</v>
      </c>
      <c r="Q3">
        <v>8395</v>
      </c>
    </row>
    <row r="4" spans="1:18" x14ac:dyDescent="0.2">
      <c r="A4">
        <v>44663</v>
      </c>
      <c r="B4">
        <v>0</v>
      </c>
      <c r="C4">
        <v>881</v>
      </c>
      <c r="D4">
        <v>2</v>
      </c>
      <c r="E4">
        <v>989</v>
      </c>
      <c r="F4">
        <v>870</v>
      </c>
      <c r="G4">
        <v>5400</v>
      </c>
      <c r="H4">
        <v>119</v>
      </c>
      <c r="I4">
        <v>5950</v>
      </c>
      <c r="J4">
        <v>9475</v>
      </c>
      <c r="K4">
        <v>415</v>
      </c>
      <c r="L4">
        <v>9060</v>
      </c>
      <c r="O4">
        <v>5400</v>
      </c>
      <c r="P4">
        <v>5950</v>
      </c>
      <c r="Q4">
        <v>9475</v>
      </c>
      <c r="R4">
        <v>9060</v>
      </c>
    </row>
    <row r="5" spans="1:18" x14ac:dyDescent="0.2">
      <c r="A5">
        <v>44665</v>
      </c>
      <c r="B5">
        <v>2</v>
      </c>
      <c r="C5">
        <v>884</v>
      </c>
      <c r="D5">
        <v>2</v>
      </c>
      <c r="E5">
        <v>1017</v>
      </c>
      <c r="F5">
        <v>891</v>
      </c>
      <c r="G5">
        <v>6650</v>
      </c>
      <c r="H5">
        <v>126</v>
      </c>
      <c r="I5">
        <v>6300</v>
      </c>
      <c r="J5">
        <v>8605</v>
      </c>
      <c r="K5">
        <v>643</v>
      </c>
      <c r="L5">
        <v>7962</v>
      </c>
      <c r="M5">
        <v>6.26</v>
      </c>
      <c r="O5">
        <v>6650</v>
      </c>
      <c r="P5">
        <v>6300</v>
      </c>
      <c r="Q5">
        <v>8605</v>
      </c>
      <c r="R5">
        <v>7962</v>
      </c>
    </row>
    <row r="6" spans="1:18" x14ac:dyDescent="0.2">
      <c r="A6">
        <v>44665</v>
      </c>
      <c r="B6">
        <v>2</v>
      </c>
      <c r="C6">
        <v>876</v>
      </c>
      <c r="D6">
        <v>2</v>
      </c>
      <c r="E6">
        <v>1039</v>
      </c>
      <c r="F6">
        <v>894</v>
      </c>
      <c r="G6">
        <v>8150</v>
      </c>
      <c r="H6">
        <v>145</v>
      </c>
      <c r="I6">
        <v>7250</v>
      </c>
      <c r="J6">
        <v>9195</v>
      </c>
      <c r="K6">
        <v>514</v>
      </c>
      <c r="L6">
        <v>8681</v>
      </c>
      <c r="M6">
        <v>6.48</v>
      </c>
      <c r="O6">
        <v>8150</v>
      </c>
      <c r="P6">
        <v>7250</v>
      </c>
      <c r="Q6">
        <v>9195</v>
      </c>
      <c r="R6">
        <v>8681</v>
      </c>
    </row>
    <row r="7" spans="1:18" x14ac:dyDescent="0.2">
      <c r="A7">
        <v>44665</v>
      </c>
      <c r="B7">
        <v>2</v>
      </c>
      <c r="C7">
        <v>890</v>
      </c>
      <c r="D7">
        <v>2</v>
      </c>
      <c r="E7">
        <v>1049</v>
      </c>
      <c r="F7">
        <v>895</v>
      </c>
      <c r="G7">
        <v>7950</v>
      </c>
      <c r="H7">
        <v>154</v>
      </c>
      <c r="I7">
        <v>7700</v>
      </c>
      <c r="J7">
        <v>9800</v>
      </c>
      <c r="K7">
        <v>521</v>
      </c>
      <c r="L7">
        <v>9279</v>
      </c>
      <c r="M7">
        <v>6.3</v>
      </c>
      <c r="O7">
        <v>7950</v>
      </c>
      <c r="P7">
        <v>7700</v>
      </c>
      <c r="Q7">
        <v>9800</v>
      </c>
      <c r="R7">
        <v>9279</v>
      </c>
    </row>
    <row r="8" spans="1:18" x14ac:dyDescent="0.2">
      <c r="A8">
        <v>44671</v>
      </c>
      <c r="B8">
        <v>8</v>
      </c>
      <c r="C8">
        <v>867</v>
      </c>
      <c r="D8">
        <v>2</v>
      </c>
      <c r="E8">
        <v>1011</v>
      </c>
      <c r="F8">
        <v>887</v>
      </c>
      <c r="G8">
        <v>7200</v>
      </c>
      <c r="H8">
        <v>124</v>
      </c>
      <c r="I8">
        <v>6200</v>
      </c>
      <c r="J8">
        <v>9175</v>
      </c>
      <c r="K8">
        <v>540</v>
      </c>
      <c r="L8">
        <v>8635</v>
      </c>
      <c r="M8">
        <v>6.09</v>
      </c>
      <c r="O8">
        <v>7200</v>
      </c>
      <c r="P8">
        <v>6200</v>
      </c>
      <c r="Q8">
        <v>9175</v>
      </c>
      <c r="R8">
        <v>8635</v>
      </c>
    </row>
    <row r="9" spans="1:18" x14ac:dyDescent="0.2">
      <c r="A9">
        <v>44671</v>
      </c>
      <c r="B9">
        <v>8</v>
      </c>
      <c r="C9">
        <v>873</v>
      </c>
      <c r="D9">
        <v>2</v>
      </c>
      <c r="E9">
        <v>1026</v>
      </c>
      <c r="F9">
        <v>893</v>
      </c>
      <c r="G9">
        <v>7650</v>
      </c>
      <c r="H9">
        <v>133</v>
      </c>
      <c r="I9">
        <v>6650</v>
      </c>
      <c r="J9">
        <v>9230</v>
      </c>
      <c r="K9">
        <v>415.5</v>
      </c>
      <c r="L9">
        <v>8814.5</v>
      </c>
      <c r="M9">
        <v>6.36</v>
      </c>
      <c r="O9">
        <v>7650</v>
      </c>
      <c r="P9">
        <v>6650</v>
      </c>
      <c r="Q9">
        <v>9230</v>
      </c>
      <c r="R9">
        <v>8814.5</v>
      </c>
    </row>
    <row r="10" spans="1:18" x14ac:dyDescent="0.2">
      <c r="A10">
        <v>44671</v>
      </c>
      <c r="B10">
        <v>8</v>
      </c>
      <c r="C10">
        <v>873</v>
      </c>
      <c r="D10">
        <v>2</v>
      </c>
      <c r="E10">
        <v>1011</v>
      </c>
      <c r="F10">
        <v>892</v>
      </c>
      <c r="G10">
        <v>6900</v>
      </c>
      <c r="H10">
        <v>119</v>
      </c>
      <c r="I10">
        <v>5950</v>
      </c>
      <c r="J10">
        <v>8400</v>
      </c>
      <c r="K10">
        <v>321</v>
      </c>
      <c r="L10">
        <v>8079</v>
      </c>
      <c r="M10">
        <v>6.48</v>
      </c>
      <c r="O10">
        <v>6900</v>
      </c>
      <c r="P10">
        <v>5950</v>
      </c>
      <c r="Q10">
        <v>8400</v>
      </c>
      <c r="R10">
        <v>8079</v>
      </c>
    </row>
    <row r="11" spans="1:18" x14ac:dyDescent="0.2">
      <c r="A11">
        <v>44673</v>
      </c>
      <c r="B11">
        <v>10</v>
      </c>
      <c r="C11">
        <v>880</v>
      </c>
      <c r="D11">
        <v>2</v>
      </c>
      <c r="E11">
        <v>1011</v>
      </c>
      <c r="F11">
        <v>893</v>
      </c>
      <c r="G11">
        <v>6550</v>
      </c>
      <c r="H11">
        <v>118</v>
      </c>
      <c r="I11">
        <v>5900</v>
      </c>
      <c r="J11">
        <v>9680</v>
      </c>
      <c r="K11">
        <v>868</v>
      </c>
      <c r="L11">
        <v>8812</v>
      </c>
      <c r="M11">
        <v>5.5</v>
      </c>
      <c r="O11">
        <v>6550</v>
      </c>
      <c r="P11">
        <v>5900</v>
      </c>
      <c r="Q11">
        <v>9680</v>
      </c>
      <c r="R11">
        <v>8812</v>
      </c>
    </row>
    <row r="12" spans="1:18" x14ac:dyDescent="0.2">
      <c r="A12">
        <v>44673</v>
      </c>
      <c r="B12">
        <v>10</v>
      </c>
      <c r="C12">
        <v>886</v>
      </c>
      <c r="D12">
        <v>2</v>
      </c>
      <c r="E12">
        <v>1015</v>
      </c>
      <c r="F12">
        <v>900</v>
      </c>
      <c r="G12">
        <v>6450</v>
      </c>
      <c r="H12">
        <v>115</v>
      </c>
      <c r="I12">
        <v>5750</v>
      </c>
      <c r="J12">
        <v>9425</v>
      </c>
      <c r="K12">
        <v>884</v>
      </c>
      <c r="L12">
        <v>8541</v>
      </c>
      <c r="M12">
        <v>5.63</v>
      </c>
      <c r="O12">
        <v>6450</v>
      </c>
      <c r="P12">
        <v>5750</v>
      </c>
      <c r="Q12">
        <v>9425</v>
      </c>
      <c r="R12">
        <v>8541</v>
      </c>
    </row>
    <row r="13" spans="1:18" x14ac:dyDescent="0.2">
      <c r="A13">
        <v>44673</v>
      </c>
      <c r="B13">
        <v>10</v>
      </c>
      <c r="C13">
        <v>862</v>
      </c>
      <c r="D13">
        <v>2</v>
      </c>
      <c r="E13">
        <v>1000</v>
      </c>
      <c r="F13">
        <v>877</v>
      </c>
      <c r="G13">
        <v>6900</v>
      </c>
      <c r="H13">
        <v>123</v>
      </c>
      <c r="I13">
        <v>6150</v>
      </c>
      <c r="J13">
        <v>9550</v>
      </c>
      <c r="K13">
        <v>881</v>
      </c>
      <c r="L13">
        <v>8669</v>
      </c>
      <c r="M13">
        <v>5.58</v>
      </c>
      <c r="O13">
        <v>6900</v>
      </c>
      <c r="P13">
        <v>6150</v>
      </c>
      <c r="Q13">
        <v>9550</v>
      </c>
      <c r="R13">
        <v>8669</v>
      </c>
    </row>
    <row r="14" spans="1:18" x14ac:dyDescent="0.2">
      <c r="A14">
        <v>44678</v>
      </c>
      <c r="B14">
        <v>15</v>
      </c>
      <c r="C14">
        <v>885</v>
      </c>
      <c r="D14">
        <v>3</v>
      </c>
      <c r="E14">
        <v>1074</v>
      </c>
      <c r="F14">
        <v>902</v>
      </c>
      <c r="G14">
        <v>6300</v>
      </c>
      <c r="H14">
        <v>172</v>
      </c>
      <c r="I14">
        <v>5733.3333333333339</v>
      </c>
      <c r="J14">
        <v>9290</v>
      </c>
      <c r="K14">
        <v>1279</v>
      </c>
      <c r="L14">
        <v>8011</v>
      </c>
      <c r="M14">
        <v>5.49</v>
      </c>
      <c r="O14">
        <v>6300</v>
      </c>
      <c r="P14">
        <v>5733.3333333333339</v>
      </c>
      <c r="Q14">
        <v>9290</v>
      </c>
      <c r="R14">
        <v>8011</v>
      </c>
    </row>
    <row r="15" spans="1:18" x14ac:dyDescent="0.2">
      <c r="A15">
        <v>44678</v>
      </c>
      <c r="B15">
        <v>15</v>
      </c>
      <c r="C15">
        <v>889</v>
      </c>
      <c r="D15">
        <v>3</v>
      </c>
      <c r="E15">
        <v>1085</v>
      </c>
      <c r="F15">
        <v>907</v>
      </c>
      <c r="G15">
        <v>6533.333333333333</v>
      </c>
      <c r="H15">
        <v>178</v>
      </c>
      <c r="I15">
        <v>5933.3333333333339</v>
      </c>
      <c r="J15">
        <v>9220</v>
      </c>
      <c r="M15">
        <v>5.47</v>
      </c>
      <c r="O15">
        <v>6533.333333333333</v>
      </c>
      <c r="P15">
        <v>5933.3333333333339</v>
      </c>
      <c r="Q15">
        <v>9220</v>
      </c>
    </row>
    <row r="16" spans="1:18" x14ac:dyDescent="0.2">
      <c r="A16">
        <v>44678</v>
      </c>
      <c r="B16">
        <v>15</v>
      </c>
      <c r="C16">
        <v>884</v>
      </c>
      <c r="D16">
        <v>3</v>
      </c>
      <c r="E16">
        <v>1080</v>
      </c>
      <c r="F16">
        <v>906</v>
      </c>
      <c r="G16">
        <v>6533.333333333333</v>
      </c>
      <c r="H16">
        <v>174</v>
      </c>
      <c r="I16">
        <v>5800</v>
      </c>
      <c r="J16">
        <v>9715</v>
      </c>
      <c r="K16">
        <v>1184</v>
      </c>
      <c r="L16">
        <v>8531</v>
      </c>
      <c r="M16">
        <v>5.66</v>
      </c>
      <c r="O16">
        <v>6533.333333333333</v>
      </c>
      <c r="P16">
        <v>5800</v>
      </c>
      <c r="Q16">
        <v>9715</v>
      </c>
      <c r="R16">
        <v>8531</v>
      </c>
    </row>
    <row r="17" spans="1:18" x14ac:dyDescent="0.2">
      <c r="A17">
        <v>44680</v>
      </c>
      <c r="B17">
        <v>17</v>
      </c>
      <c r="C17">
        <v>867</v>
      </c>
      <c r="D17">
        <v>3</v>
      </c>
      <c r="E17">
        <v>1067</v>
      </c>
      <c r="F17">
        <v>892</v>
      </c>
      <c r="G17">
        <v>6666.666666666667</v>
      </c>
      <c r="H17">
        <v>175</v>
      </c>
      <c r="I17">
        <v>5833.3333333333339</v>
      </c>
      <c r="J17">
        <v>8810</v>
      </c>
      <c r="K17">
        <v>1386</v>
      </c>
      <c r="L17">
        <v>7424</v>
      </c>
      <c r="O17">
        <v>6666.666666666667</v>
      </c>
      <c r="P17">
        <v>5833.3333333333339</v>
      </c>
      <c r="Q17">
        <v>8810</v>
      </c>
      <c r="R17">
        <v>7424</v>
      </c>
    </row>
    <row r="18" spans="1:18" x14ac:dyDescent="0.2">
      <c r="A18">
        <v>44680</v>
      </c>
      <c r="B18">
        <v>17</v>
      </c>
      <c r="C18">
        <v>871</v>
      </c>
      <c r="D18">
        <v>3</v>
      </c>
      <c r="E18">
        <v>1086</v>
      </c>
      <c r="F18">
        <v>890</v>
      </c>
      <c r="G18">
        <v>7166.666666666667</v>
      </c>
      <c r="H18">
        <v>196</v>
      </c>
      <c r="I18">
        <v>6533.333333333333</v>
      </c>
      <c r="J18">
        <v>8800</v>
      </c>
      <c r="K18">
        <v>1191</v>
      </c>
      <c r="L18">
        <v>7609</v>
      </c>
      <c r="M18">
        <v>5.5</v>
      </c>
      <c r="O18">
        <v>7166.666666666667</v>
      </c>
      <c r="P18">
        <v>6533.333333333333</v>
      </c>
      <c r="Q18">
        <v>8800</v>
      </c>
      <c r="R18">
        <v>7609</v>
      </c>
    </row>
    <row r="19" spans="1:18" x14ac:dyDescent="0.2">
      <c r="A19">
        <v>44680</v>
      </c>
      <c r="B19">
        <v>17</v>
      </c>
      <c r="C19">
        <v>882</v>
      </c>
      <c r="D19">
        <v>3</v>
      </c>
      <c r="E19">
        <v>1077</v>
      </c>
      <c r="F19">
        <v>906</v>
      </c>
      <c r="G19">
        <v>6500</v>
      </c>
      <c r="H19">
        <v>171</v>
      </c>
      <c r="I19">
        <v>5700</v>
      </c>
      <c r="J19">
        <v>9370</v>
      </c>
      <c r="K19">
        <v>1165</v>
      </c>
      <c r="L19">
        <v>8205</v>
      </c>
      <c r="M19">
        <v>5.57</v>
      </c>
      <c r="O19">
        <v>6500</v>
      </c>
      <c r="P19">
        <v>5700</v>
      </c>
      <c r="Q19">
        <v>9370</v>
      </c>
      <c r="R19">
        <v>8205</v>
      </c>
    </row>
    <row r="20" spans="1:18" x14ac:dyDescent="0.2">
      <c r="A20">
        <v>44684</v>
      </c>
      <c r="B20">
        <v>21</v>
      </c>
      <c r="C20">
        <v>862</v>
      </c>
      <c r="D20">
        <v>3</v>
      </c>
      <c r="E20">
        <v>1064</v>
      </c>
      <c r="F20">
        <v>888</v>
      </c>
      <c r="G20">
        <v>6733.333333333333</v>
      </c>
      <c r="H20">
        <v>176</v>
      </c>
      <c r="I20">
        <v>5866.6666666666661</v>
      </c>
      <c r="J20">
        <v>9345</v>
      </c>
      <c r="K20">
        <v>1386</v>
      </c>
      <c r="L20">
        <v>7959</v>
      </c>
      <c r="O20">
        <v>6733.333333333333</v>
      </c>
      <c r="P20">
        <v>5866.6666666666661</v>
      </c>
      <c r="Q20">
        <v>9345</v>
      </c>
    </row>
    <row r="21" spans="1:18" x14ac:dyDescent="0.2">
      <c r="A21">
        <v>44684</v>
      </c>
      <c r="B21">
        <v>21</v>
      </c>
      <c r="C21">
        <v>861</v>
      </c>
      <c r="D21">
        <v>2</v>
      </c>
      <c r="E21">
        <v>1007</v>
      </c>
      <c r="F21">
        <v>881</v>
      </c>
      <c r="G21">
        <v>7300</v>
      </c>
      <c r="H21">
        <v>126</v>
      </c>
      <c r="I21">
        <v>6300</v>
      </c>
      <c r="J21">
        <v>9410</v>
      </c>
      <c r="K21">
        <v>1191</v>
      </c>
      <c r="L21">
        <v>8219</v>
      </c>
      <c r="O21">
        <v>7300</v>
      </c>
      <c r="P21">
        <v>6300</v>
      </c>
      <c r="Q21">
        <v>9410</v>
      </c>
    </row>
    <row r="22" spans="1:18" x14ac:dyDescent="0.2">
      <c r="A22">
        <v>44684</v>
      </c>
      <c r="B22">
        <v>21</v>
      </c>
      <c r="C22">
        <v>864</v>
      </c>
      <c r="D22">
        <v>2</v>
      </c>
      <c r="E22">
        <v>1002</v>
      </c>
      <c r="F22">
        <v>885</v>
      </c>
      <c r="G22">
        <v>6900</v>
      </c>
      <c r="H22">
        <v>117</v>
      </c>
      <c r="I22">
        <v>5850</v>
      </c>
      <c r="J22">
        <v>8615</v>
      </c>
      <c r="K22">
        <v>1165</v>
      </c>
      <c r="L22">
        <v>7450</v>
      </c>
      <c r="O22">
        <v>6900</v>
      </c>
      <c r="P22">
        <v>5850</v>
      </c>
      <c r="Q22">
        <v>8615</v>
      </c>
    </row>
    <row r="23" spans="1:18" x14ac:dyDescent="0.2">
      <c r="A23">
        <v>44686</v>
      </c>
      <c r="B23">
        <v>23</v>
      </c>
      <c r="C23">
        <v>878</v>
      </c>
      <c r="D23">
        <v>2</v>
      </c>
      <c r="E23">
        <v>940</v>
      </c>
      <c r="G23">
        <v>3100</v>
      </c>
      <c r="J23">
        <v>9920</v>
      </c>
      <c r="M23">
        <v>5.52</v>
      </c>
      <c r="O23">
        <v>3100</v>
      </c>
      <c r="Q23">
        <v>9920</v>
      </c>
    </row>
    <row r="24" spans="1:18" x14ac:dyDescent="0.2">
      <c r="A24">
        <v>44686</v>
      </c>
      <c r="B24">
        <v>23</v>
      </c>
      <c r="C24">
        <v>876</v>
      </c>
      <c r="D24">
        <v>2</v>
      </c>
      <c r="E24">
        <v>1006</v>
      </c>
      <c r="G24">
        <v>6500</v>
      </c>
      <c r="J24">
        <v>10305</v>
      </c>
      <c r="M24">
        <v>5.29</v>
      </c>
      <c r="O24">
        <v>6500</v>
      </c>
      <c r="Q24">
        <v>10305</v>
      </c>
    </row>
    <row r="25" spans="1:18" x14ac:dyDescent="0.2">
      <c r="A25">
        <v>44686</v>
      </c>
      <c r="B25">
        <v>23</v>
      </c>
      <c r="C25">
        <v>885</v>
      </c>
      <c r="D25">
        <v>2</v>
      </c>
      <c r="E25">
        <v>982</v>
      </c>
      <c r="G25">
        <v>4850</v>
      </c>
      <c r="J25">
        <v>8995</v>
      </c>
      <c r="M25">
        <v>5.58</v>
      </c>
      <c r="O25">
        <v>4850</v>
      </c>
      <c r="Q25">
        <v>8995</v>
      </c>
    </row>
    <row r="32" spans="1:18" x14ac:dyDescent="0.2">
      <c r="C32" t="s">
        <v>120</v>
      </c>
      <c r="H32" t="s">
        <v>121</v>
      </c>
      <c r="M32" t="s">
        <v>3</v>
      </c>
      <c r="R32" t="s">
        <v>122</v>
      </c>
    </row>
    <row r="33" spans="1:22" x14ac:dyDescent="0.2">
      <c r="C33" t="s">
        <v>143</v>
      </c>
      <c r="D33" t="s">
        <v>144</v>
      </c>
      <c r="E33" t="s">
        <v>145</v>
      </c>
      <c r="F33" t="s">
        <v>83</v>
      </c>
      <c r="G33" t="s">
        <v>107</v>
      </c>
      <c r="H33" t="s">
        <v>143</v>
      </c>
      <c r="I33" t="s">
        <v>144</v>
      </c>
      <c r="J33" t="s">
        <v>145</v>
      </c>
      <c r="K33" t="s">
        <v>83</v>
      </c>
      <c r="L33" t="s">
        <v>107</v>
      </c>
      <c r="M33" t="s">
        <v>143</v>
      </c>
      <c r="N33" t="s">
        <v>144</v>
      </c>
      <c r="O33" t="s">
        <v>145</v>
      </c>
      <c r="P33" t="s">
        <v>83</v>
      </c>
      <c r="Q33" t="s">
        <v>107</v>
      </c>
      <c r="R33" t="s">
        <v>143</v>
      </c>
      <c r="S33" t="s">
        <v>144</v>
      </c>
      <c r="T33" t="s">
        <v>145</v>
      </c>
      <c r="U33" t="s">
        <v>83</v>
      </c>
      <c r="V33" t="s">
        <v>107</v>
      </c>
    </row>
    <row r="34" spans="1:22" x14ac:dyDescent="0.2">
      <c r="A34">
        <v>44663</v>
      </c>
      <c r="B34">
        <v>0</v>
      </c>
      <c r="C34">
        <v>7100</v>
      </c>
      <c r="D34">
        <v>6500</v>
      </c>
      <c r="E34">
        <v>5400</v>
      </c>
      <c r="F34">
        <v>6333.333333333333</v>
      </c>
      <c r="G34">
        <v>703.95706939809588</v>
      </c>
      <c r="H34">
        <v>6150</v>
      </c>
      <c r="I34">
        <v>6150</v>
      </c>
      <c r="J34">
        <v>5950</v>
      </c>
      <c r="K34">
        <v>6083.333333333333</v>
      </c>
      <c r="L34">
        <v>94.28090415820634</v>
      </c>
      <c r="M34">
        <v>9335</v>
      </c>
      <c r="N34">
        <v>8395</v>
      </c>
      <c r="O34">
        <v>9475</v>
      </c>
      <c r="P34">
        <v>9068.3333333333339</v>
      </c>
      <c r="Q34">
        <v>479.53681355611849</v>
      </c>
      <c r="R34">
        <v>9130</v>
      </c>
      <c r="T34">
        <v>9060</v>
      </c>
      <c r="U34">
        <v>9095</v>
      </c>
      <c r="V34">
        <v>35</v>
      </c>
    </row>
    <row r="35" spans="1:22" x14ac:dyDescent="0.2">
      <c r="A35">
        <v>44665</v>
      </c>
      <c r="B35">
        <v>2</v>
      </c>
      <c r="C35">
        <v>6650</v>
      </c>
      <c r="D35">
        <v>8150</v>
      </c>
      <c r="E35">
        <v>7950</v>
      </c>
      <c r="F35">
        <v>7583.333333333333</v>
      </c>
      <c r="G35">
        <v>664.99791144200015</v>
      </c>
      <c r="H35">
        <v>6300</v>
      </c>
      <c r="I35">
        <v>7250</v>
      </c>
      <c r="J35">
        <v>7700</v>
      </c>
      <c r="K35">
        <v>7083.333333333333</v>
      </c>
      <c r="L35">
        <v>583.57138000038651</v>
      </c>
      <c r="M35">
        <v>8605</v>
      </c>
      <c r="N35">
        <v>9195</v>
      </c>
      <c r="O35">
        <v>9800</v>
      </c>
      <c r="P35">
        <v>9200</v>
      </c>
      <c r="Q35">
        <v>487.86951807493227</v>
      </c>
      <c r="R35">
        <v>7962</v>
      </c>
      <c r="S35">
        <v>8681</v>
      </c>
      <c r="T35">
        <v>9279</v>
      </c>
      <c r="U35">
        <v>8640.6666666666661</v>
      </c>
      <c r="V35">
        <v>538.4188786520109</v>
      </c>
    </row>
    <row r="36" spans="1:22" x14ac:dyDescent="0.2">
      <c r="A36">
        <v>44671</v>
      </c>
      <c r="B36">
        <v>8</v>
      </c>
      <c r="C36">
        <v>7200</v>
      </c>
      <c r="D36">
        <v>7650</v>
      </c>
      <c r="E36">
        <v>6900</v>
      </c>
      <c r="F36">
        <v>7250</v>
      </c>
      <c r="G36">
        <v>308.22070014844883</v>
      </c>
      <c r="H36">
        <v>6200</v>
      </c>
      <c r="I36">
        <v>6650</v>
      </c>
      <c r="J36">
        <v>5950</v>
      </c>
      <c r="K36">
        <v>6266.666666666667</v>
      </c>
      <c r="L36">
        <v>289.63578661637945</v>
      </c>
      <c r="M36">
        <v>9175</v>
      </c>
      <c r="N36">
        <v>9230</v>
      </c>
      <c r="O36">
        <v>8400</v>
      </c>
      <c r="P36">
        <v>8935</v>
      </c>
      <c r="Q36">
        <v>378.96789661746635</v>
      </c>
      <c r="R36">
        <v>8635</v>
      </c>
      <c r="S36">
        <v>8814.5</v>
      </c>
      <c r="T36">
        <v>8079</v>
      </c>
      <c r="U36">
        <v>8509.5</v>
      </c>
      <c r="V36">
        <v>313.10567971000887</v>
      </c>
    </row>
    <row r="37" spans="1:22" x14ac:dyDescent="0.2">
      <c r="A37">
        <v>44673</v>
      </c>
      <c r="B37">
        <v>10</v>
      </c>
      <c r="C37">
        <v>6550</v>
      </c>
      <c r="D37">
        <v>6450</v>
      </c>
      <c r="E37">
        <v>6900</v>
      </c>
      <c r="F37">
        <v>6633.333333333333</v>
      </c>
      <c r="G37">
        <v>192.93061504650376</v>
      </c>
      <c r="H37">
        <v>5900</v>
      </c>
      <c r="I37">
        <v>5750</v>
      </c>
      <c r="J37">
        <v>6150</v>
      </c>
      <c r="K37">
        <v>5933.333333333333</v>
      </c>
      <c r="L37">
        <v>164.99158227686107</v>
      </c>
      <c r="M37">
        <v>9680</v>
      </c>
      <c r="N37">
        <v>9425</v>
      </c>
      <c r="O37">
        <v>9550</v>
      </c>
      <c r="P37">
        <v>9551.6666666666661</v>
      </c>
      <c r="Q37">
        <v>104.10998457827611</v>
      </c>
      <c r="R37">
        <v>8812</v>
      </c>
      <c r="S37">
        <v>8541</v>
      </c>
      <c r="T37">
        <v>8669</v>
      </c>
      <c r="U37">
        <v>8674</v>
      </c>
      <c r="V37">
        <v>110.69176422239671</v>
      </c>
    </row>
    <row r="38" spans="1:22" x14ac:dyDescent="0.2">
      <c r="A38">
        <v>44678</v>
      </c>
      <c r="B38">
        <v>15</v>
      </c>
      <c r="C38">
        <v>6300</v>
      </c>
      <c r="D38">
        <v>6533.333333333333</v>
      </c>
      <c r="E38">
        <v>6533.333333333333</v>
      </c>
      <c r="F38">
        <v>6455.5555555555547</v>
      </c>
      <c r="G38">
        <v>109.99438818457392</v>
      </c>
      <c r="H38">
        <v>5733.3333333333339</v>
      </c>
      <c r="I38">
        <v>5933.3333333333339</v>
      </c>
      <c r="J38">
        <v>5800</v>
      </c>
      <c r="K38">
        <v>5822.2222222222226</v>
      </c>
      <c r="L38">
        <v>83.147941928309862</v>
      </c>
      <c r="M38">
        <v>9290</v>
      </c>
      <c r="N38">
        <v>9220</v>
      </c>
      <c r="O38">
        <v>9715</v>
      </c>
      <c r="P38">
        <v>9408.3333333333339</v>
      </c>
      <c r="Q38">
        <v>218.72102982769829</v>
      </c>
      <c r="R38">
        <v>8011</v>
      </c>
      <c r="T38">
        <v>8531</v>
      </c>
      <c r="U38">
        <v>8271</v>
      </c>
      <c r="V38">
        <v>260</v>
      </c>
    </row>
    <row r="39" spans="1:22" x14ac:dyDescent="0.2">
      <c r="A39">
        <v>44680</v>
      </c>
      <c r="B39">
        <v>17</v>
      </c>
      <c r="C39">
        <v>6666.666666666667</v>
      </c>
      <c r="D39">
        <v>7166.666666666667</v>
      </c>
      <c r="E39">
        <v>6500</v>
      </c>
      <c r="F39">
        <v>6777.7777777777783</v>
      </c>
      <c r="G39">
        <v>283.27886186626591</v>
      </c>
      <c r="H39">
        <v>5833.3333333333339</v>
      </c>
      <c r="I39">
        <v>6533.333333333333</v>
      </c>
      <c r="J39">
        <v>5700</v>
      </c>
      <c r="K39">
        <v>6022.2222222222226</v>
      </c>
      <c r="L39">
        <v>365.48631563107813</v>
      </c>
      <c r="M39">
        <v>8810</v>
      </c>
      <c r="N39">
        <v>8800</v>
      </c>
      <c r="O39">
        <v>9370</v>
      </c>
      <c r="P39">
        <v>8993.3333333333339</v>
      </c>
      <c r="Q39">
        <v>266.37484032009394</v>
      </c>
      <c r="R39">
        <v>7424</v>
      </c>
      <c r="S39">
        <v>7609</v>
      </c>
      <c r="T39">
        <v>8205</v>
      </c>
      <c r="U39">
        <v>7746</v>
      </c>
      <c r="V39">
        <v>333.23365176204317</v>
      </c>
    </row>
    <row r="40" spans="1:22" x14ac:dyDescent="0.2">
      <c r="A40">
        <v>44684</v>
      </c>
      <c r="B40">
        <v>21</v>
      </c>
      <c r="C40">
        <v>6733.333333333333</v>
      </c>
      <c r="D40">
        <v>7300</v>
      </c>
      <c r="E40">
        <v>6900</v>
      </c>
      <c r="F40">
        <v>6977.7777777777774</v>
      </c>
      <c r="G40">
        <v>237.78816176703006</v>
      </c>
      <c r="H40">
        <v>5866.6666666666661</v>
      </c>
      <c r="I40">
        <v>6300</v>
      </c>
      <c r="J40">
        <v>5850</v>
      </c>
      <c r="K40">
        <v>6005.5555555555547</v>
      </c>
      <c r="L40">
        <v>208.31481399169652</v>
      </c>
      <c r="M40">
        <v>9345</v>
      </c>
      <c r="N40">
        <v>9410</v>
      </c>
      <c r="O40">
        <v>8615</v>
      </c>
      <c r="P40">
        <v>9123.3333333333339</v>
      </c>
      <c r="Q40">
        <v>360.42413287064386</v>
      </c>
      <c r="R40">
        <v>7959</v>
      </c>
      <c r="S40">
        <v>8219</v>
      </c>
      <c r="T40">
        <v>7450</v>
      </c>
      <c r="U40">
        <v>7876</v>
      </c>
      <c r="V40">
        <v>319.38169431992605</v>
      </c>
    </row>
    <row r="41" spans="1:22" x14ac:dyDescent="0.2">
      <c r="A41">
        <v>44686</v>
      </c>
      <c r="B41">
        <v>23</v>
      </c>
      <c r="C41">
        <v>3100</v>
      </c>
      <c r="D41">
        <v>6500</v>
      </c>
      <c r="E41">
        <v>4850</v>
      </c>
      <c r="F41">
        <v>4816.666666666667</v>
      </c>
      <c r="G41">
        <v>1388.24429486392</v>
      </c>
      <c r="M41">
        <v>9920</v>
      </c>
      <c r="N41">
        <v>10305</v>
      </c>
      <c r="O41">
        <v>8995</v>
      </c>
      <c r="P41">
        <v>9740</v>
      </c>
      <c r="Q41">
        <v>549.74236390027886</v>
      </c>
    </row>
    <row r="44" spans="1:22" x14ac:dyDescent="0.2">
      <c r="G44" t="s">
        <v>101</v>
      </c>
      <c r="H44">
        <v>7.3000000000000001E-3</v>
      </c>
    </row>
    <row r="45" spans="1:22" x14ac:dyDescent="0.2">
      <c r="G45" t="s">
        <v>69</v>
      </c>
      <c r="H45">
        <v>3.0000000000000001E-3</v>
      </c>
      <c r="J45">
        <v>4.3E-3</v>
      </c>
    </row>
    <row r="46" spans="1:22" x14ac:dyDescent="0.2">
      <c r="G46" t="s">
        <v>70</v>
      </c>
      <c r="H46">
        <v>1.1599999999999999E-2</v>
      </c>
      <c r="J46">
        <v>4.2999999999999991E-3</v>
      </c>
    </row>
    <row r="48" spans="1:22" x14ac:dyDescent="0.2">
      <c r="G48" t="s">
        <v>146</v>
      </c>
      <c r="H48">
        <v>9058</v>
      </c>
    </row>
    <row r="49" spans="7:8" x14ac:dyDescent="0.2">
      <c r="G49" t="s">
        <v>147</v>
      </c>
      <c r="H49">
        <v>8659.6</v>
      </c>
    </row>
    <row r="50" spans="7:8" x14ac:dyDescent="0.2">
      <c r="G50" t="s">
        <v>148</v>
      </c>
      <c r="H50">
        <v>9457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3BC8-8BF8-4AFD-B44B-2CF2C848D87F}">
  <dimension ref="A2:AE74"/>
  <sheetViews>
    <sheetView workbookViewId="0">
      <selection activeCell="K32" sqref="K32"/>
    </sheetView>
  </sheetViews>
  <sheetFormatPr defaultRowHeight="14.25" x14ac:dyDescent="0.2"/>
  <sheetData>
    <row r="2" spans="1:29" x14ac:dyDescent="0.2">
      <c r="A2" t="s">
        <v>79</v>
      </c>
      <c r="B2">
        <v>1.5822539271777214</v>
      </c>
    </row>
    <row r="3" spans="1:29" x14ac:dyDescent="0.2">
      <c r="A3" t="s">
        <v>80</v>
      </c>
      <c r="B3">
        <v>226.63324698007847</v>
      </c>
    </row>
    <row r="4" spans="1:29" x14ac:dyDescent="0.2">
      <c r="A4" t="s">
        <v>81</v>
      </c>
      <c r="B4">
        <v>0.1</v>
      </c>
      <c r="V4" t="s">
        <v>79</v>
      </c>
      <c r="W4">
        <v>1.5822539271777214</v>
      </c>
      <c r="Y4">
        <v>1.2617393827397081</v>
      </c>
      <c r="Z4">
        <v>1.8393399024637969</v>
      </c>
      <c r="AB4">
        <f>W4-Y4</f>
        <v>0.3205145444380133</v>
      </c>
      <c r="AC4">
        <f>Z4-W4</f>
        <v>0.25708597528607546</v>
      </c>
    </row>
    <row r="5" spans="1:29" x14ac:dyDescent="0.2">
      <c r="A5" t="s">
        <v>82</v>
      </c>
      <c r="B5">
        <v>0.192</v>
      </c>
      <c r="F5" t="s">
        <v>7</v>
      </c>
      <c r="G5" t="s">
        <v>83</v>
      </c>
      <c r="H5" t="s">
        <v>84</v>
      </c>
      <c r="I5" t="s">
        <v>85</v>
      </c>
      <c r="N5" t="s">
        <v>86</v>
      </c>
      <c r="O5" t="s">
        <v>87</v>
      </c>
      <c r="P5" t="s">
        <v>88</v>
      </c>
      <c r="S5" t="s">
        <v>89</v>
      </c>
      <c r="V5" t="s">
        <v>80</v>
      </c>
      <c r="W5">
        <v>226.63324698007847</v>
      </c>
      <c r="Y5">
        <v>193.41526556109679</v>
      </c>
      <c r="Z5">
        <v>287.77602994140329</v>
      </c>
    </row>
    <row r="6" spans="1:29" x14ac:dyDescent="0.2">
      <c r="A6" t="s">
        <v>90</v>
      </c>
      <c r="B6">
        <v>6150</v>
      </c>
      <c r="F6">
        <v>0</v>
      </c>
      <c r="G6">
        <v>9095</v>
      </c>
      <c r="H6">
        <f>N6</f>
        <v>8996.8758121363371</v>
      </c>
      <c r="I6">
        <v>9058</v>
      </c>
      <c r="M6">
        <v>0</v>
      </c>
      <c r="N6">
        <f>B7</f>
        <v>8996.8758121363371</v>
      </c>
      <c r="O6">
        <f>B6</f>
        <v>6150</v>
      </c>
      <c r="R6">
        <f>G6</f>
        <v>9095</v>
      </c>
      <c r="S6">
        <f t="shared" ref="S6:S56" si="0">((R6-N6)^2)^0.5</f>
        <v>98.124187863662883</v>
      </c>
      <c r="V6" t="s">
        <v>81</v>
      </c>
      <c r="W6">
        <v>0.1</v>
      </c>
    </row>
    <row r="7" spans="1:29" x14ac:dyDescent="0.2">
      <c r="A7" t="s">
        <v>91</v>
      </c>
      <c r="B7">
        <v>8996.8758121363371</v>
      </c>
      <c r="F7">
        <v>2</v>
      </c>
      <c r="G7">
        <v>8640.6666666666661</v>
      </c>
      <c r="H7">
        <f>N8</f>
        <v>8872.58146961686</v>
      </c>
      <c r="I7">
        <v>8926.7139204508167</v>
      </c>
      <c r="M7">
        <v>1</v>
      </c>
      <c r="N7">
        <f>B7-B2*B6*(B7/(B3*B6+B7))</f>
        <v>8934.4664209195271</v>
      </c>
      <c r="O7">
        <f>B6+$B$4*(N7-N6)-$B$5*O6</f>
        <v>4962.9590608783192</v>
      </c>
      <c r="P7">
        <f>N7-$B$2*O7*(N7/($B$3*O7+N7))</f>
        <v>8872.58146961686</v>
      </c>
      <c r="V7" t="s">
        <v>82</v>
      </c>
      <c r="W7">
        <v>0.192</v>
      </c>
    </row>
    <row r="8" spans="1:29" x14ac:dyDescent="0.2">
      <c r="A8" t="s">
        <v>92</v>
      </c>
      <c r="B8">
        <f>S29</f>
        <v>1037.7619986917916</v>
      </c>
      <c r="F8">
        <v>8</v>
      </c>
      <c r="G8">
        <v>8509.5</v>
      </c>
      <c r="H8">
        <f>N14</f>
        <v>8513.5217982365957</v>
      </c>
      <c r="I8">
        <v>8544.1628751083008</v>
      </c>
      <c r="M8">
        <v>2</v>
      </c>
      <c r="N8">
        <f>P7</f>
        <v>8872.58146961686</v>
      </c>
      <c r="O8">
        <f>O7+$B$4*(N8-N7)-$B$5*O7</f>
        <v>4003.8824260594156</v>
      </c>
      <c r="P8">
        <f>N8-$B$2*O8*(N8/($B$3*O8+N8))</f>
        <v>8811.2368185130272</v>
      </c>
      <c r="R8">
        <f>G7</f>
        <v>8640.6666666666661</v>
      </c>
      <c r="S8">
        <f t="shared" si="0"/>
        <v>231.91480295019392</v>
      </c>
      <c r="V8" t="s">
        <v>90</v>
      </c>
      <c r="W8">
        <v>6150</v>
      </c>
    </row>
    <row r="9" spans="1:29" x14ac:dyDescent="0.2">
      <c r="F9">
        <v>10</v>
      </c>
      <c r="G9">
        <v>8674</v>
      </c>
      <c r="H9">
        <f>N16</f>
        <v>8399.4352907544435</v>
      </c>
      <c r="I9">
        <v>8420.3243183736304</v>
      </c>
      <c r="M9">
        <v>3</v>
      </c>
      <c r="N9">
        <f t="shared" ref="N9:N27" si="1">P8</f>
        <v>8811.2368185130272</v>
      </c>
      <c r="O9">
        <f>O8+$B$4*(N9-N8)-$B$5*O8</f>
        <v>3229.0025351456247</v>
      </c>
      <c r="P9">
        <f>N9-$B$2*O9*(N9/($B$3*O9+N9))</f>
        <v>8750.4525018739987</v>
      </c>
      <c r="V9" t="s">
        <v>91</v>
      </c>
      <c r="W9">
        <v>8996.8758121363371</v>
      </c>
    </row>
    <row r="10" spans="1:29" x14ac:dyDescent="0.2">
      <c r="A10" t="s">
        <v>93</v>
      </c>
      <c r="B10">
        <f>B8/(COUNT(F6:F15))</f>
        <v>148.25171409882736</v>
      </c>
      <c r="F10">
        <v>15</v>
      </c>
      <c r="G10">
        <v>8271</v>
      </c>
      <c r="H10">
        <f>N21</f>
        <v>8132.690013355289</v>
      </c>
      <c r="I10">
        <v>8118.5238447919828</v>
      </c>
      <c r="M10">
        <v>4</v>
      </c>
      <c r="N10">
        <f t="shared" si="1"/>
        <v>8750.4525018739987</v>
      </c>
      <c r="O10">
        <f t="shared" ref="O10:O27" si="2">O9+$B$4*(N10-N9)-$B$5*O9</f>
        <v>2602.9556167337619</v>
      </c>
      <c r="P10">
        <f t="shared" ref="P10:P27" si="3">N10-$B$2*O10*(N10/($B$3*O10+N10))</f>
        <v>8690.2536332324471</v>
      </c>
      <c r="V10" t="s">
        <v>92</v>
      </c>
      <c r="W10">
        <v>1037.7619986917916</v>
      </c>
    </row>
    <row r="11" spans="1:29" x14ac:dyDescent="0.2">
      <c r="F11">
        <v>17</v>
      </c>
      <c r="G11">
        <v>7746</v>
      </c>
      <c r="H11">
        <f>N23</f>
        <v>8036.8264370192855</v>
      </c>
      <c r="I11">
        <v>8000.8544732630253</v>
      </c>
      <c r="M11">
        <v>5</v>
      </c>
      <c r="N11">
        <f t="shared" si="1"/>
        <v>8690.2536332324471</v>
      </c>
      <c r="O11">
        <f t="shared" si="2"/>
        <v>2097.1682514567246</v>
      </c>
      <c r="P11">
        <f t="shared" si="3"/>
        <v>8630.6715045209967</v>
      </c>
    </row>
    <row r="12" spans="1:29" x14ac:dyDescent="0.2">
      <c r="A12" t="s">
        <v>94</v>
      </c>
      <c r="F12">
        <v>21</v>
      </c>
      <c r="G12">
        <v>7876</v>
      </c>
      <c r="H12">
        <f>N27</f>
        <v>7875.9999232682139</v>
      </c>
      <c r="I12">
        <v>7770.6074882088351</v>
      </c>
      <c r="M12">
        <v>6</v>
      </c>
      <c r="N12">
        <f t="shared" si="1"/>
        <v>8630.6715045209967</v>
      </c>
      <c r="O12">
        <f t="shared" si="2"/>
        <v>1688.5537343058886</v>
      </c>
      <c r="P12">
        <f t="shared" si="3"/>
        <v>8571.7449182488144</v>
      </c>
      <c r="V12" t="s">
        <v>93</v>
      </c>
      <c r="W12">
        <v>148.25171409882736</v>
      </c>
    </row>
    <row r="13" spans="1:29" x14ac:dyDescent="0.2">
      <c r="B13">
        <f>B8+B10*2</f>
        <v>1334.2654268894464</v>
      </c>
      <c r="K13">
        <f>(G6-G12)/G6</f>
        <v>0.13402968664101156</v>
      </c>
      <c r="M13">
        <v>7</v>
      </c>
      <c r="N13">
        <f t="shared" si="1"/>
        <v>8571.7449182488144</v>
      </c>
      <c r="O13">
        <f t="shared" si="2"/>
        <v>1358.4587586919397</v>
      </c>
      <c r="P13">
        <f t="shared" si="3"/>
        <v>8513.5217982365957</v>
      </c>
    </row>
    <row r="14" spans="1:29" x14ac:dyDescent="0.2">
      <c r="M14">
        <v>8</v>
      </c>
      <c r="N14">
        <f t="shared" si="1"/>
        <v>8513.5217982365957</v>
      </c>
      <c r="O14">
        <f t="shared" si="2"/>
        <v>1091.8123650218654</v>
      </c>
      <c r="P14">
        <f t="shared" si="3"/>
        <v>8456.0611305263646</v>
      </c>
      <c r="R14">
        <f>G8</f>
        <v>8509.5</v>
      </c>
      <c r="S14">
        <f t="shared" si="0"/>
        <v>4.0217982365957141</v>
      </c>
      <c r="V14" t="s">
        <v>94</v>
      </c>
    </row>
    <row r="15" spans="1:29" x14ac:dyDescent="0.2">
      <c r="M15">
        <v>9</v>
      </c>
      <c r="N15">
        <f t="shared" si="1"/>
        <v>8456.0611305263646</v>
      </c>
      <c r="O15">
        <f t="shared" si="2"/>
        <v>876.43832416664407</v>
      </c>
      <c r="P15">
        <f t="shared" si="3"/>
        <v>8399.4352907544435</v>
      </c>
      <c r="W15">
        <v>1334.2654268894464</v>
      </c>
    </row>
    <row r="16" spans="1:29" x14ac:dyDescent="0.2">
      <c r="M16">
        <v>10</v>
      </c>
      <c r="N16">
        <f t="shared" si="1"/>
        <v>8399.4352907544435</v>
      </c>
      <c r="O16">
        <f t="shared" si="2"/>
        <v>702.49958194945634</v>
      </c>
      <c r="P16">
        <f t="shared" si="3"/>
        <v>8343.7328151901165</v>
      </c>
      <c r="R16">
        <f>G9</f>
        <v>8674</v>
      </c>
      <c r="S16">
        <f t="shared" si="0"/>
        <v>274.56470924555651</v>
      </c>
    </row>
    <row r="17" spans="1:19" x14ac:dyDescent="0.2">
      <c r="M17">
        <v>11</v>
      </c>
      <c r="N17">
        <f t="shared" si="1"/>
        <v>8343.7328151901165</v>
      </c>
      <c r="O17">
        <f t="shared" si="2"/>
        <v>562.04941465872798</v>
      </c>
      <c r="P17">
        <f t="shared" si="3"/>
        <v>8289.0616655029353</v>
      </c>
    </row>
    <row r="18" spans="1:19" x14ac:dyDescent="0.2">
      <c r="M18">
        <v>12</v>
      </c>
      <c r="N18">
        <f t="shared" si="1"/>
        <v>8289.0616655029353</v>
      </c>
      <c r="O18">
        <f t="shared" si="2"/>
        <v>448.66881207553411</v>
      </c>
      <c r="P18">
        <f t="shared" si="3"/>
        <v>8235.553014443587</v>
      </c>
    </row>
    <row r="19" spans="1:19" x14ac:dyDescent="0.2">
      <c r="M19">
        <v>13</v>
      </c>
      <c r="N19">
        <f t="shared" si="1"/>
        <v>8235.553014443587</v>
      </c>
      <c r="O19">
        <f t="shared" si="2"/>
        <v>357.17353505109674</v>
      </c>
      <c r="P19">
        <f t="shared" si="3"/>
        <v>8183.3655276549025</v>
      </c>
    </row>
    <row r="20" spans="1:19" x14ac:dyDescent="0.2">
      <c r="M20">
        <v>14</v>
      </c>
      <c r="N20">
        <f t="shared" si="1"/>
        <v>8183.3655276549025</v>
      </c>
      <c r="O20">
        <f t="shared" si="2"/>
        <v>283.37746764241774</v>
      </c>
      <c r="P20">
        <f t="shared" si="3"/>
        <v>8132.690013355289</v>
      </c>
    </row>
    <row r="21" spans="1:19" x14ac:dyDescent="0.2">
      <c r="M21">
        <v>15</v>
      </c>
      <c r="N21">
        <f t="shared" si="1"/>
        <v>8132.690013355289</v>
      </c>
      <c r="O21">
        <f t="shared" si="2"/>
        <v>223.90144242511221</v>
      </c>
      <c r="P21">
        <f t="shared" si="3"/>
        <v>8083.7541207902595</v>
      </c>
      <c r="R21">
        <f>G10</f>
        <v>8271</v>
      </c>
      <c r="S21">
        <f t="shared" si="0"/>
        <v>138.30998664471099</v>
      </c>
    </row>
    <row r="22" spans="1:19" x14ac:dyDescent="0.2">
      <c r="M22">
        <v>16</v>
      </c>
      <c r="N22">
        <f t="shared" si="1"/>
        <v>8083.7541207902595</v>
      </c>
      <c r="O22">
        <f t="shared" si="2"/>
        <v>176.01877622298773</v>
      </c>
      <c r="P22">
        <f t="shared" si="3"/>
        <v>8036.8264370192855</v>
      </c>
    </row>
    <row r="23" spans="1:19" x14ac:dyDescent="0.2">
      <c r="M23">
        <v>17</v>
      </c>
      <c r="N23">
        <f t="shared" si="1"/>
        <v>8036.8264370192855</v>
      </c>
      <c r="O23">
        <f t="shared" si="2"/>
        <v>137.53040281107667</v>
      </c>
      <c r="P23">
        <f>N23-$B$2*O23*(N23/($B$3*O23+N23))</f>
        <v>7992.2187918562367</v>
      </c>
      <c r="R23">
        <f>G11</f>
        <v>7746</v>
      </c>
      <c r="S23">
        <f t="shared" si="0"/>
        <v>290.82643701928555</v>
      </c>
    </row>
    <row r="24" spans="1:19" x14ac:dyDescent="0.2">
      <c r="M24">
        <v>18</v>
      </c>
      <c r="N24">
        <f t="shared" si="1"/>
        <v>7992.2187918562367</v>
      </c>
      <c r="O24">
        <f t="shared" si="2"/>
        <v>106.66380095504506</v>
      </c>
      <c r="P24">
        <f t="shared" si="3"/>
        <v>7950.2847732453019</v>
      </c>
    </row>
    <row r="25" spans="1:19" x14ac:dyDescent="0.2">
      <c r="M25">
        <v>19</v>
      </c>
      <c r="N25">
        <f t="shared" si="1"/>
        <v>7950.2847732453019</v>
      </c>
      <c r="O25">
        <f t="shared" si="2"/>
        <v>81.990949310582934</v>
      </c>
      <c r="P25">
        <f t="shared" si="3"/>
        <v>7911.4114045751558</v>
      </c>
    </row>
    <row r="26" spans="1:19" x14ac:dyDescent="0.2">
      <c r="M26">
        <v>20</v>
      </c>
      <c r="N26">
        <f t="shared" si="1"/>
        <v>7911.4114045751558</v>
      </c>
      <c r="O26">
        <f t="shared" si="2"/>
        <v>62.361350175936387</v>
      </c>
      <c r="P26">
        <f t="shared" si="3"/>
        <v>7875.9999232682139</v>
      </c>
    </row>
    <row r="27" spans="1:19" x14ac:dyDescent="0.2">
      <c r="M27">
        <v>21</v>
      </c>
      <c r="N27">
        <f t="shared" si="1"/>
        <v>7875.9999232682139</v>
      </c>
      <c r="O27">
        <f t="shared" si="2"/>
        <v>46.846822811462417</v>
      </c>
      <c r="P27">
        <f t="shared" si="3"/>
        <v>7844.4314526280023</v>
      </c>
      <c r="R27">
        <f>G12</f>
        <v>7876</v>
      </c>
      <c r="S27">
        <f t="shared" si="0"/>
        <v>7.6731786066375207E-5</v>
      </c>
    </row>
    <row r="29" spans="1:19" x14ac:dyDescent="0.2">
      <c r="S29">
        <f>SUM(S6:S27)</f>
        <v>1037.7619986917916</v>
      </c>
    </row>
    <row r="31" spans="1:19" x14ac:dyDescent="0.2">
      <c r="A31" t="s">
        <v>79</v>
      </c>
      <c r="B31">
        <v>4.1456993635056741E-2</v>
      </c>
    </row>
    <row r="32" spans="1:19" x14ac:dyDescent="0.2">
      <c r="A32" t="s">
        <v>80</v>
      </c>
      <c r="B32">
        <v>4600.3172115434481</v>
      </c>
    </row>
    <row r="33" spans="1:23" x14ac:dyDescent="0.2">
      <c r="A33" t="s">
        <v>81</v>
      </c>
      <c r="B33">
        <v>0.1</v>
      </c>
    </row>
    <row r="34" spans="1:23" x14ac:dyDescent="0.2">
      <c r="A34" t="s">
        <v>82</v>
      </c>
      <c r="B34">
        <v>0.192</v>
      </c>
      <c r="F34" t="s">
        <v>7</v>
      </c>
      <c r="G34" t="s">
        <v>83</v>
      </c>
      <c r="H34" t="s">
        <v>95</v>
      </c>
      <c r="I34" t="s">
        <v>85</v>
      </c>
      <c r="N34" t="s">
        <v>86</v>
      </c>
      <c r="O34" t="s">
        <v>87</v>
      </c>
      <c r="P34" t="s">
        <v>88</v>
      </c>
      <c r="S34" t="s">
        <v>89</v>
      </c>
    </row>
    <row r="35" spans="1:23" x14ac:dyDescent="0.2">
      <c r="A35" t="s">
        <v>90</v>
      </c>
      <c r="B35">
        <v>6150</v>
      </c>
      <c r="F35">
        <v>0</v>
      </c>
      <c r="G35">
        <v>9095</v>
      </c>
      <c r="H35">
        <f>N35</f>
        <v>9095.0002476583541</v>
      </c>
      <c r="I35">
        <v>9058</v>
      </c>
      <c r="J35">
        <v>9095</v>
      </c>
      <c r="M35">
        <v>0</v>
      </c>
      <c r="N35">
        <f>B36</f>
        <v>9095.0002476583541</v>
      </c>
      <c r="O35">
        <f>B35</f>
        <v>6150</v>
      </c>
      <c r="R35">
        <f>G35</f>
        <v>9095</v>
      </c>
      <c r="S35">
        <f>((R35-N35)^2)^0.5</f>
        <v>2.476583540556021E-4</v>
      </c>
      <c r="V35" t="s">
        <v>79</v>
      </c>
      <c r="W35">
        <v>2.7147080351467796E-2</v>
      </c>
    </row>
    <row r="36" spans="1:23" x14ac:dyDescent="0.2">
      <c r="A36" t="s">
        <v>91</v>
      </c>
      <c r="B36">
        <v>9095.0002476583541</v>
      </c>
      <c r="E36">
        <v>0</v>
      </c>
      <c r="F36">
        <v>2</v>
      </c>
      <c r="G36">
        <v>8640.6666666666661</v>
      </c>
      <c r="H36">
        <f>N37</f>
        <v>8790.20245708517</v>
      </c>
      <c r="I36">
        <v>8926.7139204508167</v>
      </c>
      <c r="J36">
        <v>8814.2999999999993</v>
      </c>
      <c r="M36">
        <v>1</v>
      </c>
      <c r="N36">
        <f>B36-B31*B35*(B36/(B32+B36))</f>
        <v>8925.6820908297414</v>
      </c>
      <c r="O36">
        <f>B35+$B$4*(N36-N35)-$B$5*O35</f>
        <v>4952.2681843171385</v>
      </c>
      <c r="P36">
        <f>N36-$B$31*O36*(N36/($B$32+N36))</f>
        <v>8790.20245708517</v>
      </c>
      <c r="V36" t="s">
        <v>80</v>
      </c>
      <c r="W36">
        <v>1.5000004314274658</v>
      </c>
    </row>
    <row r="37" spans="1:23" x14ac:dyDescent="0.2">
      <c r="A37" t="s">
        <v>92</v>
      </c>
      <c r="B37">
        <f>S58</f>
        <v>1495.3606646642074</v>
      </c>
      <c r="F37">
        <v>8</v>
      </c>
      <c r="G37">
        <v>8509.5</v>
      </c>
      <c r="H37">
        <f>N43</f>
        <v>8387.4757762199461</v>
      </c>
      <c r="I37">
        <v>8544.1628751083008</v>
      </c>
      <c r="J37">
        <v>8406.9</v>
      </c>
      <c r="M37">
        <v>2</v>
      </c>
      <c r="N37">
        <f>P36</f>
        <v>8790.20245708517</v>
      </c>
      <c r="O37">
        <f>O36+$B$4*(N37-N36)-$B$5*O36</f>
        <v>3987.8847295537907</v>
      </c>
      <c r="P37">
        <f t="shared" ref="P37:P56" si="4">N37-$B$31*O37*(N37/($B$32+N37))</f>
        <v>8681.6744451416253</v>
      </c>
      <c r="R37">
        <f>G36</f>
        <v>8640.6666666666661</v>
      </c>
      <c r="S37">
        <f>((R37-N37)^2)^0.5</f>
        <v>149.53579041850389</v>
      </c>
      <c r="V37" t="s">
        <v>81</v>
      </c>
      <c r="W37">
        <v>0.1</v>
      </c>
    </row>
    <row r="38" spans="1:23" x14ac:dyDescent="0.2">
      <c r="F38">
        <v>10</v>
      </c>
      <c r="G38">
        <v>8674</v>
      </c>
      <c r="H38">
        <f>N45</f>
        <v>8334.9342310842621</v>
      </c>
      <c r="I38">
        <v>8420.3243183736304</v>
      </c>
      <c r="J38">
        <v>8348</v>
      </c>
      <c r="M38">
        <v>3</v>
      </c>
      <c r="N38">
        <f t="shared" ref="N38:N56" si="5">P37</f>
        <v>8681.6744451416253</v>
      </c>
      <c r="O38">
        <f>O37+$B$4*(N38-N37)-$B$5*O37</f>
        <v>3211.3580602851084</v>
      </c>
      <c r="P38">
        <f>N38-$B$31*O38*(N38/($B$32+N38))</f>
        <v>8594.6528922018351</v>
      </c>
      <c r="V38" t="s">
        <v>82</v>
      </c>
      <c r="W38">
        <v>0.192</v>
      </c>
    </row>
    <row r="39" spans="1:23" x14ac:dyDescent="0.2">
      <c r="A39" t="s">
        <v>93</v>
      </c>
      <c r="B39">
        <f>B37/(COUNT(F35:F44))</f>
        <v>213.62295209488678</v>
      </c>
      <c r="F39">
        <v>15</v>
      </c>
      <c r="G39">
        <v>8271</v>
      </c>
      <c r="H39">
        <f>N50</f>
        <v>8270.9950712426853</v>
      </c>
      <c r="I39">
        <v>8118.5238447919828</v>
      </c>
      <c r="J39">
        <v>8271</v>
      </c>
      <c r="M39">
        <v>4</v>
      </c>
      <c r="N39">
        <f t="shared" si="5"/>
        <v>8594.6528922018351</v>
      </c>
      <c r="O39">
        <f t="shared" ref="O39:O56" si="6">O38+$B$4*(N39-N38)-$B$5*O38</f>
        <v>2586.0751574163887</v>
      </c>
      <c r="P39">
        <f>N39-$B$31*O39*(N39/($B$32+N39))</f>
        <v>8524.8201850384721</v>
      </c>
      <c r="V39" t="s">
        <v>90</v>
      </c>
      <c r="W39">
        <v>6150</v>
      </c>
    </row>
    <row r="40" spans="1:23" x14ac:dyDescent="0.2">
      <c r="F40">
        <v>17</v>
      </c>
      <c r="G40">
        <v>7746</v>
      </c>
      <c r="H40">
        <f>N52</f>
        <v>8259.5043402289011</v>
      </c>
      <c r="I40">
        <v>8000.8544732630253</v>
      </c>
      <c r="J40">
        <v>8255.9</v>
      </c>
      <c r="M40">
        <v>5</v>
      </c>
      <c r="N40">
        <f t="shared" si="5"/>
        <v>8524.8201850384721</v>
      </c>
      <c r="O40">
        <f t="shared" si="6"/>
        <v>2082.5654564761057</v>
      </c>
      <c r="P40">
        <f t="shared" si="4"/>
        <v>8468.7440808353076</v>
      </c>
      <c r="V40" t="s">
        <v>91</v>
      </c>
      <c r="W40">
        <v>9094.9850249101528</v>
      </c>
    </row>
    <row r="41" spans="1:23" x14ac:dyDescent="0.2">
      <c r="A41" t="s">
        <v>94</v>
      </c>
      <c r="F41">
        <v>21</v>
      </c>
      <c r="G41">
        <v>7876</v>
      </c>
      <c r="H41">
        <f>N56</f>
        <v>8247.2253649053418</v>
      </c>
      <c r="I41">
        <v>7770.6074882088351</v>
      </c>
      <c r="J41">
        <v>8238.7000000000007</v>
      </c>
      <c r="M41">
        <v>6</v>
      </c>
      <c r="N41">
        <f t="shared" si="5"/>
        <v>8468.7440808353076</v>
      </c>
      <c r="O41">
        <f t="shared" si="6"/>
        <v>1677.1052784123767</v>
      </c>
      <c r="P41">
        <f t="shared" si="4"/>
        <v>8423.69014409396</v>
      </c>
      <c r="V41" t="s">
        <v>92</v>
      </c>
      <c r="W41">
        <v>1495.2362259058991</v>
      </c>
    </row>
    <row r="42" spans="1:23" x14ac:dyDescent="0.2">
      <c r="B42">
        <f>B37+B39*2</f>
        <v>1922.6065688539811</v>
      </c>
      <c r="M42">
        <v>7</v>
      </c>
      <c r="N42">
        <f t="shared" si="5"/>
        <v>8423.69014409396</v>
      </c>
      <c r="O42">
        <f t="shared" si="6"/>
        <v>1350.5956712830657</v>
      </c>
      <c r="P42">
        <f t="shared" si="4"/>
        <v>8387.4757762199461</v>
      </c>
    </row>
    <row r="43" spans="1:23" x14ac:dyDescent="0.2">
      <c r="M43">
        <v>8</v>
      </c>
      <c r="N43">
        <f t="shared" si="5"/>
        <v>8387.4757762199461</v>
      </c>
      <c r="O43">
        <f t="shared" si="6"/>
        <v>1087.6598656093158</v>
      </c>
      <c r="P43">
        <f t="shared" si="4"/>
        <v>8358.3560807117628</v>
      </c>
      <c r="R43">
        <f>G37</f>
        <v>8509.5</v>
      </c>
      <c r="S43">
        <f>((R43-N43)^2)^0.5</f>
        <v>122.02422378005394</v>
      </c>
      <c r="V43" t="s">
        <v>93</v>
      </c>
      <c r="W43">
        <v>213.60517512941416</v>
      </c>
    </row>
    <row r="44" spans="1:23" x14ac:dyDescent="0.2">
      <c r="M44">
        <v>9</v>
      </c>
      <c r="N44">
        <f t="shared" si="5"/>
        <v>8358.3560807117628</v>
      </c>
      <c r="O44">
        <f t="shared" si="6"/>
        <v>875.91720186150883</v>
      </c>
      <c r="P44">
        <f t="shared" si="4"/>
        <v>8334.9342310842621</v>
      </c>
    </row>
    <row r="45" spans="1:23" x14ac:dyDescent="0.2">
      <c r="M45">
        <v>10</v>
      </c>
      <c r="N45">
        <f t="shared" si="5"/>
        <v>8334.9342310842621</v>
      </c>
      <c r="O45">
        <f t="shared" si="6"/>
        <v>705.39891414134911</v>
      </c>
      <c r="P45">
        <f t="shared" si="4"/>
        <v>8316.0908039014412</v>
      </c>
      <c r="R45">
        <f>G38</f>
        <v>8674</v>
      </c>
      <c r="S45">
        <f t="shared" si="0"/>
        <v>339.06576891573786</v>
      </c>
      <c r="V45" t="s">
        <v>94</v>
      </c>
    </row>
    <row r="46" spans="1:23" x14ac:dyDescent="0.2">
      <c r="M46">
        <v>11</v>
      </c>
      <c r="N46">
        <f t="shared" si="5"/>
        <v>8316.0908039014412</v>
      </c>
      <c r="O46">
        <f t="shared" si="6"/>
        <v>568.0779799079279</v>
      </c>
      <c r="P46">
        <f t="shared" si="4"/>
        <v>8300.9278704998942</v>
      </c>
      <c r="W46">
        <v>1922.4465761647275</v>
      </c>
    </row>
    <row r="47" spans="1:23" x14ac:dyDescent="0.2">
      <c r="M47">
        <v>12</v>
      </c>
      <c r="N47">
        <f t="shared" si="5"/>
        <v>8300.9278704998942</v>
      </c>
      <c r="O47">
        <f t="shared" si="6"/>
        <v>457.49071442545107</v>
      </c>
      <c r="P47">
        <f t="shared" si="4"/>
        <v>8288.7246318864309</v>
      </c>
    </row>
    <row r="48" spans="1:23" x14ac:dyDescent="0.2">
      <c r="M48">
        <v>13</v>
      </c>
      <c r="N48">
        <f t="shared" si="5"/>
        <v>8288.7246318864309</v>
      </c>
      <c r="O48">
        <f t="shared" si="6"/>
        <v>368.4321733944181</v>
      </c>
      <c r="P48">
        <f t="shared" si="4"/>
        <v>8278.902122985719</v>
      </c>
    </row>
    <row r="49" spans="13:31" x14ac:dyDescent="0.2">
      <c r="M49">
        <v>14</v>
      </c>
      <c r="N49">
        <f t="shared" si="5"/>
        <v>8278.902122985719</v>
      </c>
      <c r="O49">
        <f t="shared" si="6"/>
        <v>296.71094521261864</v>
      </c>
      <c r="P49">
        <f t="shared" si="4"/>
        <v>8270.9950712426853</v>
      </c>
      <c r="V49" t="s">
        <v>79</v>
      </c>
      <c r="W49">
        <v>4.1456993635056741E-2</v>
      </c>
      <c r="Y49">
        <v>3.1194423787269089E-2</v>
      </c>
      <c r="Z49">
        <v>6.5600516986435584E-2</v>
      </c>
      <c r="AB49">
        <f>W49-Y49</f>
        <v>1.0262569847787652E-2</v>
      </c>
      <c r="AC49">
        <f>Z49-W49</f>
        <v>2.4143523351378843E-2</v>
      </c>
      <c r="AE49">
        <f>AVERAGE(AB49:AC49)</f>
        <v>1.7203046599583247E-2</v>
      </c>
    </row>
    <row r="50" spans="13:31" x14ac:dyDescent="0.2">
      <c r="M50">
        <v>15</v>
      </c>
      <c r="N50">
        <f t="shared" si="5"/>
        <v>8270.9950712426853</v>
      </c>
      <c r="O50">
        <f t="shared" si="6"/>
        <v>238.95173855749249</v>
      </c>
      <c r="P50">
        <f t="shared" si="4"/>
        <v>8264.6294186331343</v>
      </c>
      <c r="R50">
        <f>G39</f>
        <v>8271</v>
      </c>
      <c r="S50">
        <f t="shared" si="0"/>
        <v>4.9287573147012154E-3</v>
      </c>
      <c r="V50" t="s">
        <v>80</v>
      </c>
      <c r="W50">
        <v>4600.3172115434481</v>
      </c>
    </row>
    <row r="51" spans="13:31" x14ac:dyDescent="0.2">
      <c r="M51">
        <v>16</v>
      </c>
      <c r="N51">
        <f t="shared" si="5"/>
        <v>8264.6294186331343</v>
      </c>
      <c r="O51">
        <f t="shared" si="6"/>
        <v>192.43643949349882</v>
      </c>
      <c r="P51">
        <f t="shared" si="4"/>
        <v>8259.5043402289011</v>
      </c>
      <c r="V51" t="s">
        <v>81</v>
      </c>
      <c r="W51">
        <v>0.1</v>
      </c>
    </row>
    <row r="52" spans="13:31" x14ac:dyDescent="0.2">
      <c r="M52">
        <v>17</v>
      </c>
      <c r="N52">
        <f t="shared" si="5"/>
        <v>8259.5043402289011</v>
      </c>
      <c r="O52">
        <f t="shared" si="6"/>
        <v>154.97613527032371</v>
      </c>
      <c r="P52">
        <f t="shared" si="4"/>
        <v>8255.3778418877591</v>
      </c>
      <c r="R52">
        <f>G40</f>
        <v>7746</v>
      </c>
      <c r="S52">
        <f t="shared" si="0"/>
        <v>513.50434022890113</v>
      </c>
      <c r="V52" t="s">
        <v>82</v>
      </c>
      <c r="W52">
        <v>0.192</v>
      </c>
    </row>
    <row r="53" spans="13:31" x14ac:dyDescent="0.2">
      <c r="M53">
        <v>18</v>
      </c>
      <c r="N53">
        <f t="shared" si="5"/>
        <v>8255.3778418877591</v>
      </c>
      <c r="O53">
        <f t="shared" si="6"/>
        <v>124.80806746430736</v>
      </c>
      <c r="P53">
        <f t="shared" si="4"/>
        <v>8252.0552128460567</v>
      </c>
      <c r="V53" t="s">
        <v>90</v>
      </c>
      <c r="W53">
        <v>6150</v>
      </c>
    </row>
    <row r="54" spans="13:31" x14ac:dyDescent="0.2">
      <c r="M54">
        <v>19</v>
      </c>
      <c r="N54">
        <f t="shared" si="5"/>
        <v>8252.0552128460567</v>
      </c>
      <c r="O54">
        <f t="shared" si="6"/>
        <v>100.51265560699011</v>
      </c>
      <c r="P54">
        <f t="shared" si="4"/>
        <v>8249.3797595398664</v>
      </c>
      <c r="V54" t="s">
        <v>91</v>
      </c>
      <c r="W54">
        <v>9095.0002476583541</v>
      </c>
    </row>
    <row r="55" spans="13:31" x14ac:dyDescent="0.2">
      <c r="M55">
        <v>20</v>
      </c>
      <c r="N55">
        <f t="shared" si="5"/>
        <v>8249.3797595398664</v>
      </c>
      <c r="O55">
        <f t="shared" si="6"/>
        <v>80.946680399828978</v>
      </c>
      <c r="P55">
        <f t="shared" si="4"/>
        <v>8247.2253649053418</v>
      </c>
      <c r="V55" t="s">
        <v>92</v>
      </c>
      <c r="W55">
        <v>1495.3606646642074</v>
      </c>
    </row>
    <row r="56" spans="13:31" x14ac:dyDescent="0.2">
      <c r="M56">
        <v>21</v>
      </c>
      <c r="N56">
        <f t="shared" si="5"/>
        <v>8247.2253649053418</v>
      </c>
      <c r="O56">
        <f t="shared" si="6"/>
        <v>65.189478299609362</v>
      </c>
      <c r="P56">
        <f t="shared" si="4"/>
        <v>8245.4905102051216</v>
      </c>
      <c r="R56">
        <f>G41</f>
        <v>7876</v>
      </c>
      <c r="S56">
        <f t="shared" si="0"/>
        <v>371.22536490534185</v>
      </c>
    </row>
    <row r="57" spans="13:31" x14ac:dyDescent="0.2">
      <c r="V57" t="s">
        <v>93</v>
      </c>
      <c r="W57">
        <v>213.62295209488678</v>
      </c>
    </row>
    <row r="58" spans="13:31" x14ac:dyDescent="0.2">
      <c r="S58">
        <f>SUM(S35:S56)</f>
        <v>1495.3606646642074</v>
      </c>
    </row>
    <row r="59" spans="13:31" x14ac:dyDescent="0.2">
      <c r="V59" t="s">
        <v>94</v>
      </c>
    </row>
    <row r="60" spans="13:31" x14ac:dyDescent="0.2">
      <c r="W60">
        <v>1922.6065688539811</v>
      </c>
    </row>
    <row r="65" spans="4:10" x14ac:dyDescent="0.2">
      <c r="D65" t="s">
        <v>7</v>
      </c>
      <c r="E65" t="s">
        <v>83</v>
      </c>
      <c r="F65" t="s">
        <v>85</v>
      </c>
      <c r="G65" t="s">
        <v>84</v>
      </c>
      <c r="H65" t="s">
        <v>95</v>
      </c>
      <c r="J65" t="s">
        <v>107</v>
      </c>
    </row>
    <row r="66" spans="4:10" x14ac:dyDescent="0.2">
      <c r="D66">
        <v>0</v>
      </c>
      <c r="E66">
        <v>9095</v>
      </c>
      <c r="F66">
        <v>9058</v>
      </c>
      <c r="G66">
        <v>8996.8758121363371</v>
      </c>
      <c r="H66">
        <v>9095.0002476583541</v>
      </c>
      <c r="J66">
        <v>35</v>
      </c>
    </row>
    <row r="67" spans="4:10" x14ac:dyDescent="0.2">
      <c r="D67">
        <v>2</v>
      </c>
      <c r="E67">
        <v>8640.6666666666661</v>
      </c>
      <c r="F67">
        <v>8926.7139204508167</v>
      </c>
      <c r="G67">
        <v>8872.58146961686</v>
      </c>
      <c r="H67">
        <v>8790.20245708517</v>
      </c>
      <c r="J67">
        <v>538.4188786520109</v>
      </c>
    </row>
    <row r="68" spans="4:10" x14ac:dyDescent="0.2">
      <c r="D68">
        <v>8</v>
      </c>
      <c r="E68">
        <v>8509.5</v>
      </c>
      <c r="F68">
        <v>8544.1628751083008</v>
      </c>
      <c r="G68">
        <v>8513.5217982365957</v>
      </c>
      <c r="H68">
        <v>8387.4757762199461</v>
      </c>
      <c r="J68">
        <v>313.10567971000887</v>
      </c>
    </row>
    <row r="69" spans="4:10" x14ac:dyDescent="0.2">
      <c r="D69">
        <v>10</v>
      </c>
      <c r="E69">
        <v>8674</v>
      </c>
      <c r="F69">
        <v>8420.3243183736304</v>
      </c>
      <c r="G69">
        <v>8399.4352907544435</v>
      </c>
      <c r="H69">
        <v>8334.9342310842621</v>
      </c>
      <c r="J69">
        <v>110.69176422239671</v>
      </c>
    </row>
    <row r="70" spans="4:10" x14ac:dyDescent="0.2">
      <c r="D70">
        <v>15</v>
      </c>
      <c r="E70">
        <v>8271</v>
      </c>
      <c r="F70">
        <v>8118.5238447919828</v>
      </c>
      <c r="G70">
        <v>8132.690013355289</v>
      </c>
      <c r="H70">
        <v>8270.9950712426853</v>
      </c>
      <c r="J70">
        <v>260</v>
      </c>
    </row>
    <row r="71" spans="4:10" x14ac:dyDescent="0.2">
      <c r="D71">
        <v>17</v>
      </c>
      <c r="E71">
        <v>7746</v>
      </c>
      <c r="F71">
        <v>8000.8544732630253</v>
      </c>
      <c r="G71">
        <v>8036.8264370192855</v>
      </c>
      <c r="H71">
        <v>8259.5043402289011</v>
      </c>
      <c r="J71">
        <v>333.23365176204317</v>
      </c>
    </row>
    <row r="72" spans="4:10" x14ac:dyDescent="0.2">
      <c r="D72">
        <v>21</v>
      </c>
      <c r="E72">
        <v>7876</v>
      </c>
      <c r="F72">
        <v>7770.6074882088351</v>
      </c>
      <c r="G72">
        <v>7875.9999232682139</v>
      </c>
      <c r="H72">
        <v>8247.2253649053418</v>
      </c>
      <c r="J72">
        <v>319.38169431992605</v>
      </c>
    </row>
    <row r="74" spans="4:10" x14ac:dyDescent="0.2">
      <c r="F74">
        <f>RSQ($E$66:$E$72,F66:F72)</f>
        <v>0.82560687335251426</v>
      </c>
      <c r="G74">
        <f t="shared" ref="G74:H74" si="7">RSQ($E$66:$E$72,G66:G72)</f>
        <v>0.82017039715654105</v>
      </c>
      <c r="H74">
        <f t="shared" si="7"/>
        <v>0.63401869466480609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8E5C-1398-464E-9BD5-877A94D6466C}">
  <dimension ref="B2:X50"/>
  <sheetViews>
    <sheetView topLeftCell="A22" workbookViewId="0">
      <selection activeCell="K27" sqref="K27"/>
    </sheetView>
  </sheetViews>
  <sheetFormatPr defaultRowHeight="14.25" x14ac:dyDescent="0.2"/>
  <cols>
    <col min="3" max="3" width="10.125" bestFit="1" customWidth="1"/>
    <col min="4" max="4" width="9.375" customWidth="1"/>
  </cols>
  <sheetData>
    <row r="2" spans="2:22" x14ac:dyDescent="0.2">
      <c r="B2" t="s">
        <v>134</v>
      </c>
      <c r="C2" t="s">
        <v>135</v>
      </c>
      <c r="D2" t="s">
        <v>7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3</v>
      </c>
      <c r="M2" t="s">
        <v>41</v>
      </c>
      <c r="N2" t="s">
        <v>122</v>
      </c>
      <c r="O2" t="s">
        <v>49</v>
      </c>
      <c r="S2" t="s">
        <v>140</v>
      </c>
      <c r="T2" t="s">
        <v>142</v>
      </c>
      <c r="U2" t="s">
        <v>3</v>
      </c>
      <c r="V2" t="s">
        <v>122</v>
      </c>
    </row>
    <row r="3" spans="2:22" x14ac:dyDescent="0.2">
      <c r="B3">
        <v>351</v>
      </c>
      <c r="C3" s="5">
        <v>44663</v>
      </c>
      <c r="D3" s="4">
        <v>0</v>
      </c>
      <c r="E3">
        <v>1269</v>
      </c>
      <c r="F3">
        <v>3</v>
      </c>
      <c r="G3">
        <v>1459</v>
      </c>
      <c r="H3">
        <v>1289</v>
      </c>
      <c r="I3">
        <f>((G3-E3)/F3)*100</f>
        <v>6333.3333333333339</v>
      </c>
      <c r="J3">
        <f>(G3-H3)</f>
        <v>170</v>
      </c>
      <c r="K3">
        <f>(J3/F3)*100</f>
        <v>5666.6666666666661</v>
      </c>
      <c r="L3">
        <v>9130</v>
      </c>
      <c r="M3">
        <v>45</v>
      </c>
      <c r="N3">
        <f>L3-M3</f>
        <v>9085</v>
      </c>
      <c r="S3">
        <v>6333.3333333333339</v>
      </c>
      <c r="T3">
        <v>5666.6666666666661</v>
      </c>
      <c r="U3">
        <v>9130</v>
      </c>
      <c r="V3">
        <v>9085</v>
      </c>
    </row>
    <row r="4" spans="2:22" x14ac:dyDescent="0.2">
      <c r="B4">
        <v>352</v>
      </c>
      <c r="C4" s="5">
        <v>44663</v>
      </c>
      <c r="D4" s="4">
        <v>0</v>
      </c>
      <c r="E4">
        <v>874</v>
      </c>
      <c r="F4">
        <v>2</v>
      </c>
      <c r="G4">
        <v>981</v>
      </c>
      <c r="H4">
        <v>846</v>
      </c>
      <c r="I4">
        <f t="shared" ref="I4:I26" si="0">((G4-E4)/F4)*100</f>
        <v>5350</v>
      </c>
      <c r="J4">
        <f t="shared" ref="J4:J23" si="1">(G4-H4)</f>
        <v>135</v>
      </c>
      <c r="K4">
        <f t="shared" ref="K4:K23" si="2">(J4/F4)*100</f>
        <v>6750</v>
      </c>
      <c r="L4">
        <v>9250</v>
      </c>
      <c r="M4">
        <v>246</v>
      </c>
      <c r="N4">
        <f t="shared" ref="N4:N20" si="3">L4-M4</f>
        <v>9004</v>
      </c>
      <c r="S4">
        <v>5350</v>
      </c>
      <c r="T4">
        <v>6750</v>
      </c>
      <c r="U4">
        <v>9250</v>
      </c>
      <c r="V4">
        <v>9004</v>
      </c>
    </row>
    <row r="5" spans="2:22" x14ac:dyDescent="0.2">
      <c r="B5">
        <v>353</v>
      </c>
      <c r="C5" s="5">
        <v>44663</v>
      </c>
      <c r="D5" s="4">
        <v>0</v>
      </c>
      <c r="E5">
        <v>1272</v>
      </c>
      <c r="F5">
        <v>2</v>
      </c>
      <c r="G5">
        <v>1385</v>
      </c>
      <c r="H5">
        <v>1282</v>
      </c>
      <c r="I5">
        <f t="shared" si="0"/>
        <v>5650</v>
      </c>
      <c r="J5">
        <f t="shared" si="1"/>
        <v>103</v>
      </c>
      <c r="K5">
        <f t="shared" si="2"/>
        <v>5150</v>
      </c>
      <c r="L5">
        <v>7005</v>
      </c>
      <c r="M5">
        <v>165</v>
      </c>
      <c r="N5">
        <f t="shared" si="3"/>
        <v>6840</v>
      </c>
      <c r="S5">
        <v>5650</v>
      </c>
      <c r="T5">
        <v>5150</v>
      </c>
      <c r="U5">
        <v>7005</v>
      </c>
      <c r="V5">
        <v>6840</v>
      </c>
    </row>
    <row r="6" spans="2:22" x14ac:dyDescent="0.2">
      <c r="B6">
        <v>351</v>
      </c>
      <c r="C6" s="5">
        <v>44665</v>
      </c>
      <c r="D6" s="4">
        <f>C6-C3</f>
        <v>2</v>
      </c>
      <c r="E6">
        <v>874</v>
      </c>
      <c r="F6">
        <v>2</v>
      </c>
      <c r="G6">
        <v>1015</v>
      </c>
      <c r="H6">
        <v>899</v>
      </c>
      <c r="I6">
        <f t="shared" si="0"/>
        <v>7050</v>
      </c>
      <c r="J6">
        <f t="shared" si="1"/>
        <v>116</v>
      </c>
      <c r="K6">
        <f t="shared" si="2"/>
        <v>5800</v>
      </c>
      <c r="L6">
        <v>8555</v>
      </c>
      <c r="M6">
        <v>614</v>
      </c>
      <c r="N6">
        <f t="shared" si="3"/>
        <v>7941</v>
      </c>
      <c r="O6">
        <v>6.17</v>
      </c>
      <c r="S6">
        <v>7050</v>
      </c>
      <c r="T6">
        <v>5800</v>
      </c>
      <c r="U6">
        <v>8555</v>
      </c>
      <c r="V6">
        <v>7941</v>
      </c>
    </row>
    <row r="7" spans="2:22" x14ac:dyDescent="0.2">
      <c r="B7">
        <v>352</v>
      </c>
      <c r="C7" s="5">
        <v>44665</v>
      </c>
      <c r="D7" s="4">
        <f t="shared" ref="D7" si="4">C7-C4</f>
        <v>2</v>
      </c>
      <c r="E7">
        <v>874</v>
      </c>
      <c r="F7">
        <v>2</v>
      </c>
      <c r="G7">
        <v>1003</v>
      </c>
      <c r="H7">
        <v>884</v>
      </c>
      <c r="I7">
        <f t="shared" si="0"/>
        <v>6450</v>
      </c>
      <c r="J7">
        <f t="shared" si="1"/>
        <v>119</v>
      </c>
      <c r="K7">
        <f t="shared" si="2"/>
        <v>5950</v>
      </c>
      <c r="L7">
        <v>8335</v>
      </c>
      <c r="M7">
        <v>568</v>
      </c>
      <c r="N7">
        <f t="shared" si="3"/>
        <v>7767</v>
      </c>
      <c r="O7">
        <v>6.19</v>
      </c>
      <c r="S7">
        <v>6450</v>
      </c>
      <c r="T7">
        <v>5950</v>
      </c>
      <c r="U7">
        <v>8335</v>
      </c>
      <c r="V7">
        <v>7767</v>
      </c>
    </row>
    <row r="8" spans="2:22" x14ac:dyDescent="0.2">
      <c r="B8">
        <v>353</v>
      </c>
      <c r="C8" s="5">
        <v>44665</v>
      </c>
      <c r="D8" s="4">
        <f>C8-$C$5</f>
        <v>2</v>
      </c>
      <c r="E8">
        <v>873</v>
      </c>
      <c r="F8">
        <v>2</v>
      </c>
      <c r="G8">
        <v>962</v>
      </c>
      <c r="H8">
        <v>878</v>
      </c>
      <c r="I8">
        <f t="shared" si="0"/>
        <v>4450</v>
      </c>
      <c r="J8">
        <f t="shared" si="1"/>
        <v>84</v>
      </c>
      <c r="K8">
        <f t="shared" si="2"/>
        <v>4200</v>
      </c>
      <c r="L8">
        <v>5225</v>
      </c>
      <c r="M8">
        <v>513</v>
      </c>
      <c r="N8">
        <f t="shared" si="3"/>
        <v>4712</v>
      </c>
      <c r="O8">
        <v>6.27</v>
      </c>
      <c r="S8">
        <v>4450</v>
      </c>
      <c r="T8">
        <v>4200</v>
      </c>
      <c r="U8">
        <v>5225</v>
      </c>
      <c r="V8">
        <v>4712</v>
      </c>
    </row>
    <row r="9" spans="2:22" x14ac:dyDescent="0.2">
      <c r="B9">
        <v>351</v>
      </c>
      <c r="C9" s="5">
        <v>44671</v>
      </c>
      <c r="D9" s="4">
        <f t="shared" ref="D9:D26" si="5">C9-$C$5</f>
        <v>8</v>
      </c>
      <c r="E9">
        <v>874</v>
      </c>
      <c r="F9">
        <v>2</v>
      </c>
      <c r="G9">
        <v>969</v>
      </c>
      <c r="H9">
        <v>884</v>
      </c>
      <c r="I9">
        <f t="shared" si="0"/>
        <v>4750</v>
      </c>
      <c r="J9">
        <f t="shared" si="1"/>
        <v>85</v>
      </c>
      <c r="K9">
        <f t="shared" si="2"/>
        <v>4250</v>
      </c>
      <c r="L9">
        <v>6925</v>
      </c>
      <c r="M9">
        <v>472</v>
      </c>
      <c r="N9">
        <f t="shared" si="3"/>
        <v>6453</v>
      </c>
      <c r="O9">
        <v>6.02</v>
      </c>
      <c r="S9">
        <v>4750</v>
      </c>
      <c r="T9">
        <v>4250</v>
      </c>
      <c r="U9">
        <v>6925</v>
      </c>
      <c r="V9">
        <v>6453</v>
      </c>
    </row>
    <row r="10" spans="2:22" x14ac:dyDescent="0.2">
      <c r="B10">
        <v>352</v>
      </c>
      <c r="C10" s="5">
        <v>44671</v>
      </c>
      <c r="D10" s="4">
        <f t="shared" si="5"/>
        <v>8</v>
      </c>
      <c r="E10">
        <v>882</v>
      </c>
      <c r="F10">
        <v>2</v>
      </c>
      <c r="G10">
        <v>999</v>
      </c>
      <c r="H10">
        <v>894</v>
      </c>
      <c r="I10">
        <f t="shared" si="0"/>
        <v>5850</v>
      </c>
      <c r="J10">
        <f t="shared" si="1"/>
        <v>105</v>
      </c>
      <c r="K10">
        <f t="shared" si="2"/>
        <v>5250</v>
      </c>
      <c r="L10">
        <v>8105</v>
      </c>
      <c r="M10">
        <v>599</v>
      </c>
      <c r="N10">
        <f t="shared" si="3"/>
        <v>7506</v>
      </c>
      <c r="O10">
        <v>5.86</v>
      </c>
      <c r="S10">
        <v>5850</v>
      </c>
      <c r="T10">
        <v>5250</v>
      </c>
      <c r="U10">
        <v>8105</v>
      </c>
      <c r="V10">
        <v>7506</v>
      </c>
    </row>
    <row r="11" spans="2:22" x14ac:dyDescent="0.2">
      <c r="B11">
        <v>353</v>
      </c>
      <c r="C11" s="5">
        <v>44671</v>
      </c>
      <c r="D11" s="4">
        <f t="shared" si="5"/>
        <v>8</v>
      </c>
      <c r="E11">
        <v>877</v>
      </c>
      <c r="F11">
        <v>2</v>
      </c>
      <c r="G11">
        <v>994</v>
      </c>
      <c r="H11">
        <v>891</v>
      </c>
      <c r="I11">
        <f t="shared" si="0"/>
        <v>5850</v>
      </c>
      <c r="J11">
        <f t="shared" si="1"/>
        <v>103</v>
      </c>
      <c r="K11">
        <f t="shared" si="2"/>
        <v>5150</v>
      </c>
      <c r="L11">
        <v>7375</v>
      </c>
      <c r="M11">
        <v>534</v>
      </c>
      <c r="N11">
        <f t="shared" si="3"/>
        <v>6841</v>
      </c>
      <c r="O11">
        <v>6.07</v>
      </c>
      <c r="S11">
        <v>5850</v>
      </c>
      <c r="T11">
        <v>5150</v>
      </c>
      <c r="U11">
        <v>7375</v>
      </c>
      <c r="V11">
        <v>6841</v>
      </c>
    </row>
    <row r="12" spans="2:22" x14ac:dyDescent="0.2">
      <c r="B12">
        <v>351</v>
      </c>
      <c r="C12" s="5">
        <v>44673</v>
      </c>
      <c r="D12" s="4">
        <f t="shared" si="5"/>
        <v>10</v>
      </c>
      <c r="E12">
        <v>865</v>
      </c>
      <c r="F12">
        <v>2</v>
      </c>
      <c r="G12">
        <v>951</v>
      </c>
      <c r="H12">
        <v>871</v>
      </c>
      <c r="I12">
        <f t="shared" si="0"/>
        <v>4300</v>
      </c>
      <c r="J12">
        <f t="shared" si="1"/>
        <v>80</v>
      </c>
      <c r="K12">
        <f t="shared" si="2"/>
        <v>4000</v>
      </c>
      <c r="L12">
        <v>6690</v>
      </c>
      <c r="M12">
        <v>705</v>
      </c>
      <c r="N12">
        <f t="shared" si="3"/>
        <v>5985</v>
      </c>
      <c r="O12">
        <v>5.68</v>
      </c>
      <c r="S12">
        <v>4300</v>
      </c>
      <c r="T12">
        <v>4000</v>
      </c>
      <c r="U12">
        <v>6690</v>
      </c>
      <c r="V12">
        <v>5985</v>
      </c>
    </row>
    <row r="13" spans="2:22" x14ac:dyDescent="0.2">
      <c r="B13">
        <v>352</v>
      </c>
      <c r="C13" s="5">
        <v>44673</v>
      </c>
      <c r="D13" s="4">
        <f t="shared" si="5"/>
        <v>10</v>
      </c>
      <c r="E13">
        <v>888</v>
      </c>
      <c r="F13">
        <v>2</v>
      </c>
      <c r="G13">
        <v>984</v>
      </c>
      <c r="H13">
        <v>895</v>
      </c>
      <c r="I13">
        <f t="shared" si="0"/>
        <v>4800</v>
      </c>
      <c r="J13">
        <f t="shared" si="1"/>
        <v>89</v>
      </c>
      <c r="K13">
        <f t="shared" si="2"/>
        <v>4450</v>
      </c>
      <c r="L13">
        <v>7095</v>
      </c>
      <c r="M13">
        <v>647</v>
      </c>
      <c r="N13">
        <f t="shared" si="3"/>
        <v>6448</v>
      </c>
      <c r="O13">
        <v>5.82</v>
      </c>
      <c r="S13">
        <v>4800</v>
      </c>
      <c r="T13">
        <v>4450</v>
      </c>
      <c r="U13">
        <v>7095</v>
      </c>
      <c r="V13">
        <v>6448</v>
      </c>
    </row>
    <row r="14" spans="2:22" x14ac:dyDescent="0.2">
      <c r="B14">
        <v>353</v>
      </c>
      <c r="C14" s="5">
        <v>44673</v>
      </c>
      <c r="D14" s="4">
        <f t="shared" si="5"/>
        <v>10</v>
      </c>
      <c r="E14">
        <v>886</v>
      </c>
      <c r="F14">
        <v>2</v>
      </c>
      <c r="G14">
        <v>1003</v>
      </c>
      <c r="H14">
        <v>900</v>
      </c>
      <c r="I14">
        <f t="shared" si="0"/>
        <v>5850</v>
      </c>
      <c r="J14">
        <f t="shared" si="1"/>
        <v>103</v>
      </c>
      <c r="K14">
        <f t="shared" si="2"/>
        <v>5150</v>
      </c>
      <c r="L14">
        <v>8225</v>
      </c>
      <c r="M14">
        <v>820.5</v>
      </c>
      <c r="N14">
        <f t="shared" si="3"/>
        <v>7404.5</v>
      </c>
      <c r="O14">
        <v>5.54</v>
      </c>
      <c r="S14">
        <v>5850</v>
      </c>
      <c r="T14">
        <v>5150</v>
      </c>
      <c r="U14">
        <v>8225</v>
      </c>
      <c r="V14">
        <v>7404.5</v>
      </c>
    </row>
    <row r="15" spans="2:22" x14ac:dyDescent="0.2">
      <c r="B15">
        <v>351</v>
      </c>
      <c r="C15" s="5">
        <v>44678</v>
      </c>
      <c r="D15" s="4">
        <f t="shared" si="5"/>
        <v>15</v>
      </c>
      <c r="E15">
        <v>884</v>
      </c>
      <c r="F15">
        <v>3</v>
      </c>
      <c r="G15">
        <v>999</v>
      </c>
      <c r="H15">
        <v>896</v>
      </c>
      <c r="I15">
        <f t="shared" si="0"/>
        <v>3833.3333333333335</v>
      </c>
      <c r="J15">
        <f t="shared" si="1"/>
        <v>103</v>
      </c>
      <c r="K15">
        <f t="shared" si="2"/>
        <v>3433.3333333333335</v>
      </c>
      <c r="L15">
        <v>5110</v>
      </c>
      <c r="M15">
        <v>817</v>
      </c>
      <c r="N15">
        <f t="shared" si="3"/>
        <v>4293</v>
      </c>
      <c r="O15">
        <v>5.66</v>
      </c>
      <c r="S15">
        <v>3833.3333333333335</v>
      </c>
      <c r="T15">
        <v>3433.3333333333335</v>
      </c>
      <c r="U15">
        <v>5110</v>
      </c>
      <c r="V15">
        <v>4293</v>
      </c>
    </row>
    <row r="16" spans="2:22" x14ac:dyDescent="0.2">
      <c r="B16">
        <v>352</v>
      </c>
      <c r="C16" s="5">
        <v>44678</v>
      </c>
      <c r="D16" s="4">
        <f t="shared" si="5"/>
        <v>15</v>
      </c>
      <c r="E16">
        <v>874</v>
      </c>
      <c r="F16">
        <v>3</v>
      </c>
      <c r="G16">
        <v>1039</v>
      </c>
      <c r="H16">
        <v>893</v>
      </c>
      <c r="I16">
        <f t="shared" si="0"/>
        <v>5500</v>
      </c>
      <c r="J16">
        <f t="shared" si="1"/>
        <v>146</v>
      </c>
      <c r="K16">
        <f t="shared" si="2"/>
        <v>4866.6666666666661</v>
      </c>
      <c r="L16">
        <v>7470</v>
      </c>
      <c r="M16">
        <v>1089</v>
      </c>
      <c r="N16">
        <f t="shared" si="3"/>
        <v>6381</v>
      </c>
      <c r="O16">
        <v>5.66</v>
      </c>
      <c r="S16">
        <v>5500</v>
      </c>
      <c r="T16">
        <v>4866.6666666666661</v>
      </c>
      <c r="U16">
        <v>7470</v>
      </c>
      <c r="V16">
        <v>6381</v>
      </c>
    </row>
    <row r="17" spans="2:24" x14ac:dyDescent="0.2">
      <c r="B17">
        <v>353</v>
      </c>
      <c r="C17" s="5">
        <v>44678</v>
      </c>
      <c r="D17" s="4">
        <f t="shared" si="5"/>
        <v>15</v>
      </c>
      <c r="E17">
        <v>873</v>
      </c>
      <c r="F17">
        <v>3</v>
      </c>
      <c r="G17">
        <v>1037</v>
      </c>
      <c r="H17">
        <v>891</v>
      </c>
      <c r="I17">
        <f t="shared" si="0"/>
        <v>5466.6666666666661</v>
      </c>
      <c r="J17">
        <f t="shared" si="1"/>
        <v>146</v>
      </c>
      <c r="K17">
        <f t="shared" si="2"/>
        <v>4866.6666666666661</v>
      </c>
      <c r="L17">
        <v>7690</v>
      </c>
      <c r="M17">
        <v>980</v>
      </c>
      <c r="N17">
        <f t="shared" si="3"/>
        <v>6710</v>
      </c>
      <c r="O17">
        <v>5.68</v>
      </c>
      <c r="S17">
        <v>5466.6666666666661</v>
      </c>
      <c r="T17">
        <v>4866.6666666666661</v>
      </c>
      <c r="U17">
        <v>7690</v>
      </c>
      <c r="V17">
        <v>6710</v>
      </c>
    </row>
    <row r="18" spans="2:24" x14ac:dyDescent="0.2">
      <c r="B18">
        <v>351</v>
      </c>
      <c r="C18" s="5">
        <v>44680</v>
      </c>
      <c r="D18" s="4">
        <f t="shared" si="5"/>
        <v>17</v>
      </c>
      <c r="E18">
        <v>877</v>
      </c>
      <c r="F18">
        <v>3</v>
      </c>
      <c r="G18">
        <v>1027</v>
      </c>
      <c r="H18">
        <v>895</v>
      </c>
      <c r="I18">
        <f t="shared" si="0"/>
        <v>5000</v>
      </c>
      <c r="J18">
        <f t="shared" si="1"/>
        <v>132</v>
      </c>
      <c r="K18">
        <f t="shared" si="2"/>
        <v>4400</v>
      </c>
      <c r="L18">
        <v>6710</v>
      </c>
      <c r="M18">
        <v>906</v>
      </c>
      <c r="N18">
        <f t="shared" si="3"/>
        <v>5804</v>
      </c>
      <c r="O18">
        <v>5.45</v>
      </c>
      <c r="S18">
        <v>5000</v>
      </c>
      <c r="T18">
        <v>4400</v>
      </c>
      <c r="U18">
        <v>6710</v>
      </c>
      <c r="V18">
        <v>5804</v>
      </c>
    </row>
    <row r="19" spans="2:24" x14ac:dyDescent="0.2">
      <c r="B19">
        <v>352</v>
      </c>
      <c r="C19" s="5">
        <v>44680</v>
      </c>
      <c r="D19" s="4">
        <f t="shared" si="5"/>
        <v>17</v>
      </c>
      <c r="E19">
        <v>875</v>
      </c>
      <c r="F19">
        <v>3</v>
      </c>
      <c r="G19">
        <v>1033</v>
      </c>
      <c r="H19">
        <v>895</v>
      </c>
      <c r="I19">
        <f t="shared" si="0"/>
        <v>5266.6666666666661</v>
      </c>
      <c r="J19">
        <f t="shared" si="1"/>
        <v>138</v>
      </c>
      <c r="K19">
        <f t="shared" si="2"/>
        <v>4600</v>
      </c>
      <c r="L19">
        <v>6775</v>
      </c>
      <c r="M19">
        <v>966</v>
      </c>
      <c r="N19">
        <f t="shared" si="3"/>
        <v>5809</v>
      </c>
      <c r="O19">
        <v>5.92</v>
      </c>
      <c r="S19">
        <v>5266.6666666666661</v>
      </c>
      <c r="T19">
        <v>4600</v>
      </c>
      <c r="U19">
        <v>6775</v>
      </c>
      <c r="V19">
        <v>5809</v>
      </c>
    </row>
    <row r="20" spans="2:24" x14ac:dyDescent="0.2">
      <c r="B20">
        <v>353</v>
      </c>
      <c r="C20" s="5">
        <v>44680</v>
      </c>
      <c r="D20" s="4">
        <f t="shared" si="5"/>
        <v>17</v>
      </c>
      <c r="E20">
        <v>880</v>
      </c>
      <c r="F20">
        <v>3</v>
      </c>
      <c r="G20">
        <v>1036</v>
      </c>
      <c r="H20">
        <v>896</v>
      </c>
      <c r="I20">
        <f t="shared" si="0"/>
        <v>5200</v>
      </c>
      <c r="J20">
        <f t="shared" si="1"/>
        <v>140</v>
      </c>
      <c r="K20">
        <f t="shared" si="2"/>
        <v>4666.6666666666661</v>
      </c>
      <c r="L20">
        <v>7025</v>
      </c>
      <c r="M20">
        <v>1108</v>
      </c>
      <c r="N20">
        <f t="shared" si="3"/>
        <v>5917</v>
      </c>
      <c r="O20">
        <v>5.83</v>
      </c>
      <c r="S20">
        <v>5200</v>
      </c>
      <c r="T20">
        <v>4666.6666666666661</v>
      </c>
      <c r="U20">
        <v>7025</v>
      </c>
      <c r="V20">
        <v>5917</v>
      </c>
    </row>
    <row r="21" spans="2:24" x14ac:dyDescent="0.2">
      <c r="B21">
        <v>351</v>
      </c>
      <c r="C21" s="5">
        <v>44684</v>
      </c>
      <c r="D21" s="4">
        <f t="shared" si="5"/>
        <v>21</v>
      </c>
      <c r="E21">
        <v>881</v>
      </c>
      <c r="F21">
        <v>3</v>
      </c>
      <c r="G21">
        <v>1011</v>
      </c>
      <c r="H21">
        <v>890</v>
      </c>
      <c r="I21">
        <f t="shared" si="0"/>
        <v>4333.3333333333339</v>
      </c>
      <c r="J21">
        <f t="shared" si="1"/>
        <v>121</v>
      </c>
      <c r="K21">
        <f t="shared" si="2"/>
        <v>4033.3333333333335</v>
      </c>
      <c r="L21">
        <v>6565</v>
      </c>
      <c r="M21">
        <v>906</v>
      </c>
      <c r="N21">
        <f>L21-M21</f>
        <v>5659</v>
      </c>
      <c r="S21">
        <v>4333.3333333333339</v>
      </c>
      <c r="T21">
        <v>4033.3333333333335</v>
      </c>
      <c r="U21">
        <v>6565</v>
      </c>
    </row>
    <row r="22" spans="2:24" x14ac:dyDescent="0.2">
      <c r="B22">
        <v>352</v>
      </c>
      <c r="C22" s="5">
        <v>44684</v>
      </c>
      <c r="D22" s="4">
        <f t="shared" si="5"/>
        <v>21</v>
      </c>
      <c r="E22">
        <v>845</v>
      </c>
      <c r="F22">
        <v>3</v>
      </c>
      <c r="G22">
        <v>987</v>
      </c>
      <c r="H22">
        <v>863</v>
      </c>
      <c r="I22">
        <f t="shared" si="0"/>
        <v>4733.3333333333339</v>
      </c>
      <c r="J22">
        <f t="shared" si="1"/>
        <v>124</v>
      </c>
      <c r="K22">
        <f t="shared" si="2"/>
        <v>4133.3333333333339</v>
      </c>
      <c r="S22">
        <v>4733.3333333333339</v>
      </c>
      <c r="T22">
        <v>4133.3333333333339</v>
      </c>
    </row>
    <row r="23" spans="2:24" x14ac:dyDescent="0.2">
      <c r="B23">
        <v>353</v>
      </c>
      <c r="C23" s="5">
        <v>44684</v>
      </c>
      <c r="D23" s="4">
        <f t="shared" si="5"/>
        <v>21</v>
      </c>
      <c r="E23">
        <v>856</v>
      </c>
      <c r="F23">
        <v>3</v>
      </c>
      <c r="G23">
        <v>1029</v>
      </c>
      <c r="H23">
        <v>861</v>
      </c>
      <c r="I23">
        <f t="shared" si="0"/>
        <v>5766.6666666666661</v>
      </c>
      <c r="J23">
        <f t="shared" si="1"/>
        <v>168</v>
      </c>
      <c r="K23">
        <f t="shared" si="2"/>
        <v>5600</v>
      </c>
      <c r="S23">
        <v>5766.6666666666661</v>
      </c>
      <c r="T23">
        <v>5600</v>
      </c>
    </row>
    <row r="24" spans="2:24" x14ac:dyDescent="0.2">
      <c r="B24">
        <v>351</v>
      </c>
      <c r="C24" s="5">
        <v>44686</v>
      </c>
      <c r="D24" s="4">
        <f t="shared" si="5"/>
        <v>23</v>
      </c>
      <c r="E24">
        <v>877</v>
      </c>
      <c r="F24">
        <v>2</v>
      </c>
      <c r="G24">
        <v>968</v>
      </c>
      <c r="I24">
        <f t="shared" si="0"/>
        <v>4550</v>
      </c>
      <c r="L24">
        <v>7945</v>
      </c>
      <c r="O24">
        <v>5.75</v>
      </c>
      <c r="S24">
        <v>4550</v>
      </c>
      <c r="U24">
        <v>7945</v>
      </c>
    </row>
    <row r="25" spans="2:24" x14ac:dyDescent="0.2">
      <c r="B25">
        <v>352</v>
      </c>
      <c r="C25" s="5">
        <v>44686</v>
      </c>
      <c r="D25" s="4">
        <f t="shared" si="5"/>
        <v>23</v>
      </c>
      <c r="E25">
        <v>876</v>
      </c>
      <c r="F25">
        <v>2</v>
      </c>
      <c r="G25">
        <v>977</v>
      </c>
      <c r="I25">
        <f t="shared" si="0"/>
        <v>5050</v>
      </c>
      <c r="L25">
        <v>6310</v>
      </c>
      <c r="M25">
        <v>966</v>
      </c>
      <c r="N25">
        <f>L25-M25</f>
        <v>5344</v>
      </c>
      <c r="O25">
        <v>5.68</v>
      </c>
      <c r="S25">
        <v>5050</v>
      </c>
      <c r="U25">
        <v>6310</v>
      </c>
    </row>
    <row r="26" spans="2:24" x14ac:dyDescent="0.2">
      <c r="B26">
        <v>353</v>
      </c>
      <c r="C26" s="5">
        <v>44686</v>
      </c>
      <c r="D26" s="4">
        <f t="shared" si="5"/>
        <v>23</v>
      </c>
      <c r="E26">
        <v>884</v>
      </c>
      <c r="F26">
        <v>2</v>
      </c>
      <c r="G26">
        <v>1003</v>
      </c>
      <c r="I26">
        <f t="shared" si="0"/>
        <v>5950</v>
      </c>
      <c r="L26">
        <v>8095</v>
      </c>
      <c r="O26">
        <v>5.63</v>
      </c>
      <c r="S26">
        <v>5950</v>
      </c>
      <c r="U26">
        <v>8095</v>
      </c>
    </row>
    <row r="31" spans="2:24" x14ac:dyDescent="0.2">
      <c r="E31" s="9" t="s">
        <v>120</v>
      </c>
      <c r="F31" s="9"/>
      <c r="G31" s="9"/>
      <c r="H31" s="9"/>
      <c r="I31" s="9"/>
      <c r="J31" s="9" t="s">
        <v>121</v>
      </c>
      <c r="K31" s="9"/>
      <c r="L31" s="9"/>
      <c r="M31" s="9"/>
      <c r="N31" s="9"/>
      <c r="O31" s="9" t="s">
        <v>3</v>
      </c>
      <c r="P31" s="9"/>
      <c r="Q31" s="9"/>
      <c r="R31" s="9"/>
      <c r="S31" s="9"/>
      <c r="T31" s="9" t="s">
        <v>122</v>
      </c>
      <c r="U31" s="9"/>
      <c r="V31" s="9"/>
      <c r="W31" s="9"/>
      <c r="X31" s="9"/>
    </row>
    <row r="32" spans="2:24" x14ac:dyDescent="0.2">
      <c r="E32" t="s">
        <v>143</v>
      </c>
      <c r="F32" t="s">
        <v>144</v>
      </c>
      <c r="G32" t="s">
        <v>145</v>
      </c>
      <c r="H32" t="s">
        <v>83</v>
      </c>
      <c r="I32" t="s">
        <v>107</v>
      </c>
      <c r="J32" t="s">
        <v>143</v>
      </c>
      <c r="K32" t="s">
        <v>144</v>
      </c>
      <c r="L32" t="s">
        <v>145</v>
      </c>
      <c r="M32" t="s">
        <v>83</v>
      </c>
      <c r="N32" t="s">
        <v>107</v>
      </c>
      <c r="O32" t="s">
        <v>143</v>
      </c>
      <c r="P32" t="s">
        <v>144</v>
      </c>
      <c r="Q32" t="s">
        <v>145</v>
      </c>
      <c r="R32" t="s">
        <v>83</v>
      </c>
      <c r="S32" t="s">
        <v>107</v>
      </c>
      <c r="T32" t="s">
        <v>143</v>
      </c>
      <c r="U32" t="s">
        <v>144</v>
      </c>
      <c r="V32" t="s">
        <v>145</v>
      </c>
      <c r="W32" t="s">
        <v>83</v>
      </c>
      <c r="X32" t="s">
        <v>107</v>
      </c>
    </row>
    <row r="33" spans="3:24" x14ac:dyDescent="0.2">
      <c r="C33" s="5">
        <f>[6]T10!C35</f>
        <v>44663</v>
      </c>
      <c r="D33" s="4">
        <f>[6]T10!D35</f>
        <v>0</v>
      </c>
      <c r="E33">
        <v>6333.3333333333339</v>
      </c>
      <c r="F33">
        <v>5350</v>
      </c>
      <c r="G33">
        <v>5650</v>
      </c>
      <c r="H33">
        <f>AVERAGE(E33:G33)</f>
        <v>5777.7777777777783</v>
      </c>
      <c r="I33">
        <f>_xlfn.STDEV.P(E33:G33)</f>
        <v>411.48631526980483</v>
      </c>
      <c r="J33">
        <v>5666.6666666666661</v>
      </c>
      <c r="K33">
        <v>6750</v>
      </c>
      <c r="L33">
        <v>5150</v>
      </c>
      <c r="M33">
        <f>AVERAGE(J33:L33)</f>
        <v>5855.5555555555547</v>
      </c>
      <c r="N33">
        <f>_xlfn.STDEV.P(J33:L33)</f>
        <v>666.71296135557145</v>
      </c>
      <c r="O33">
        <v>9130</v>
      </c>
      <c r="P33">
        <v>9250</v>
      </c>
      <c r="Q33">
        <v>7005</v>
      </c>
      <c r="R33">
        <f>AVERAGE(O33:Q33)</f>
        <v>8461.6666666666661</v>
      </c>
      <c r="S33">
        <f>_xlfn.STDEV.P(O33:Q33)</f>
        <v>1031.1832469977821</v>
      </c>
      <c r="T33">
        <v>9085</v>
      </c>
      <c r="U33">
        <v>9004</v>
      </c>
      <c r="V33">
        <v>6840</v>
      </c>
      <c r="W33">
        <f>AVERAGE(T33:V33)</f>
        <v>8309.6666666666661</v>
      </c>
      <c r="X33">
        <f>_xlfn.STDEV.P(T33:V33)</f>
        <v>1039.7372531344424</v>
      </c>
    </row>
    <row r="34" spans="3:24" x14ac:dyDescent="0.2">
      <c r="C34" s="5">
        <f>[6]T10!C36</f>
        <v>44665</v>
      </c>
      <c r="D34" s="4">
        <f>[6]T10!D36</f>
        <v>2</v>
      </c>
      <c r="E34">
        <v>7050</v>
      </c>
      <c r="F34">
        <v>6450</v>
      </c>
      <c r="G34">
        <v>4450</v>
      </c>
      <c r="H34">
        <f t="shared" ref="H34:H40" si="6">AVERAGE(E34:G34)</f>
        <v>5983.333333333333</v>
      </c>
      <c r="I34">
        <f t="shared" ref="I34:I40" si="7">_xlfn.STDEV.P(E34:G34)</f>
        <v>1111.5554667022045</v>
      </c>
      <c r="J34">
        <v>5800</v>
      </c>
      <c r="K34">
        <v>5950</v>
      </c>
      <c r="L34">
        <v>4200</v>
      </c>
      <c r="M34">
        <f t="shared" ref="M34:M39" si="8">AVERAGE(J34:L34)</f>
        <v>5316.666666666667</v>
      </c>
      <c r="N34">
        <f t="shared" ref="N34:N39" si="9">_xlfn.STDEV.P(J34:L34)</f>
        <v>791.97362470111477</v>
      </c>
      <c r="O34">
        <v>8555</v>
      </c>
      <c r="P34">
        <v>8335</v>
      </c>
      <c r="Q34">
        <v>5225</v>
      </c>
      <c r="R34">
        <f t="shared" ref="R34:R40" si="10">AVERAGE(O34:Q34)</f>
        <v>7371.666666666667</v>
      </c>
      <c r="S34">
        <f t="shared" ref="S34:S40" si="11">_xlfn.STDEV.P(O34:Q34)</f>
        <v>1520.5773757213262</v>
      </c>
      <c r="T34">
        <v>7941</v>
      </c>
      <c r="U34">
        <v>7767</v>
      </c>
      <c r="V34">
        <v>4712</v>
      </c>
      <c r="W34">
        <f t="shared" ref="W34:W40" si="12">AVERAGE(T34:V34)</f>
        <v>6806.666666666667</v>
      </c>
      <c r="X34">
        <f t="shared" ref="X34:X38" si="13">_xlfn.STDEV.P(T34:V34)</f>
        <v>1482.8554286316053</v>
      </c>
    </row>
    <row r="35" spans="3:24" x14ac:dyDescent="0.2">
      <c r="C35" s="5">
        <f>[6]T10!C37</f>
        <v>44671</v>
      </c>
      <c r="D35" s="4">
        <f>[6]T10!D37</f>
        <v>8</v>
      </c>
      <c r="E35">
        <v>4750</v>
      </c>
      <c r="F35">
        <v>5850</v>
      </c>
      <c r="G35">
        <v>5850</v>
      </c>
      <c r="H35">
        <f t="shared" si="6"/>
        <v>5483.333333333333</v>
      </c>
      <c r="I35">
        <f t="shared" si="7"/>
        <v>518.54497287013487</v>
      </c>
      <c r="J35">
        <v>4250</v>
      </c>
      <c r="K35">
        <v>5250</v>
      </c>
      <c r="L35">
        <v>5150</v>
      </c>
      <c r="M35">
        <f t="shared" si="8"/>
        <v>4883.333333333333</v>
      </c>
      <c r="N35">
        <f t="shared" si="9"/>
        <v>449.69125210773473</v>
      </c>
      <c r="O35">
        <v>6925</v>
      </c>
      <c r="P35">
        <v>8105</v>
      </c>
      <c r="Q35">
        <v>7375</v>
      </c>
      <c r="R35">
        <f t="shared" si="10"/>
        <v>7468.333333333333</v>
      </c>
      <c r="S35">
        <f t="shared" si="11"/>
        <v>486.2326832106437</v>
      </c>
      <c r="T35">
        <v>6453</v>
      </c>
      <c r="U35">
        <v>7506</v>
      </c>
      <c r="V35">
        <v>6841</v>
      </c>
      <c r="W35">
        <f t="shared" si="12"/>
        <v>6933.333333333333</v>
      </c>
      <c r="X35">
        <f t="shared" si="13"/>
        <v>434.81515868495455</v>
      </c>
    </row>
    <row r="36" spans="3:24" x14ac:dyDescent="0.2">
      <c r="C36" s="5">
        <f>[6]T10!C38</f>
        <v>44673</v>
      </c>
      <c r="D36" s="4">
        <f>[6]T10!D38</f>
        <v>10</v>
      </c>
      <c r="E36">
        <v>4300</v>
      </c>
      <c r="F36">
        <v>4800</v>
      </c>
      <c r="G36">
        <v>5850</v>
      </c>
      <c r="H36">
        <f t="shared" si="6"/>
        <v>4983.333333333333</v>
      </c>
      <c r="I36">
        <f t="shared" si="7"/>
        <v>645.92741250253675</v>
      </c>
      <c r="J36">
        <v>4000</v>
      </c>
      <c r="K36">
        <v>4450</v>
      </c>
      <c r="L36">
        <v>5150</v>
      </c>
      <c r="M36">
        <f t="shared" si="8"/>
        <v>4533.333333333333</v>
      </c>
      <c r="N36">
        <f t="shared" si="9"/>
        <v>473.16898555261298</v>
      </c>
      <c r="O36">
        <v>6690</v>
      </c>
      <c r="P36">
        <v>7095</v>
      </c>
      <c r="Q36">
        <v>8225</v>
      </c>
      <c r="R36">
        <f t="shared" si="10"/>
        <v>7336.666666666667</v>
      </c>
      <c r="S36">
        <f t="shared" si="11"/>
        <v>649.54257409007107</v>
      </c>
      <c r="T36">
        <v>5985</v>
      </c>
      <c r="U36">
        <v>6448</v>
      </c>
      <c r="V36">
        <v>7404.5</v>
      </c>
      <c r="W36">
        <f t="shared" si="12"/>
        <v>6612.5</v>
      </c>
      <c r="X36">
        <f t="shared" si="13"/>
        <v>591.06697308060336</v>
      </c>
    </row>
    <row r="37" spans="3:24" x14ac:dyDescent="0.2">
      <c r="C37" s="5">
        <f>[6]T10!C39</f>
        <v>44678</v>
      </c>
      <c r="D37" s="4">
        <f>[6]T10!D39</f>
        <v>15</v>
      </c>
      <c r="E37">
        <v>3833.3333333333335</v>
      </c>
      <c r="F37">
        <v>5500</v>
      </c>
      <c r="G37">
        <v>5466.6666666666661</v>
      </c>
      <c r="H37">
        <f t="shared" si="6"/>
        <v>4933.333333333333</v>
      </c>
      <c r="I37">
        <f t="shared" si="7"/>
        <v>777.93649174285474</v>
      </c>
      <c r="J37">
        <v>3433.3333333333335</v>
      </c>
      <c r="K37">
        <v>4866.6666666666661</v>
      </c>
      <c r="L37">
        <v>4866.6666666666661</v>
      </c>
      <c r="M37">
        <f t="shared" si="8"/>
        <v>4388.8888888888887</v>
      </c>
      <c r="N37">
        <f t="shared" si="9"/>
        <v>675.67981313381017</v>
      </c>
      <c r="O37">
        <v>5110</v>
      </c>
      <c r="P37">
        <v>7470</v>
      </c>
      <c r="Q37">
        <v>7690</v>
      </c>
      <c r="R37">
        <f t="shared" si="10"/>
        <v>6756.666666666667</v>
      </c>
      <c r="S37">
        <f t="shared" si="11"/>
        <v>1167.8279934229279</v>
      </c>
      <c r="T37">
        <v>4293</v>
      </c>
      <c r="U37">
        <v>6381</v>
      </c>
      <c r="V37">
        <v>6710</v>
      </c>
      <c r="W37">
        <f t="shared" si="12"/>
        <v>5794.666666666667</v>
      </c>
      <c r="X37">
        <f t="shared" si="13"/>
        <v>1070.2997503295774</v>
      </c>
    </row>
    <row r="38" spans="3:24" x14ac:dyDescent="0.2">
      <c r="C38" s="5">
        <f>[6]T10!C40</f>
        <v>44680</v>
      </c>
      <c r="D38" s="4">
        <f>[6]T10!D40</f>
        <v>17</v>
      </c>
      <c r="E38">
        <v>5000</v>
      </c>
      <c r="F38">
        <v>5266.6666666666661</v>
      </c>
      <c r="G38">
        <v>5200</v>
      </c>
      <c r="H38">
        <f t="shared" si="6"/>
        <v>5155.5555555555557</v>
      </c>
      <c r="I38">
        <f t="shared" si="7"/>
        <v>113.31154474650614</v>
      </c>
      <c r="J38">
        <v>4400</v>
      </c>
      <c r="K38">
        <v>4600</v>
      </c>
      <c r="L38">
        <v>4666.6666666666661</v>
      </c>
      <c r="M38">
        <f t="shared" si="8"/>
        <v>4555.5555555555557</v>
      </c>
      <c r="N38">
        <f t="shared" si="9"/>
        <v>113.31154474650613</v>
      </c>
      <c r="O38">
        <v>6710</v>
      </c>
      <c r="P38">
        <v>6775</v>
      </c>
      <c r="Q38">
        <v>7025</v>
      </c>
      <c r="R38">
        <f t="shared" si="10"/>
        <v>6836.666666666667</v>
      </c>
      <c r="S38">
        <f t="shared" si="11"/>
        <v>135.78987034712452</v>
      </c>
      <c r="T38">
        <v>5804</v>
      </c>
      <c r="U38">
        <v>5809</v>
      </c>
      <c r="V38">
        <v>5917</v>
      </c>
      <c r="W38">
        <f t="shared" si="12"/>
        <v>5843.333333333333</v>
      </c>
      <c r="X38">
        <f t="shared" si="13"/>
        <v>52.130178932702272</v>
      </c>
    </row>
    <row r="39" spans="3:24" x14ac:dyDescent="0.2">
      <c r="C39" s="5">
        <f>[6]T10!C41</f>
        <v>44684</v>
      </c>
      <c r="D39" s="4">
        <f>[6]T10!D41</f>
        <v>21</v>
      </c>
      <c r="E39">
        <v>4333.3333333333339</v>
      </c>
      <c r="F39">
        <v>4733.3333333333339</v>
      </c>
      <c r="G39">
        <v>5766.6666666666661</v>
      </c>
      <c r="H39">
        <f t="shared" si="6"/>
        <v>4944.4444444444443</v>
      </c>
      <c r="I39">
        <f t="shared" si="7"/>
        <v>603.89681074227394</v>
      </c>
      <c r="J39">
        <v>4033.3333333333335</v>
      </c>
      <c r="K39">
        <v>4133.3333333333339</v>
      </c>
      <c r="L39">
        <v>5600</v>
      </c>
      <c r="M39">
        <f t="shared" si="8"/>
        <v>4588.8888888888896</v>
      </c>
      <c r="N39">
        <f t="shared" si="9"/>
        <v>716.12813530320057</v>
      </c>
      <c r="O39">
        <v>6565</v>
      </c>
      <c r="R39">
        <f t="shared" si="10"/>
        <v>6565</v>
      </c>
      <c r="S39">
        <f t="shared" si="11"/>
        <v>0</v>
      </c>
      <c r="T39">
        <v>5659</v>
      </c>
      <c r="W39">
        <f t="shared" si="12"/>
        <v>5659</v>
      </c>
      <c r="X39">
        <v>0</v>
      </c>
    </row>
    <row r="40" spans="3:24" x14ac:dyDescent="0.2">
      <c r="C40" s="5">
        <f>[6]T10!C42</f>
        <v>44686</v>
      </c>
      <c r="D40" s="4">
        <f>[6]T10!D42</f>
        <v>23</v>
      </c>
      <c r="E40">
        <v>4550</v>
      </c>
      <c r="F40">
        <v>5050</v>
      </c>
      <c r="G40">
        <v>5950</v>
      </c>
      <c r="H40">
        <f t="shared" si="6"/>
        <v>5183.333333333333</v>
      </c>
      <c r="I40">
        <f t="shared" si="7"/>
        <v>579.2715732327589</v>
      </c>
      <c r="O40">
        <v>7945</v>
      </c>
      <c r="P40">
        <v>6310</v>
      </c>
      <c r="Q40">
        <v>8095</v>
      </c>
      <c r="R40">
        <f t="shared" si="10"/>
        <v>7450</v>
      </c>
      <c r="S40">
        <f t="shared" si="11"/>
        <v>808.4243934963863</v>
      </c>
      <c r="U40">
        <v>5344</v>
      </c>
      <c r="W40">
        <f t="shared" si="12"/>
        <v>5344</v>
      </c>
      <c r="X40">
        <v>0</v>
      </c>
    </row>
    <row r="44" spans="3:24" x14ac:dyDescent="0.2">
      <c r="F44" t="s">
        <v>101</v>
      </c>
      <c r="G44">
        <v>2.1600000000000001E-2</v>
      </c>
    </row>
    <row r="45" spans="3:24" x14ac:dyDescent="0.2">
      <c r="F45" t="s">
        <v>69</v>
      </c>
      <c r="G45">
        <v>8.8999999999999999E-3</v>
      </c>
      <c r="I45">
        <f>G44-G45</f>
        <v>1.2700000000000001E-2</v>
      </c>
    </row>
    <row r="46" spans="3:24" x14ac:dyDescent="0.2">
      <c r="F46" t="s">
        <v>70</v>
      </c>
      <c r="G46">
        <v>3.4299999999999997E-2</v>
      </c>
      <c r="I46">
        <f>G46-G44</f>
        <v>1.2699999999999996E-2</v>
      </c>
    </row>
    <row r="48" spans="3:24" x14ac:dyDescent="0.2">
      <c r="F48" t="s">
        <v>146</v>
      </c>
      <c r="G48">
        <v>8297.5</v>
      </c>
    </row>
    <row r="49" spans="6:7" x14ac:dyDescent="0.2">
      <c r="F49" t="s">
        <v>147</v>
      </c>
      <c r="G49">
        <v>7316.8</v>
      </c>
    </row>
    <row r="50" spans="6:7" x14ac:dyDescent="0.2">
      <c r="F50" t="s">
        <v>148</v>
      </c>
      <c r="G50">
        <v>9278.2000000000007</v>
      </c>
    </row>
  </sheetData>
  <mergeCells count="4">
    <mergeCell ref="E31:I31"/>
    <mergeCell ref="J31:N31"/>
    <mergeCell ref="O31:S31"/>
    <mergeCell ref="T31:X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S77"/>
  <sheetViews>
    <sheetView zoomScale="70" zoomScaleNormal="70" workbookViewId="0">
      <selection activeCell="H49" sqref="H49"/>
    </sheetView>
  </sheetViews>
  <sheetFormatPr defaultRowHeight="14.25" x14ac:dyDescent="0.2"/>
  <sheetData>
    <row r="1" spans="2:71" x14ac:dyDescent="0.2">
      <c r="C1" s="9" t="s">
        <v>1</v>
      </c>
      <c r="D1" s="9"/>
      <c r="E1" s="9"/>
      <c r="F1" s="9"/>
      <c r="G1" s="9"/>
      <c r="H1" s="9" t="s">
        <v>2</v>
      </c>
      <c r="I1" s="9"/>
      <c r="J1" s="9"/>
      <c r="K1" s="9"/>
      <c r="L1" s="9"/>
      <c r="M1" s="9" t="s">
        <v>40</v>
      </c>
      <c r="N1" s="9"/>
      <c r="O1" s="9"/>
      <c r="P1" s="9"/>
      <c r="Q1" s="9"/>
      <c r="R1" s="9" t="s">
        <v>41</v>
      </c>
      <c r="S1" s="9"/>
      <c r="T1" s="9"/>
      <c r="U1" s="9"/>
      <c r="V1" s="2"/>
      <c r="W1" s="9" t="s">
        <v>42</v>
      </c>
      <c r="X1" s="9"/>
      <c r="Y1" s="9"/>
      <c r="Z1" s="9"/>
      <c r="AA1" s="2"/>
      <c r="AB1" s="9" t="s">
        <v>43</v>
      </c>
      <c r="AC1" s="9"/>
      <c r="AD1" s="9"/>
      <c r="AE1" s="9"/>
      <c r="AF1" s="9"/>
      <c r="AG1" s="9" t="s">
        <v>46</v>
      </c>
      <c r="AH1" s="9"/>
      <c r="AI1" s="9"/>
      <c r="AJ1" s="9"/>
      <c r="AK1" s="9"/>
      <c r="AL1" s="9" t="s">
        <v>49</v>
      </c>
      <c r="AM1" s="9"/>
      <c r="AN1" s="9"/>
      <c r="AO1" s="9"/>
      <c r="AP1" s="9"/>
      <c r="AQ1" s="9" t="s">
        <v>5</v>
      </c>
      <c r="AR1" s="9"/>
      <c r="AS1" s="9"/>
      <c r="AT1" s="9"/>
      <c r="AU1" s="9"/>
      <c r="BC1" s="10"/>
      <c r="BD1" s="10"/>
      <c r="BE1" s="10"/>
      <c r="BF1" s="10"/>
      <c r="BG1" s="10"/>
      <c r="BH1" s="2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2:71" x14ac:dyDescent="0.2">
      <c r="B2" t="s">
        <v>7</v>
      </c>
      <c r="C2" t="s">
        <v>36</v>
      </c>
      <c r="D2" t="s">
        <v>37</v>
      </c>
      <c r="E2" t="s">
        <v>38</v>
      </c>
      <c r="F2" t="s">
        <v>39</v>
      </c>
      <c r="G2" t="s">
        <v>44</v>
      </c>
      <c r="H2" t="s">
        <v>36</v>
      </c>
      <c r="I2" t="s">
        <v>37</v>
      </c>
      <c r="J2" t="s">
        <v>38</v>
      </c>
      <c r="K2" t="s">
        <v>39</v>
      </c>
      <c r="L2" t="s">
        <v>44</v>
      </c>
      <c r="M2" t="s">
        <v>36</v>
      </c>
      <c r="N2" t="s">
        <v>37</v>
      </c>
      <c r="O2" t="s">
        <v>38</v>
      </c>
      <c r="P2" t="s">
        <v>39</v>
      </c>
      <c r="Q2" t="s">
        <v>44</v>
      </c>
      <c r="R2" t="s">
        <v>36</v>
      </c>
      <c r="S2" t="s">
        <v>37</v>
      </c>
      <c r="T2" t="s">
        <v>38</v>
      </c>
      <c r="U2" t="s">
        <v>39</v>
      </c>
      <c r="V2" t="s">
        <v>44</v>
      </c>
      <c r="W2" t="s">
        <v>36</v>
      </c>
      <c r="X2" t="s">
        <v>37</v>
      </c>
      <c r="Y2" t="s">
        <v>38</v>
      </c>
      <c r="Z2" t="s">
        <v>39</v>
      </c>
      <c r="AA2" t="s">
        <v>44</v>
      </c>
      <c r="AB2" t="s">
        <v>36</v>
      </c>
      <c r="AC2" t="s">
        <v>37</v>
      </c>
      <c r="AD2" t="s">
        <v>38</v>
      </c>
      <c r="AE2" t="s">
        <v>39</v>
      </c>
      <c r="AF2" t="s">
        <v>44</v>
      </c>
      <c r="AG2" t="s">
        <v>36</v>
      </c>
      <c r="AH2" t="s">
        <v>37</v>
      </c>
      <c r="AI2" t="s">
        <v>38</v>
      </c>
      <c r="AJ2" t="s">
        <v>39</v>
      </c>
      <c r="AK2" t="s">
        <v>44</v>
      </c>
      <c r="AL2" t="s">
        <v>36</v>
      </c>
      <c r="AM2" t="s">
        <v>37</v>
      </c>
      <c r="AN2" t="s">
        <v>38</v>
      </c>
      <c r="AO2" t="s">
        <v>39</v>
      </c>
      <c r="AP2" t="s">
        <v>44</v>
      </c>
      <c r="AQ2" t="s">
        <v>36</v>
      </c>
      <c r="AR2" t="s">
        <v>37</v>
      </c>
      <c r="AS2" t="s">
        <v>38</v>
      </c>
    </row>
    <row r="3" spans="2:71" x14ac:dyDescent="0.2">
      <c r="B3">
        <v>0</v>
      </c>
      <c r="H3" t="s">
        <v>33</v>
      </c>
      <c r="I3" t="s">
        <v>33</v>
      </c>
      <c r="J3" t="s">
        <v>33</v>
      </c>
      <c r="K3" t="s">
        <v>33</v>
      </c>
      <c r="M3">
        <v>7020</v>
      </c>
      <c r="N3">
        <v>7110</v>
      </c>
      <c r="O3">
        <v>7420</v>
      </c>
      <c r="P3">
        <f>AVERAGE(M3:O3)</f>
        <v>7183.333333333333</v>
      </c>
      <c r="Q3">
        <f>_xlfn.STDEV.S(M3:O3)</f>
        <v>209.8412098071619</v>
      </c>
      <c r="R3">
        <v>180</v>
      </c>
      <c r="S3">
        <v>182</v>
      </c>
      <c r="T3">
        <v>180</v>
      </c>
      <c r="U3">
        <f>AVERAGE(R3:T3)</f>
        <v>180.66666666666666</v>
      </c>
      <c r="V3">
        <f>_xlfn.STDEV.S(R3:T3)</f>
        <v>1.1547005383792515</v>
      </c>
      <c r="W3">
        <f>M3-R3</f>
        <v>6840</v>
      </c>
      <c r="X3">
        <f>N3-S3</f>
        <v>6928</v>
      </c>
      <c r="Y3">
        <f>O3-T3</f>
        <v>7240</v>
      </c>
      <c r="Z3">
        <f>AVERAGE(W3:Y3)</f>
        <v>7002.666666666667</v>
      </c>
      <c r="AA3">
        <f>_xlfn.STDEV.S(W3:Y3)</f>
        <v>210.19356158867791</v>
      </c>
      <c r="AB3">
        <f>IFERROR(M3/C3,0)</f>
        <v>0</v>
      </c>
      <c r="AC3">
        <f>IFERROR(N3/D3,0)</f>
        <v>0</v>
      </c>
      <c r="AD3">
        <f>IFERROR(O3/E3,0)</f>
        <v>0</v>
      </c>
      <c r="AF3">
        <f>_xlfn.STDEV.S(AB3:AD3)</f>
        <v>0</v>
      </c>
      <c r="AL3">
        <v>7.18</v>
      </c>
      <c r="AM3">
        <v>6.79</v>
      </c>
      <c r="AN3">
        <v>7.2</v>
      </c>
      <c r="AO3">
        <f>AVERAGE(AL3:AN3)</f>
        <v>7.0566666666666658</v>
      </c>
      <c r="AQ3">
        <v>69.3</v>
      </c>
      <c r="AR3">
        <v>70.5</v>
      </c>
      <c r="AS3">
        <v>68.8</v>
      </c>
    </row>
    <row r="4" spans="2:71" x14ac:dyDescent="0.2">
      <c r="B4">
        <v>2</v>
      </c>
      <c r="C4">
        <v>4150.0000000000146</v>
      </c>
      <c r="D4">
        <v>4199.9999999999818</v>
      </c>
      <c r="F4">
        <f>AVERAGE(C4:E4)</f>
        <v>4174.9999999999982</v>
      </c>
      <c r="G4">
        <f>_xlfn.STDEV.S(C4:E4)</f>
        <v>35.355339059304221</v>
      </c>
      <c r="H4">
        <f>'[1]T5-1'!L7</f>
        <v>3799.9999999999982</v>
      </c>
      <c r="I4">
        <f>'[1]T5-2'!K7</f>
        <v>3899.9999999999868</v>
      </c>
      <c r="K4">
        <f>AVERAGE(H4:J4)</f>
        <v>3849.9999999999927</v>
      </c>
      <c r="L4">
        <f>_xlfn.STDEV.S(H4:J4)</f>
        <v>70.710678118646712</v>
      </c>
      <c r="M4">
        <v>6040</v>
      </c>
      <c r="N4">
        <v>5725</v>
      </c>
      <c r="O4">
        <v>5945</v>
      </c>
      <c r="P4">
        <f>AVERAGE(M4:O4)</f>
        <v>5903.333333333333</v>
      </c>
      <c r="Q4">
        <f>_xlfn.STDEV.S(M4:O4)</f>
        <v>161.58073317488487</v>
      </c>
      <c r="R4">
        <v>212</v>
      </c>
      <c r="S4">
        <v>210</v>
      </c>
      <c r="T4">
        <v>206</v>
      </c>
      <c r="U4">
        <f t="shared" ref="U4:U30" si="0">AVERAGE(R4:T4)</f>
        <v>209.33333333333334</v>
      </c>
      <c r="V4">
        <f>_xlfn.STDEV.S(R4:T4)</f>
        <v>3.0550504633038935</v>
      </c>
      <c r="W4">
        <f t="shared" ref="W4:Y19" si="1">M4-R4</f>
        <v>5828</v>
      </c>
      <c r="X4">
        <f t="shared" si="1"/>
        <v>5515</v>
      </c>
      <c r="Y4">
        <f t="shared" si="1"/>
        <v>5739</v>
      </c>
      <c r="Z4">
        <f t="shared" ref="Z4:Z35" si="2">AVERAGE(W4:Y4)</f>
        <v>5694</v>
      </c>
      <c r="AA4">
        <f>_xlfn.STDEV.S(W4:Y4)</f>
        <v>161.27926091100491</v>
      </c>
      <c r="AB4">
        <f>IFERROR(M4/C4,0)</f>
        <v>1.4554216867469829</v>
      </c>
      <c r="AC4">
        <f t="shared" ref="AC4:AD34" si="3">IFERROR(N4/D4,0)</f>
        <v>1.3630952380952439</v>
      </c>
      <c r="AE4">
        <f>AVERAGE(AB4:AC4)</f>
        <v>1.4092584624211133</v>
      </c>
      <c r="AF4">
        <f>_xlfn.STDEV.S(AB4:AD4)</f>
        <v>6.5284657924516223E-2</v>
      </c>
      <c r="AG4">
        <f>H4/C4</f>
        <v>0.91566265060240604</v>
      </c>
      <c r="AH4">
        <f t="shared" ref="AH4:AI19" si="4">I4/D4</f>
        <v>0.92857142857142949</v>
      </c>
      <c r="AJ4">
        <f t="shared" ref="AJ4:AJ22" si="5">AVERAGE(AG4:AI4)</f>
        <v>0.92211703958691782</v>
      </c>
      <c r="AK4">
        <f t="shared" ref="AK4:AK22" si="6">_xlfn.STDEV.S(AG4:AI4)</f>
        <v>9.1278844387279942E-3</v>
      </c>
    </row>
    <row r="5" spans="2:71" x14ac:dyDescent="0.2">
      <c r="B5">
        <v>4</v>
      </c>
      <c r="C5">
        <v>5350.0000000000209</v>
      </c>
      <c r="D5">
        <v>4999.9999999999764</v>
      </c>
      <c r="E5">
        <v>5049.9999999999991</v>
      </c>
      <c r="F5">
        <f t="shared" ref="F5:F29" si="7">AVERAGE(C5:E5)</f>
        <v>5133.3333333333321</v>
      </c>
      <c r="G5">
        <f t="shared" ref="G5:G22" si="8">_xlfn.STDEV.S(C5:E5)</f>
        <v>189.29694486002964</v>
      </c>
      <c r="H5">
        <f>'[1]T5-1'!L8</f>
        <v>4950.00000000001</v>
      </c>
      <c r="I5">
        <f>'[1]T5-2'!K8</f>
        <v>4449.9999999999818</v>
      </c>
      <c r="J5">
        <f>'[1]T5-3'!K8</f>
        <v>4649.9999999999882</v>
      </c>
      <c r="K5">
        <f t="shared" ref="K5:K29" si="9">AVERAGE(H5:J5)</f>
        <v>4683.3333333333276</v>
      </c>
      <c r="L5">
        <f t="shared" ref="L5:L16" si="10">_xlfn.STDEV.S(H5:J5)</f>
        <v>251.66114784237286</v>
      </c>
      <c r="M5">
        <v>6140</v>
      </c>
      <c r="N5">
        <v>6455</v>
      </c>
      <c r="O5">
        <v>6480</v>
      </c>
      <c r="P5">
        <f t="shared" ref="P5" si="11">AVERAGE(M5:O5)</f>
        <v>6358.333333333333</v>
      </c>
      <c r="Q5">
        <f t="shared" ref="Q5:Q9" si="12">_xlfn.STDEV.S(M5:O5)</f>
        <v>189.4949427645322</v>
      </c>
      <c r="R5">
        <v>51</v>
      </c>
      <c r="S5">
        <v>105</v>
      </c>
      <c r="T5">
        <v>120</v>
      </c>
      <c r="U5">
        <f t="shared" si="0"/>
        <v>92</v>
      </c>
      <c r="V5">
        <f t="shared" ref="V5:V22" si="13">_xlfn.STDEV.S(R5:T5)</f>
        <v>36.290494623248108</v>
      </c>
      <c r="W5">
        <f t="shared" si="1"/>
        <v>6089</v>
      </c>
      <c r="X5">
        <f t="shared" si="1"/>
        <v>6350</v>
      </c>
      <c r="Y5">
        <f t="shared" si="1"/>
        <v>6360</v>
      </c>
      <c r="Z5">
        <f t="shared" si="2"/>
        <v>6266.333333333333</v>
      </c>
      <c r="AA5">
        <f t="shared" ref="AA5:AA23" si="14">_xlfn.STDEV.S(W5:Y5)</f>
        <v>153.65654341203089</v>
      </c>
      <c r="AB5">
        <f>IFERROR(M5/C5,0)</f>
        <v>1.1476635514018647</v>
      </c>
      <c r="AC5">
        <f t="shared" si="3"/>
        <v>1.2910000000000061</v>
      </c>
      <c r="AD5">
        <f t="shared" si="3"/>
        <v>1.2831683168316834</v>
      </c>
      <c r="AE5">
        <f>AVERAGE(AB5:AD5)</f>
        <v>1.2406106227445182</v>
      </c>
      <c r="AF5">
        <f t="shared" ref="AF5:AF22" si="15">_xlfn.STDEV.S(AB5:AD5)</f>
        <v>8.0589716271336195E-2</v>
      </c>
      <c r="AG5">
        <f>H5/C5</f>
        <v>0.9252336448598113</v>
      </c>
      <c r="AH5">
        <f t="shared" si="4"/>
        <v>0.89000000000000057</v>
      </c>
      <c r="AI5">
        <f t="shared" si="4"/>
        <v>0.92079207920791861</v>
      </c>
      <c r="AJ5">
        <f t="shared" si="5"/>
        <v>0.91200857468924346</v>
      </c>
      <c r="AK5">
        <f t="shared" si="6"/>
        <v>1.9188926396466438E-2</v>
      </c>
    </row>
    <row r="6" spans="2:71" x14ac:dyDescent="0.2">
      <c r="B6">
        <v>7</v>
      </c>
      <c r="C6">
        <v>5000.0000000000045</v>
      </c>
      <c r="D6">
        <v>4150.0000000000146</v>
      </c>
      <c r="E6">
        <v>4949.9999999999827</v>
      </c>
      <c r="F6">
        <f t="shared" si="7"/>
        <v>4700</v>
      </c>
      <c r="G6">
        <f t="shared" si="8"/>
        <v>476.96960070846137</v>
      </c>
      <c r="H6">
        <f>'[1]T5-1'!L9</f>
        <v>4849.9999999999936</v>
      </c>
      <c r="I6">
        <f>'[1]T5-2'!K9</f>
        <v>3900.0000000000146</v>
      </c>
      <c r="J6">
        <f>'[1]T5-3'!K9</f>
        <v>4799.9999999999991</v>
      </c>
      <c r="K6">
        <f t="shared" si="9"/>
        <v>4516.6666666666688</v>
      </c>
      <c r="L6">
        <f t="shared" si="10"/>
        <v>534.63383107817072</v>
      </c>
      <c r="M6">
        <v>6430</v>
      </c>
      <c r="N6">
        <v>5530</v>
      </c>
      <c r="O6">
        <v>6835</v>
      </c>
      <c r="P6">
        <f>AVERAGE(M6:O6)</f>
        <v>6265</v>
      </c>
      <c r="Q6">
        <f t="shared" si="12"/>
        <v>667.96332234636952</v>
      </c>
      <c r="R6">
        <v>40</v>
      </c>
      <c r="S6">
        <v>100</v>
      </c>
      <c r="T6">
        <v>114</v>
      </c>
      <c r="U6">
        <f t="shared" si="0"/>
        <v>84.666666666666671</v>
      </c>
      <c r="V6">
        <f t="shared" si="13"/>
        <v>39.310727967481519</v>
      </c>
      <c r="W6">
        <f t="shared" si="1"/>
        <v>6390</v>
      </c>
      <c r="X6">
        <f t="shared" si="1"/>
        <v>5430</v>
      </c>
      <c r="Y6">
        <f t="shared" si="1"/>
        <v>6721</v>
      </c>
      <c r="Z6">
        <f t="shared" si="2"/>
        <v>6180.333333333333</v>
      </c>
      <c r="AA6">
        <f t="shared" si="14"/>
        <v>670.55225995692047</v>
      </c>
      <c r="AB6">
        <f t="shared" ref="AB6:AB34" si="16">IFERROR(M6/C6,0)</f>
        <v>1.2859999999999989</v>
      </c>
      <c r="AC6">
        <f t="shared" si="3"/>
        <v>1.3325301204819231</v>
      </c>
      <c r="AD6">
        <f t="shared" si="3"/>
        <v>1.3808080808080856</v>
      </c>
      <c r="AE6">
        <f t="shared" ref="AE6:AE22" si="17">AVERAGE(AB6:AD6)</f>
        <v>1.3331127337633359</v>
      </c>
      <c r="AF6">
        <f t="shared" si="15"/>
        <v>4.7406725528187789E-2</v>
      </c>
      <c r="AG6">
        <f t="shared" ref="AG6:AI21" si="18">H6/C6</f>
        <v>0.96999999999999786</v>
      </c>
      <c r="AH6">
        <f t="shared" si="4"/>
        <v>0.93975903614457856</v>
      </c>
      <c r="AI6">
        <f t="shared" si="4"/>
        <v>0.96969696969697294</v>
      </c>
      <c r="AJ6">
        <f t="shared" si="5"/>
        <v>0.95981866861384979</v>
      </c>
      <c r="AK6">
        <f t="shared" si="6"/>
        <v>1.7372812033255244E-2</v>
      </c>
      <c r="AQ6">
        <v>69.599999999999994</v>
      </c>
      <c r="AR6">
        <v>69.7</v>
      </c>
      <c r="AS6">
        <v>70.2</v>
      </c>
    </row>
    <row r="7" spans="2:71" x14ac:dyDescent="0.2">
      <c r="B7">
        <f>'[1]T5-1'!C10</f>
        <v>9</v>
      </c>
      <c r="C7">
        <f>'[1]T5-1'!H10</f>
        <v>6149.9999999999891</v>
      </c>
      <c r="D7">
        <f>'[1]T5-2'!G10</f>
        <v>4200.0000000000091</v>
      </c>
      <c r="E7">
        <f>'[1]T5-1'!H10</f>
        <v>6149.9999999999891</v>
      </c>
      <c r="F7">
        <f t="shared" si="7"/>
        <v>5499.9999999999955</v>
      </c>
      <c r="G7">
        <f t="shared" si="8"/>
        <v>1125.8330249197636</v>
      </c>
      <c r="H7">
        <f>'[1]T5-1'!L10</f>
        <v>5599.9999999999945</v>
      </c>
      <c r="I7">
        <f>'[1]T5-2'!K10</f>
        <v>3350.0000000000196</v>
      </c>
      <c r="J7">
        <f>'[1]T5-3'!K10</f>
        <v>3750.0000000000036</v>
      </c>
      <c r="K7">
        <f t="shared" si="9"/>
        <v>4233.3333333333394</v>
      </c>
      <c r="L7">
        <f t="shared" si="10"/>
        <v>1200.3471720020445</v>
      </c>
      <c r="M7">
        <f>'[1]T5-1'!O10</f>
        <v>5970</v>
      </c>
      <c r="N7">
        <f>'[1]T5-2'!N10</f>
        <v>5695</v>
      </c>
      <c r="O7">
        <f>'[1]T5-3'!N10</f>
        <v>8085</v>
      </c>
      <c r="P7">
        <f t="shared" ref="P7:P29" si="19">AVERAGE(M7:O7)</f>
        <v>6583.333333333333</v>
      </c>
      <c r="Q7">
        <f t="shared" si="12"/>
        <v>1307.7302219239778</v>
      </c>
      <c r="R7">
        <f>'[1]T5-1'!R10</f>
        <v>121.5</v>
      </c>
      <c r="S7">
        <f>'[1]T5-2'!Q10</f>
        <v>208.5</v>
      </c>
      <c r="T7">
        <f>'[1]T5-3'!Q10</f>
        <v>277.5</v>
      </c>
      <c r="U7">
        <f t="shared" si="0"/>
        <v>202.5</v>
      </c>
      <c r="V7">
        <f t="shared" si="13"/>
        <v>78.172885324772295</v>
      </c>
      <c r="W7">
        <f t="shared" si="1"/>
        <v>5848.5</v>
      </c>
      <c r="X7">
        <f t="shared" si="1"/>
        <v>5486.5</v>
      </c>
      <c r="Y7">
        <f t="shared" si="1"/>
        <v>7807.5</v>
      </c>
      <c r="Z7">
        <f t="shared" si="2"/>
        <v>6380.833333333333</v>
      </c>
      <c r="AA7">
        <f t="shared" si="14"/>
        <v>1248.7170749746861</v>
      </c>
      <c r="AB7">
        <f t="shared" si="16"/>
        <v>0.97073170731707492</v>
      </c>
      <c r="AC7">
        <f t="shared" si="3"/>
        <v>1.3559523809523779</v>
      </c>
      <c r="AD7">
        <f t="shared" si="3"/>
        <v>1.3146341463414657</v>
      </c>
      <c r="AE7">
        <f t="shared" si="17"/>
        <v>1.2137727448703062</v>
      </c>
      <c r="AF7">
        <f t="shared" si="15"/>
        <v>0.21149115484826803</v>
      </c>
      <c r="AG7">
        <f t="shared" si="18"/>
        <v>0.91056910569105765</v>
      </c>
      <c r="AH7">
        <f t="shared" si="4"/>
        <v>0.79761904761905056</v>
      </c>
      <c r="AI7">
        <f t="shared" si="4"/>
        <v>0.60975609756097726</v>
      </c>
      <c r="AJ7">
        <f t="shared" si="5"/>
        <v>0.77264808362369519</v>
      </c>
      <c r="AK7">
        <f t="shared" si="6"/>
        <v>0.15195321071701581</v>
      </c>
    </row>
    <row r="8" spans="2:71" x14ac:dyDescent="0.2">
      <c r="B8">
        <f>'[1]T5-1'!C11</f>
        <v>11</v>
      </c>
      <c r="C8">
        <f>'[1]T5-1'!H11</f>
        <v>5599.9999999999945</v>
      </c>
      <c r="D8">
        <f>'[1]T5-2'!G11</f>
        <v>2549.9999999999968</v>
      </c>
      <c r="E8">
        <f>'[1]T5-1'!H11</f>
        <v>5599.9999999999945</v>
      </c>
      <c r="F8">
        <f t="shared" si="7"/>
        <v>4583.3333333333285</v>
      </c>
      <c r="G8">
        <f t="shared" si="8"/>
        <v>1760.9183210283582</v>
      </c>
      <c r="H8">
        <f>'[1]T5-1'!L11</f>
        <v>5299.9999999999991</v>
      </c>
      <c r="I8">
        <f>'[1]T5-2'!K11</f>
        <v>2150.0000000000127</v>
      </c>
      <c r="J8">
        <f>'[1]T5-3'!K11</f>
        <v>5650.0000000000164</v>
      </c>
      <c r="K8">
        <f t="shared" si="9"/>
        <v>4366.6666666666761</v>
      </c>
      <c r="L8">
        <f t="shared" si="10"/>
        <v>1927.6496915501325</v>
      </c>
      <c r="M8">
        <f>'[1]T5-1'!O11</f>
        <v>6615</v>
      </c>
      <c r="N8">
        <f>'[1]T5-2'!N11</f>
        <v>6395</v>
      </c>
      <c r="O8">
        <f>'[1]T5-3'!N11</f>
        <v>6425</v>
      </c>
      <c r="P8">
        <f t="shared" si="19"/>
        <v>6478.333333333333</v>
      </c>
      <c r="Q8">
        <f t="shared" si="12"/>
        <v>119.30353445448854</v>
      </c>
      <c r="R8">
        <f>'[1]T5-1'!R11</f>
        <v>176</v>
      </c>
      <c r="S8">
        <f>'[1]T5-2'!Q11</f>
        <v>106</v>
      </c>
      <c r="T8">
        <f>'[1]T5-3'!Q11</f>
        <v>88</v>
      </c>
      <c r="U8">
        <f t="shared" si="0"/>
        <v>123.33333333333333</v>
      </c>
      <c r="V8">
        <f t="shared" si="13"/>
        <v>46.490142324296365</v>
      </c>
      <c r="W8">
        <f t="shared" si="1"/>
        <v>6439</v>
      </c>
      <c r="X8">
        <f t="shared" si="1"/>
        <v>6289</v>
      </c>
      <c r="Y8">
        <f t="shared" si="1"/>
        <v>6337</v>
      </c>
      <c r="Z8">
        <f t="shared" si="2"/>
        <v>6355</v>
      </c>
      <c r="AA8">
        <f t="shared" si="14"/>
        <v>76.602872008822231</v>
      </c>
      <c r="AB8">
        <f t="shared" si="16"/>
        <v>1.1812500000000012</v>
      </c>
      <c r="AC8">
        <f>IFERROR(N8/D8,0)</f>
        <v>2.507843137254905</v>
      </c>
      <c r="AD8">
        <f t="shared" si="3"/>
        <v>1.1473214285714297</v>
      </c>
      <c r="AE8">
        <f t="shared" si="17"/>
        <v>1.6121381886087789</v>
      </c>
      <c r="AF8">
        <f t="shared" si="15"/>
        <v>0.77588871834926465</v>
      </c>
      <c r="AG8">
        <f t="shared" si="18"/>
        <v>0.94642857142857217</v>
      </c>
      <c r="AH8">
        <f t="shared" si="4"/>
        <v>0.84313725490196678</v>
      </c>
      <c r="AI8">
        <f t="shared" si="4"/>
        <v>1.0089285714285754</v>
      </c>
      <c r="AJ8">
        <f t="shared" si="5"/>
        <v>0.93283146591970478</v>
      </c>
      <c r="AK8">
        <f t="shared" si="6"/>
        <v>8.372783956111006E-2</v>
      </c>
    </row>
    <row r="9" spans="2:71" x14ac:dyDescent="0.2">
      <c r="B9">
        <f>'[1]T5-1'!C12</f>
        <v>15</v>
      </c>
      <c r="C9">
        <f>'[1]T5-1'!H12</f>
        <v>4139.9999999999991</v>
      </c>
      <c r="D9">
        <f>'[1]T5-2'!G12</f>
        <v>4259.9999999999973</v>
      </c>
      <c r="E9">
        <f>'[1]T5-3'!G12</f>
        <v>4660.0000000000027</v>
      </c>
      <c r="F9">
        <f t="shared" si="7"/>
        <v>4353.333333333333</v>
      </c>
      <c r="G9">
        <f t="shared" si="8"/>
        <v>272.27437142216422</v>
      </c>
      <c r="H9">
        <f>'[1]T5-1'!L12</f>
        <v>3839.9999999999991</v>
      </c>
      <c r="I9">
        <f>'[1]T5-2'!K12</f>
        <v>3899.9999999999923</v>
      </c>
      <c r="J9">
        <f>'[1]T5-3'!K12</f>
        <v>4139.9999999999991</v>
      </c>
      <c r="K9">
        <f t="shared" si="9"/>
        <v>3959.9999999999964</v>
      </c>
      <c r="L9">
        <f t="shared" si="10"/>
        <v>158.74507866387671</v>
      </c>
      <c r="M9">
        <f>'[1]T5-1'!O12</f>
        <v>6160</v>
      </c>
      <c r="N9">
        <f>'[1]T5-2'!N12</f>
        <v>6500</v>
      </c>
      <c r="O9">
        <f>'[1]T5-3'!N12</f>
        <v>5860</v>
      </c>
      <c r="P9">
        <f t="shared" si="19"/>
        <v>6173.333333333333</v>
      </c>
      <c r="Q9">
        <f t="shared" si="12"/>
        <v>320.20826556060877</v>
      </c>
      <c r="R9">
        <f>'[1]T5-1'!R12</f>
        <v>313.5</v>
      </c>
      <c r="S9">
        <f>'[1]T5-2'!Q12</f>
        <v>216</v>
      </c>
      <c r="T9">
        <f>'[1]T5-3'!Q12</f>
        <v>360</v>
      </c>
      <c r="U9">
        <f t="shared" si="0"/>
        <v>296.5</v>
      </c>
      <c r="V9">
        <f t="shared" si="13"/>
        <v>73.489795209947346</v>
      </c>
      <c r="W9">
        <f t="shared" si="1"/>
        <v>5846.5</v>
      </c>
      <c r="X9">
        <f t="shared" si="1"/>
        <v>6284</v>
      </c>
      <c r="Y9">
        <f t="shared" si="1"/>
        <v>5500</v>
      </c>
      <c r="Z9">
        <f t="shared" si="2"/>
        <v>5876.833333333333</v>
      </c>
      <c r="AA9">
        <f t="shared" si="14"/>
        <v>392.8792223232648</v>
      </c>
      <c r="AB9">
        <f t="shared" si="16"/>
        <v>1.4879227053140101</v>
      </c>
      <c r="AC9">
        <f t="shared" si="3"/>
        <v>1.5258215962441324</v>
      </c>
      <c r="AD9">
        <f t="shared" si="3"/>
        <v>1.2575107296137331</v>
      </c>
      <c r="AE9">
        <f t="shared" si="17"/>
        <v>1.423751677057292</v>
      </c>
      <c r="AF9">
        <f t="shared" si="15"/>
        <v>0.1452106089052462</v>
      </c>
      <c r="AG9">
        <f t="shared" si="18"/>
        <v>0.92753623188405798</v>
      </c>
      <c r="AH9">
        <f t="shared" si="4"/>
        <v>0.91549295774647765</v>
      </c>
      <c r="AI9">
        <f t="shared" si="4"/>
        <v>0.88841201716738127</v>
      </c>
      <c r="AJ9">
        <f t="shared" si="5"/>
        <v>0.91048040226597227</v>
      </c>
      <c r="AK9">
        <f t="shared" si="6"/>
        <v>2.0037972168685476E-2</v>
      </c>
    </row>
    <row r="10" spans="2:71" x14ac:dyDescent="0.2">
      <c r="B10">
        <f>'[1]T5-1'!C13</f>
        <v>16</v>
      </c>
      <c r="C10">
        <f>'[1]T5-1'!H13</f>
        <v>4966.6666666666652</v>
      </c>
      <c r="D10">
        <f>'[1]T5-2'!G13</f>
        <v>4600.0000000000018</v>
      </c>
      <c r="E10">
        <f>'[1]T5-3'!G13</f>
        <v>4833.3333333333376</v>
      </c>
      <c r="F10">
        <f t="shared" si="7"/>
        <v>4800.0000000000018</v>
      </c>
      <c r="G10">
        <f t="shared" si="8"/>
        <v>185.59214542766614</v>
      </c>
      <c r="H10">
        <f>'[1]T5-1'!L13</f>
        <v>4333.3333333333276</v>
      </c>
      <c r="I10">
        <f>'[1]T5-2'!K13</f>
        <v>4133.3333333333312</v>
      </c>
      <c r="J10">
        <f>'[1]T5-3'!K13</f>
        <v>4333.3333333333367</v>
      </c>
      <c r="K10">
        <f t="shared" si="9"/>
        <v>4266.6666666666652</v>
      </c>
      <c r="L10">
        <f t="shared" si="10"/>
        <v>115.47005383792569</v>
      </c>
      <c r="M10">
        <f>'[1]T5-1'!O13</f>
        <v>6290</v>
      </c>
      <c r="N10">
        <f>'[1]T5-2'!N13</f>
        <v>6185</v>
      </c>
      <c r="O10">
        <f>'[1]T5-3'!N13</f>
        <v>6785</v>
      </c>
      <c r="P10">
        <f t="shared" si="19"/>
        <v>6420</v>
      </c>
      <c r="Q10">
        <f>_xlfn.STDEV.S(M10:O10)</f>
        <v>320.42939940024229</v>
      </c>
      <c r="R10">
        <f>'[1]T5-1'!R13</f>
        <v>308</v>
      </c>
      <c r="S10">
        <f>'[1]T5-2'!Q13</f>
        <v>220</v>
      </c>
      <c r="T10">
        <f>'[1]T5-3'!Q13</f>
        <v>396</v>
      </c>
      <c r="U10">
        <f t="shared" si="0"/>
        <v>308</v>
      </c>
      <c r="V10">
        <f t="shared" si="13"/>
        <v>88</v>
      </c>
      <c r="W10">
        <f t="shared" si="1"/>
        <v>5982</v>
      </c>
      <c r="X10">
        <f t="shared" si="1"/>
        <v>5965</v>
      </c>
      <c r="Y10">
        <f t="shared" si="1"/>
        <v>6389</v>
      </c>
      <c r="Z10">
        <f t="shared" si="2"/>
        <v>6112</v>
      </c>
      <c r="AA10">
        <f t="shared" si="14"/>
        <v>240.03958006962102</v>
      </c>
      <c r="AB10">
        <f t="shared" si="16"/>
        <v>1.2664429530201347</v>
      </c>
      <c r="AC10">
        <f t="shared" si="3"/>
        <v>1.3445652173913039</v>
      </c>
      <c r="AD10">
        <f t="shared" si="3"/>
        <v>1.4037931034482747</v>
      </c>
      <c r="AE10">
        <f t="shared" si="17"/>
        <v>1.3382670912865713</v>
      </c>
      <c r="AF10">
        <f t="shared" si="15"/>
        <v>6.889133290902065E-2</v>
      </c>
      <c r="AG10">
        <f t="shared" si="18"/>
        <v>0.87248322147650914</v>
      </c>
      <c r="AH10">
        <f t="shared" si="4"/>
        <v>0.89855072463768038</v>
      </c>
      <c r="AI10">
        <f t="shared" si="4"/>
        <v>0.89655172413793094</v>
      </c>
      <c r="AJ10">
        <f t="shared" si="5"/>
        <v>0.88919522341737345</v>
      </c>
      <c r="AK10">
        <f t="shared" si="6"/>
        <v>1.4507489700257926E-2</v>
      </c>
      <c r="AQ10">
        <v>72.8</v>
      </c>
      <c r="AS10">
        <v>73.8</v>
      </c>
    </row>
    <row r="11" spans="2:71" x14ac:dyDescent="0.2">
      <c r="B11">
        <f>'[1]T5-1'!C14</f>
        <v>18</v>
      </c>
      <c r="C11">
        <f>'[1]T5-1'!H14</f>
        <v>4333.3333333333276</v>
      </c>
      <c r="D11">
        <f>'[1]T5-2'!G14</f>
        <v>4100.0000000000018</v>
      </c>
      <c r="E11">
        <f>'[1]T5-3'!G14</f>
        <v>4299.9999999999982</v>
      </c>
      <c r="F11">
        <f t="shared" si="7"/>
        <v>4244.4444444444425</v>
      </c>
      <c r="G11">
        <f t="shared" si="8"/>
        <v>126.19796324000261</v>
      </c>
      <c r="H11">
        <f>'[1]T5-1'!L14</f>
        <v>3966.6666666666642</v>
      </c>
      <c r="I11">
        <f>'[1]T5-2'!K14</f>
        <v>3500.0000000000027</v>
      </c>
      <c r="J11">
        <f>'[1]T5-3'!K14</f>
        <v>3833.3333333333367</v>
      </c>
      <c r="K11">
        <f t="shared" si="9"/>
        <v>3766.6666666666679</v>
      </c>
      <c r="L11">
        <f t="shared" si="10"/>
        <v>240.37008503093057</v>
      </c>
      <c r="M11">
        <f>'[1]T5-1'!O14</f>
        <v>7350</v>
      </c>
      <c r="N11">
        <f>'[1]T5-2'!N14</f>
        <v>6645</v>
      </c>
      <c r="O11">
        <f>'[1]T5-3'!N14</f>
        <v>6615</v>
      </c>
      <c r="P11">
        <f t="shared" si="19"/>
        <v>6870</v>
      </c>
      <c r="Q11">
        <f>_xlfn.STDEV.S(M11:O11)</f>
        <v>415.96273871586141</v>
      </c>
      <c r="R11">
        <f>'[1]T5-1'!R14</f>
        <v>473</v>
      </c>
      <c r="S11">
        <f>'[1]T5-2'!Q14</f>
        <v>363</v>
      </c>
      <c r="T11">
        <f>'[1]T5-3'!Q14</f>
        <v>538</v>
      </c>
      <c r="U11">
        <f t="shared" si="0"/>
        <v>458</v>
      </c>
      <c r="V11">
        <f t="shared" si="13"/>
        <v>88.459030064770658</v>
      </c>
      <c r="W11">
        <f t="shared" si="1"/>
        <v>6877</v>
      </c>
      <c r="X11">
        <f t="shared" si="1"/>
        <v>6282</v>
      </c>
      <c r="Y11">
        <f t="shared" si="1"/>
        <v>6077</v>
      </c>
      <c r="Z11">
        <f t="shared" si="2"/>
        <v>6412</v>
      </c>
      <c r="AA11">
        <f t="shared" si="14"/>
        <v>415.54181498376312</v>
      </c>
      <c r="AB11">
        <f t="shared" si="16"/>
        <v>1.6961538461538483</v>
      </c>
      <c r="AC11">
        <f t="shared" si="3"/>
        <v>1.6207317073170724</v>
      </c>
      <c r="AD11">
        <f t="shared" si="3"/>
        <v>1.5383720930232565</v>
      </c>
      <c r="AE11">
        <f t="shared" si="17"/>
        <v>1.618419215498059</v>
      </c>
      <c r="AF11">
        <f t="shared" si="15"/>
        <v>7.8916291848074749E-2</v>
      </c>
      <c r="AG11">
        <f t="shared" si="18"/>
        <v>0.91538461538461602</v>
      </c>
      <c r="AH11">
        <f t="shared" si="4"/>
        <v>0.85365853658536617</v>
      </c>
      <c r="AI11">
        <f t="shared" si="4"/>
        <v>0.8914728682170554</v>
      </c>
      <c r="AJ11">
        <f t="shared" si="5"/>
        <v>0.88683867339567923</v>
      </c>
      <c r="AK11">
        <f t="shared" si="6"/>
        <v>3.1122885827227737E-2</v>
      </c>
    </row>
    <row r="12" spans="2:71" x14ac:dyDescent="0.2">
      <c r="B12">
        <f>'[1]T5-1'!C15</f>
        <v>21</v>
      </c>
      <c r="C12">
        <f>'[1]T5-1'!H15</f>
        <v>4300.0000000000027</v>
      </c>
      <c r="D12">
        <f>'[1]T5-2'!G15</f>
        <v>4066.6666666666724</v>
      </c>
      <c r="E12">
        <f>'[1]T5-3'!G15</f>
        <v>4199.9999999999955</v>
      </c>
      <c r="F12">
        <f t="shared" si="7"/>
        <v>4188.8888888888905</v>
      </c>
      <c r="G12">
        <f t="shared" si="8"/>
        <v>117.06281947613962</v>
      </c>
      <c r="H12">
        <f>'[1]T5-1'!L15</f>
        <v>3699.9999999999991</v>
      </c>
      <c r="I12">
        <f>'[1]T5-2'!K15</f>
        <v>3699.9999999999991</v>
      </c>
      <c r="J12">
        <f>'[1]T5-3'!K15</f>
        <v>3766.6666666666633</v>
      </c>
      <c r="K12">
        <f t="shared" si="9"/>
        <v>3722.2222222222204</v>
      </c>
      <c r="L12">
        <f t="shared" si="10"/>
        <v>38.490017945973655</v>
      </c>
      <c r="M12">
        <f>'[1]T5-1'!O15</f>
        <v>6540</v>
      </c>
      <c r="N12">
        <f>'[1]T5-2'!N15</f>
        <v>6435</v>
      </c>
      <c r="O12">
        <f>'[1]T5-3'!N15</f>
        <v>5850</v>
      </c>
      <c r="P12">
        <f t="shared" si="19"/>
        <v>6275</v>
      </c>
      <c r="Q12">
        <f>_xlfn.STDEV.S(M12:O12)</f>
        <v>371.78622890042607</v>
      </c>
      <c r="R12">
        <f>'[1]T5-1'!R15</f>
        <v>490.5</v>
      </c>
      <c r="S12">
        <f>'[1]T5-2'!Q15</f>
        <v>507</v>
      </c>
      <c r="T12">
        <f>'[1]T5-3'!Q15</f>
        <v>654</v>
      </c>
      <c r="U12">
        <f t="shared" si="0"/>
        <v>550.5</v>
      </c>
      <c r="V12">
        <f t="shared" si="13"/>
        <v>90.012499132064988</v>
      </c>
      <c r="W12">
        <f t="shared" si="1"/>
        <v>6049.5</v>
      </c>
      <c r="X12">
        <f t="shared" si="1"/>
        <v>5928</v>
      </c>
      <c r="Y12">
        <f t="shared" si="1"/>
        <v>5196</v>
      </c>
      <c r="Z12">
        <f t="shared" si="2"/>
        <v>5724.5</v>
      </c>
      <c r="AA12">
        <f t="shared" si="14"/>
        <v>461.70851194232927</v>
      </c>
      <c r="AB12">
        <f t="shared" si="16"/>
        <v>1.5209302325581386</v>
      </c>
      <c r="AC12">
        <f t="shared" si="3"/>
        <v>1.5823770491803257</v>
      </c>
      <c r="AD12">
        <f t="shared" si="3"/>
        <v>1.3928571428571443</v>
      </c>
      <c r="AE12">
        <f t="shared" si="17"/>
        <v>1.4987214748652029</v>
      </c>
      <c r="AF12">
        <f t="shared" si="15"/>
        <v>9.6692142451620708E-2</v>
      </c>
      <c r="AG12">
        <f t="shared" si="18"/>
        <v>0.86046511627906896</v>
      </c>
      <c r="AH12">
        <f t="shared" si="4"/>
        <v>0.90983606557376895</v>
      </c>
      <c r="AI12">
        <f t="shared" si="4"/>
        <v>0.89682539682539697</v>
      </c>
      <c r="AJ12">
        <f t="shared" si="5"/>
        <v>0.88904219289274489</v>
      </c>
      <c r="AK12">
        <f t="shared" si="6"/>
        <v>2.5589184358980582E-2</v>
      </c>
      <c r="AL12">
        <v>6.54</v>
      </c>
      <c r="AM12">
        <v>6.53</v>
      </c>
      <c r="AN12">
        <v>6.34</v>
      </c>
      <c r="AO12">
        <f>AVERAGE(AL12:AN12)</f>
        <v>6.47</v>
      </c>
    </row>
    <row r="13" spans="2:71" x14ac:dyDescent="0.2">
      <c r="B13">
        <f>'[1]T5-1'!C16</f>
        <v>23</v>
      </c>
      <c r="C13">
        <f>'[1]T5-1'!H16</f>
        <v>3666.6666666666656</v>
      </c>
      <c r="D13">
        <f>'[1]T5-2'!G16</f>
        <v>3866.6666666666615</v>
      </c>
      <c r="E13">
        <f>'[1]T5-3'!G16</f>
        <v>4166.6666666666652</v>
      </c>
      <c r="F13">
        <f t="shared" si="7"/>
        <v>3899.9999999999977</v>
      </c>
      <c r="G13">
        <f t="shared" si="8"/>
        <v>251.66114784235836</v>
      </c>
      <c r="H13">
        <f>'[1]T5-1'!L16</f>
        <v>2966.6666666666638</v>
      </c>
      <c r="I13">
        <f>'[1]T5-2'!K16</f>
        <v>3366.6666666666661</v>
      </c>
      <c r="J13">
        <f>'[1]T5-3'!K16</f>
        <v>3633.3333333333358</v>
      </c>
      <c r="K13">
        <f t="shared" si="9"/>
        <v>3322.2222222222222</v>
      </c>
      <c r="L13">
        <f t="shared" si="10"/>
        <v>335.54819712314708</v>
      </c>
      <c r="M13">
        <f>'[1]T5-1'!O16</f>
        <v>5860</v>
      </c>
      <c r="N13">
        <f>'[1]T5-2'!N16</f>
        <v>5690</v>
      </c>
      <c r="O13">
        <f>'[1]T5-3'!N16</f>
        <v>6130</v>
      </c>
      <c r="P13">
        <f t="shared" si="19"/>
        <v>5893.333333333333</v>
      </c>
      <c r="Q13">
        <f t="shared" ref="Q13:Q22" si="20">_xlfn.STDEV.S(M13:O13)</f>
        <v>221.88585654190157</v>
      </c>
      <c r="R13">
        <f>'[1]T5-1'!R16</f>
        <v>612</v>
      </c>
      <c r="S13">
        <f>'[1]T5-2'!Q16</f>
        <v>513.6</v>
      </c>
      <c r="T13">
        <f>'[1]T5-3'!Q16</f>
        <v>699.6</v>
      </c>
      <c r="U13">
        <f t="shared" si="0"/>
        <v>608.4</v>
      </c>
      <c r="V13">
        <f t="shared" si="13"/>
        <v>93.052243390475041</v>
      </c>
      <c r="W13">
        <f t="shared" si="1"/>
        <v>5248</v>
      </c>
      <c r="X13">
        <f t="shared" si="1"/>
        <v>5176.3999999999996</v>
      </c>
      <c r="Y13">
        <f t="shared" si="1"/>
        <v>5430.4</v>
      </c>
      <c r="Z13">
        <f t="shared" si="2"/>
        <v>5284.9333333333334</v>
      </c>
      <c r="AA13">
        <f t="shared" si="14"/>
        <v>130.96584796554146</v>
      </c>
      <c r="AB13">
        <f t="shared" si="16"/>
        <v>1.5981818181818186</v>
      </c>
      <c r="AC13">
        <f t="shared" si="3"/>
        <v>1.471551724137933</v>
      </c>
      <c r="AD13">
        <f t="shared" si="3"/>
        <v>1.4712000000000005</v>
      </c>
      <c r="AE13">
        <f t="shared" si="17"/>
        <v>1.5136445141065842</v>
      </c>
      <c r="AF13">
        <f t="shared" si="15"/>
        <v>7.321166411644256E-2</v>
      </c>
      <c r="AG13">
        <f t="shared" si="18"/>
        <v>0.80909090909090853</v>
      </c>
      <c r="AH13">
        <f t="shared" si="4"/>
        <v>0.87068965517241481</v>
      </c>
      <c r="AI13">
        <f t="shared" si="4"/>
        <v>0.87200000000000089</v>
      </c>
      <c r="AJ13">
        <f t="shared" si="5"/>
        <v>0.850593521421108</v>
      </c>
      <c r="AK13">
        <f t="shared" si="6"/>
        <v>3.5948287491407979E-2</v>
      </c>
    </row>
    <row r="14" spans="2:71" x14ac:dyDescent="0.2">
      <c r="B14">
        <f>'[1]T5-1'!C17</f>
        <v>25</v>
      </c>
      <c r="C14">
        <f>'[1]T5-1'!H17</f>
        <v>4233.3333333333294</v>
      </c>
      <c r="D14">
        <f>'[1]T5-2'!G17</f>
        <v>3833.3333333333321</v>
      </c>
      <c r="E14">
        <f>'[1]T5-3'!G17</f>
        <v>4333.3333333333367</v>
      </c>
      <c r="F14">
        <f t="shared" si="7"/>
        <v>4133.333333333333</v>
      </c>
      <c r="G14">
        <f t="shared" si="8"/>
        <v>264.57513110646028</v>
      </c>
      <c r="H14">
        <f>'[1]T5-1'!L17</f>
        <v>3666.6666666666606</v>
      </c>
      <c r="I14">
        <f>'[1]T5-2'!K17</f>
        <v>3399.9999999999955</v>
      </c>
      <c r="J14">
        <f>'[1]T5-3'!K17</f>
        <v>3900.000000000005</v>
      </c>
      <c r="K14">
        <f t="shared" si="9"/>
        <v>3655.5555555555534</v>
      </c>
      <c r="L14">
        <f t="shared" si="10"/>
        <v>250.18511664884247</v>
      </c>
      <c r="M14">
        <f>'[1]T5-1'!O17</f>
        <v>6215</v>
      </c>
      <c r="N14">
        <f>'[1]T5-2'!N17</f>
        <v>5800</v>
      </c>
      <c r="O14">
        <f>'[1]T5-3'!N17</f>
        <v>6420</v>
      </c>
      <c r="P14">
        <f t="shared" si="19"/>
        <v>6145</v>
      </c>
      <c r="Q14">
        <f t="shared" si="20"/>
        <v>315.87180944174173</v>
      </c>
      <c r="R14">
        <f>'[1]T5-1'!R17</f>
        <v>637.19999999999993</v>
      </c>
      <c r="S14">
        <f>'[1]T5-2'!Q17</f>
        <v>553.19999999999993</v>
      </c>
      <c r="T14">
        <f>'[1]T5-3'!Q17</f>
        <v>715.19999999999993</v>
      </c>
      <c r="U14">
        <f t="shared" si="0"/>
        <v>635.19999999999993</v>
      </c>
      <c r="V14">
        <f t="shared" si="13"/>
        <v>81.018516402115651</v>
      </c>
      <c r="W14">
        <f t="shared" si="1"/>
        <v>5577.8</v>
      </c>
      <c r="X14">
        <f t="shared" si="1"/>
        <v>5246.8</v>
      </c>
      <c r="Y14">
        <f t="shared" si="1"/>
        <v>5704.8</v>
      </c>
      <c r="Z14">
        <f t="shared" si="2"/>
        <v>5509.8</v>
      </c>
      <c r="AA14">
        <f t="shared" si="14"/>
        <v>236.45084055676352</v>
      </c>
      <c r="AB14">
        <f t="shared" si="16"/>
        <v>1.4681102362204739</v>
      </c>
      <c r="AC14">
        <f t="shared" si="3"/>
        <v>1.5130434782608699</v>
      </c>
      <c r="AD14">
        <f t="shared" si="3"/>
        <v>1.4815384615384604</v>
      </c>
      <c r="AE14">
        <f t="shared" si="17"/>
        <v>1.4875640586732679</v>
      </c>
      <c r="AF14">
        <f t="shared" si="15"/>
        <v>2.3064690019344636E-2</v>
      </c>
      <c r="AG14">
        <f t="shared" si="18"/>
        <v>0.86614173228346392</v>
      </c>
      <c r="AH14">
        <f t="shared" si="4"/>
        <v>0.88695652173912953</v>
      </c>
      <c r="AI14">
        <f t="shared" si="4"/>
        <v>0.90000000000000047</v>
      </c>
      <c r="AJ14">
        <f t="shared" si="5"/>
        <v>0.88436608467419797</v>
      </c>
      <c r="AK14">
        <f t="shared" si="6"/>
        <v>1.7077129335215966E-2</v>
      </c>
    </row>
    <row r="15" spans="2:71" x14ac:dyDescent="0.2">
      <c r="B15">
        <f>'[1]T5-1'!C18</f>
        <v>28</v>
      </c>
      <c r="C15">
        <f>'[1]T5-1'!H18</f>
        <v>3600.0000000000014</v>
      </c>
      <c r="D15">
        <f>'[1]T5-2'!G18</f>
        <v>3366.6666666666661</v>
      </c>
      <c r="E15">
        <f>'[1]T5-3'!G18</f>
        <v>3866.6666666666665</v>
      </c>
      <c r="F15">
        <f t="shared" si="7"/>
        <v>3611.1111111111113</v>
      </c>
      <c r="G15">
        <f t="shared" si="8"/>
        <v>250.185116648838</v>
      </c>
      <c r="H15">
        <f>'[1]T5-1'!L18</f>
        <v>3033.3333333333326</v>
      </c>
      <c r="I15">
        <f>'[1]T5-2'!K18</f>
        <v>3000.0000000000023</v>
      </c>
      <c r="J15">
        <f>'[1]T5-3'!K18</f>
        <v>3299.9999999999973</v>
      </c>
      <c r="K15">
        <f t="shared" si="9"/>
        <v>3111.1111111111109</v>
      </c>
      <c r="L15">
        <f>_xlfn.STDEV.S(H15:J15)</f>
        <v>164.42942874387276</v>
      </c>
      <c r="M15">
        <f>'[1]T5-1'!O18</f>
        <v>5145</v>
      </c>
      <c r="N15">
        <f>'[1]T5-2'!N18</f>
        <v>5320</v>
      </c>
      <c r="O15">
        <f>'[1]T5-3'!N18</f>
        <v>6130</v>
      </c>
      <c r="P15">
        <f t="shared" si="19"/>
        <v>5531.666666666667</v>
      </c>
      <c r="Q15">
        <f t="shared" si="20"/>
        <v>525.5076910315712</v>
      </c>
      <c r="R15">
        <f>'[1]T5-1'!R18</f>
        <v>882</v>
      </c>
      <c r="S15">
        <f>'[1]T5-2'!Q18</f>
        <v>892</v>
      </c>
      <c r="T15">
        <f>'[1]T5-3'!Q18</f>
        <v>967</v>
      </c>
      <c r="U15">
        <f t="shared" si="0"/>
        <v>913.66666666666663</v>
      </c>
      <c r="V15">
        <f t="shared" si="13"/>
        <v>46.45786621588784</v>
      </c>
      <c r="W15">
        <f t="shared" si="1"/>
        <v>4263</v>
      </c>
      <c r="X15">
        <f t="shared" si="1"/>
        <v>4428</v>
      </c>
      <c r="Y15">
        <f t="shared" si="1"/>
        <v>5163</v>
      </c>
      <c r="Z15">
        <f t="shared" si="2"/>
        <v>4618</v>
      </c>
      <c r="AA15">
        <f t="shared" si="14"/>
        <v>479.13985432230538</v>
      </c>
      <c r="AB15">
        <f t="shared" si="16"/>
        <v>1.429166666666666</v>
      </c>
      <c r="AC15">
        <f t="shared" si="3"/>
        <v>1.5801980198019805</v>
      </c>
      <c r="AD15">
        <f t="shared" si="3"/>
        <v>1.585344827586207</v>
      </c>
      <c r="AE15">
        <f t="shared" si="17"/>
        <v>1.5315698380182845</v>
      </c>
      <c r="AF15">
        <f t="shared" si="15"/>
        <v>8.8721077173035068E-2</v>
      </c>
      <c r="AG15">
        <f t="shared" si="18"/>
        <v>0.84259259259259212</v>
      </c>
      <c r="AH15">
        <f t="shared" si="4"/>
        <v>0.89108910891089188</v>
      </c>
      <c r="AI15">
        <f t="shared" si="4"/>
        <v>0.85344827586206828</v>
      </c>
      <c r="AJ15">
        <f t="shared" si="5"/>
        <v>0.86237665912185069</v>
      </c>
      <c r="AK15">
        <f t="shared" si="6"/>
        <v>2.5451228742006775E-2</v>
      </c>
      <c r="AQ15">
        <v>82</v>
      </c>
      <c r="AR15">
        <v>77</v>
      </c>
      <c r="AS15">
        <v>73.400000000000006</v>
      </c>
    </row>
    <row r="16" spans="2:71" x14ac:dyDescent="0.2">
      <c r="B16">
        <f>'[1]T5-1'!C19</f>
        <v>42</v>
      </c>
      <c r="C16">
        <f>'[1]T5-1'!H19</f>
        <v>3499.9999999999982</v>
      </c>
      <c r="D16">
        <f>'[1]T5-2'!G19</f>
        <v>3633.3333333333358</v>
      </c>
      <c r="E16">
        <f>'[1]T5-3'!G19</f>
        <v>3733.3333333333335</v>
      </c>
      <c r="F16">
        <f t="shared" si="7"/>
        <v>3622.2222222222226</v>
      </c>
      <c r="G16">
        <f t="shared" si="8"/>
        <v>117.06281947614268</v>
      </c>
      <c r="H16">
        <f>'[1]T5-1'!L19</f>
        <v>3100.0000000000009</v>
      </c>
      <c r="I16">
        <f>'[1]T5-2'!K19</f>
        <v>3033.3333333333367</v>
      </c>
      <c r="J16">
        <f>'[1]T5-3'!K19</f>
        <v>3200.0000000000041</v>
      </c>
      <c r="K16">
        <f t="shared" si="9"/>
        <v>3111.1111111111136</v>
      </c>
      <c r="L16">
        <f t="shared" si="10"/>
        <v>83.88704928078667</v>
      </c>
      <c r="M16">
        <f>'[1]T5-1'!O19</f>
        <v>5775</v>
      </c>
      <c r="N16">
        <f>'[1]T5-2'!N19</f>
        <v>5865</v>
      </c>
      <c r="O16">
        <f>'[1]T5-3'!N19</f>
        <v>6325</v>
      </c>
      <c r="P16">
        <f t="shared" si="19"/>
        <v>5988.333333333333</v>
      </c>
      <c r="Q16">
        <f t="shared" si="20"/>
        <v>295.01412395567326</v>
      </c>
      <c r="R16">
        <f>'[1]T5-1'!R19</f>
        <v>944</v>
      </c>
      <c r="S16">
        <f>'[1]T5-2'!Q19</f>
        <v>511</v>
      </c>
      <c r="T16">
        <f>'[1]T5-3'!Q19</f>
        <v>983</v>
      </c>
      <c r="U16">
        <f t="shared" si="0"/>
        <v>812.66666666666663</v>
      </c>
      <c r="V16">
        <f t="shared" si="13"/>
        <v>261.97773442285774</v>
      </c>
      <c r="W16">
        <f t="shared" si="1"/>
        <v>4831</v>
      </c>
      <c r="X16">
        <f t="shared" si="1"/>
        <v>5354</v>
      </c>
      <c r="Y16">
        <f t="shared" si="1"/>
        <v>5342</v>
      </c>
      <c r="Z16">
        <f t="shared" si="2"/>
        <v>5175.666666666667</v>
      </c>
      <c r="AA16">
        <f t="shared" si="14"/>
        <v>298.55038659049387</v>
      </c>
      <c r="AB16">
        <f t="shared" si="16"/>
        <v>1.6500000000000008</v>
      </c>
      <c r="AC16">
        <f t="shared" si="3"/>
        <v>1.6142201834862375</v>
      </c>
      <c r="AD16">
        <f t="shared" si="3"/>
        <v>1.6941964285714286</v>
      </c>
      <c r="AE16">
        <f t="shared" si="17"/>
        <v>1.6528055373525559</v>
      </c>
      <c r="AF16">
        <f t="shared" si="15"/>
        <v>4.0061867459706281E-2</v>
      </c>
      <c r="AG16">
        <f t="shared" si="18"/>
        <v>0.88571428571428645</v>
      </c>
      <c r="AH16">
        <f t="shared" si="4"/>
        <v>0.83486238532110124</v>
      </c>
      <c r="AI16">
        <f t="shared" si="4"/>
        <v>0.85714285714285821</v>
      </c>
      <c r="AJ16">
        <f t="shared" si="5"/>
        <v>0.85923984272608189</v>
      </c>
      <c r="AK16">
        <f t="shared" si="6"/>
        <v>2.5490722916421845E-2</v>
      </c>
      <c r="AL16">
        <v>6.02</v>
      </c>
      <c r="AM16">
        <v>6.07</v>
      </c>
      <c r="AN16">
        <v>5.86</v>
      </c>
      <c r="AO16">
        <f>AVERAGE(AL16:AN16)</f>
        <v>5.9833333333333334</v>
      </c>
    </row>
    <row r="17" spans="2:45" x14ac:dyDescent="0.2">
      <c r="B17">
        <f>'[1]T5-1'!C20</f>
        <v>49</v>
      </c>
      <c r="C17">
        <f>'[1]T5-1'!H20</f>
        <v>3566.6666666666624</v>
      </c>
      <c r="D17">
        <f>'[1]T5-2'!G20</f>
        <v>3566.6666666666715</v>
      </c>
      <c r="E17">
        <f>'[1]T5-3'!G20</f>
        <v>4066.6666666666629</v>
      </c>
      <c r="F17">
        <f t="shared" si="7"/>
        <v>3733.3333333333321</v>
      </c>
      <c r="G17">
        <f t="shared" si="8"/>
        <v>288.67513459481052</v>
      </c>
      <c r="H17">
        <f>'[1]T5-1'!L20</f>
        <v>3133.3333333333303</v>
      </c>
      <c r="I17">
        <f>'[1]T5-2'!K20</f>
        <v>3233.3333333333376</v>
      </c>
      <c r="J17">
        <f>'[1]T5-3'!K20</f>
        <v>3666.6666666666606</v>
      </c>
      <c r="K17">
        <f>AVERAGE(H17:J17)</f>
        <v>3344.444444444443</v>
      </c>
      <c r="L17">
        <f>_xlfn.STDEV.S(H17:J17)</f>
        <v>283.49668493717627</v>
      </c>
      <c r="M17">
        <f>'[1]T5-1'!O20</f>
        <v>5470</v>
      </c>
      <c r="N17">
        <f>'[1]T5-2'!N20</f>
        <v>6085</v>
      </c>
      <c r="O17">
        <f>'[1]T5-3'!N20</f>
        <v>5770</v>
      </c>
      <c r="P17">
        <f t="shared" si="19"/>
        <v>5775</v>
      </c>
      <c r="Q17">
        <f t="shared" si="20"/>
        <v>307.53048629363559</v>
      </c>
      <c r="R17">
        <f>'[1]T5-1'!R20</f>
        <v>997</v>
      </c>
      <c r="S17">
        <f>'[1]T5-2'!Q20</f>
        <v>765</v>
      </c>
      <c r="T17">
        <f>'[1]T5-3'!Q20</f>
        <v>1131</v>
      </c>
      <c r="U17">
        <f t="shared" si="0"/>
        <v>964.33333333333337</v>
      </c>
      <c r="V17">
        <f t="shared" si="13"/>
        <v>185.17379224213468</v>
      </c>
      <c r="W17">
        <f t="shared" si="1"/>
        <v>4473</v>
      </c>
      <c r="X17">
        <f t="shared" si="1"/>
        <v>5320</v>
      </c>
      <c r="Y17">
        <f t="shared" si="1"/>
        <v>4639</v>
      </c>
      <c r="Z17">
        <f t="shared" si="2"/>
        <v>4810.666666666667</v>
      </c>
      <c r="AA17">
        <f t="shared" si="14"/>
        <v>448.83664437446879</v>
      </c>
      <c r="AB17">
        <f t="shared" si="16"/>
        <v>1.5336448598130858</v>
      </c>
      <c r="AC17">
        <f t="shared" si="3"/>
        <v>1.7060747663551379</v>
      </c>
      <c r="AD17">
        <f t="shared" si="3"/>
        <v>1.4188524590163947</v>
      </c>
      <c r="AE17">
        <f t="shared" si="17"/>
        <v>1.5528573617282062</v>
      </c>
      <c r="AF17">
        <f t="shared" si="15"/>
        <v>0.14457179403544365</v>
      </c>
      <c r="AG17">
        <f t="shared" si="18"/>
        <v>0.87850467289719647</v>
      </c>
      <c r="AH17">
        <f t="shared" si="4"/>
        <v>0.90654205607476634</v>
      </c>
      <c r="AI17">
        <f t="shared" si="4"/>
        <v>0.90163934426229442</v>
      </c>
      <c r="AJ17">
        <f t="shared" si="5"/>
        <v>0.89556202441141908</v>
      </c>
      <c r="AK17">
        <f t="shared" si="6"/>
        <v>1.4974113539333544E-2</v>
      </c>
      <c r="AL17">
        <v>5.62</v>
      </c>
      <c r="AM17">
        <v>5.86</v>
      </c>
      <c r="AN17">
        <v>5.5</v>
      </c>
      <c r="AO17">
        <f>AVERAGE(AL17:AN17)</f>
        <v>5.66</v>
      </c>
    </row>
    <row r="18" spans="2:45" x14ac:dyDescent="0.2">
      <c r="B18">
        <f>'[1]T5-1'!C21</f>
        <v>56</v>
      </c>
      <c r="C18">
        <f>'[1]T5-1'!H21</f>
        <v>3966.6666666666601</v>
      </c>
      <c r="D18">
        <f>'[1]T5-2'!G21</f>
        <v>3533.3333333333326</v>
      </c>
      <c r="E18">
        <f>'[1]T5-3'!G21</f>
        <v>3800.0000000000023</v>
      </c>
      <c r="F18">
        <f t="shared" si="7"/>
        <v>3766.6666666666647</v>
      </c>
      <c r="G18">
        <f t="shared" si="8"/>
        <v>218.58128414339762</v>
      </c>
      <c r="H18">
        <f>'[1]T5-1'!L21</f>
        <v>3433.3333333333298</v>
      </c>
      <c r="I18">
        <f>'[1]T5-2'!K21</f>
        <v>3333.3333333333267</v>
      </c>
      <c r="J18">
        <f>'[1]T5-3'!K21</f>
        <v>3533.3333333333326</v>
      </c>
      <c r="K18">
        <f t="shared" si="9"/>
        <v>3433.3333333333298</v>
      </c>
      <c r="L18">
        <f t="shared" ref="L18:L22" si="21">_xlfn.STDEV.S(H18:J18)</f>
        <v>100.00000000000296</v>
      </c>
      <c r="M18">
        <f>'[1]T5-1'!O21</f>
        <v>6230</v>
      </c>
      <c r="N18">
        <f>'[1]T5-2'!N21</f>
        <v>5325</v>
      </c>
      <c r="O18">
        <f>'[1]T5-3'!N21</f>
        <v>6825</v>
      </c>
      <c r="P18">
        <f t="shared" si="19"/>
        <v>6126.666666666667</v>
      </c>
      <c r="Q18">
        <f t="shared" si="20"/>
        <v>755.32002047697358</v>
      </c>
      <c r="R18">
        <f>'[1]T5-1'!R21</f>
        <v>648</v>
      </c>
      <c r="S18">
        <f>'[1]T5-2'!Q21</f>
        <v>538.5</v>
      </c>
      <c r="T18">
        <f>'[1]T5-3'!Q21</f>
        <v>803</v>
      </c>
      <c r="U18">
        <f t="shared" si="0"/>
        <v>663.16666666666663</v>
      </c>
      <c r="V18">
        <f t="shared" si="13"/>
        <v>132.90065211778824</v>
      </c>
      <c r="W18">
        <f t="shared" si="1"/>
        <v>5582</v>
      </c>
      <c r="X18">
        <f t="shared" si="1"/>
        <v>4786.5</v>
      </c>
      <c r="Y18">
        <f t="shared" si="1"/>
        <v>6022</v>
      </c>
      <c r="Z18">
        <f t="shared" si="2"/>
        <v>5463.5</v>
      </c>
      <c r="AA18">
        <f t="shared" si="14"/>
        <v>626.21621665364114</v>
      </c>
      <c r="AB18">
        <f t="shared" si="16"/>
        <v>1.5705882352941203</v>
      </c>
      <c r="AC18">
        <f t="shared" si="3"/>
        <v>1.5070754716981136</v>
      </c>
      <c r="AD18">
        <f t="shared" si="3"/>
        <v>1.7960526315789462</v>
      </c>
      <c r="AE18">
        <f t="shared" si="17"/>
        <v>1.62457211285706</v>
      </c>
      <c r="AF18">
        <f t="shared" si="15"/>
        <v>0.15186389962972083</v>
      </c>
      <c r="AG18">
        <f t="shared" si="18"/>
        <v>0.86554621848739555</v>
      </c>
      <c r="AH18">
        <f t="shared" si="4"/>
        <v>0.94339622641509269</v>
      </c>
      <c r="AI18">
        <f t="shared" si="4"/>
        <v>0.929824561403508</v>
      </c>
      <c r="AJ18">
        <f t="shared" si="5"/>
        <v>0.91292233543533208</v>
      </c>
      <c r="AK18">
        <f t="shared" si="6"/>
        <v>4.15862942036807E-2</v>
      </c>
      <c r="AL18">
        <f>'[1]T5-1'!AD21</f>
        <v>5.78</v>
      </c>
      <c r="AM18">
        <f>'[1]T5-2'!AC21</f>
        <v>6.07</v>
      </c>
      <c r="AN18">
        <f>'[1]T5-3'!AC21</f>
        <v>5.58</v>
      </c>
      <c r="AO18">
        <f>AVERAGE(AL18:AN18)</f>
        <v>5.81</v>
      </c>
      <c r="AQ18">
        <v>83.2</v>
      </c>
      <c r="AR18">
        <v>73.599999999999994</v>
      </c>
      <c r="AS18">
        <v>78.400000000000006</v>
      </c>
    </row>
    <row r="19" spans="2:45" x14ac:dyDescent="0.2">
      <c r="B19">
        <f>'[1]T5-1'!C22</f>
        <v>63</v>
      </c>
      <c r="C19">
        <f>'[1]T5-1'!H22</f>
        <v>3633.3333333333358</v>
      </c>
      <c r="D19">
        <f>'[1]T5-2'!G22</f>
        <v>3500.0000000000027</v>
      </c>
      <c r="E19">
        <f>'[1]T5-3'!G22</f>
        <v>3466.6666666666683</v>
      </c>
      <c r="F19">
        <f t="shared" si="7"/>
        <v>3533.3333333333358</v>
      </c>
      <c r="G19">
        <f t="shared" si="8"/>
        <v>88.191710368819912</v>
      </c>
      <c r="H19">
        <f>'[1]T5-1'!L22</f>
        <v>3000.0000000000023</v>
      </c>
      <c r="I19">
        <f>'[1]T5-2'!K22</f>
        <v>2966.6666666666683</v>
      </c>
      <c r="J19">
        <f>'[1]T5-3'!K22</f>
        <v>3066.6666666666711</v>
      </c>
      <c r="K19">
        <f t="shared" si="9"/>
        <v>3011.1111111111136</v>
      </c>
      <c r="L19">
        <f t="shared" si="21"/>
        <v>50.917507721732981</v>
      </c>
      <c r="M19">
        <f>'[1]T5-1'!O22</f>
        <v>6075</v>
      </c>
      <c r="N19">
        <f>'[1]T5-2'!N22</f>
        <v>5410</v>
      </c>
      <c r="O19">
        <f>'[1]T5-3'!N22</f>
        <v>5645</v>
      </c>
      <c r="P19">
        <f t="shared" si="19"/>
        <v>5710</v>
      </c>
      <c r="Q19">
        <f t="shared" si="20"/>
        <v>337.23137457834497</v>
      </c>
      <c r="R19">
        <f>'[1]T5-1'!R22</f>
        <v>1021</v>
      </c>
      <c r="S19">
        <f>'[1]T5-2'!Q22</f>
        <v>680</v>
      </c>
      <c r="T19">
        <f>'[1]T5-3'!Q22</f>
        <v>1109</v>
      </c>
      <c r="U19">
        <f t="shared" si="0"/>
        <v>936.66666666666663</v>
      </c>
      <c r="V19">
        <f t="shared" si="13"/>
        <v>226.59288014704535</v>
      </c>
      <c r="W19">
        <f t="shared" si="1"/>
        <v>5054</v>
      </c>
      <c r="X19">
        <f t="shared" si="1"/>
        <v>4730</v>
      </c>
      <c r="Y19">
        <f t="shared" si="1"/>
        <v>4536</v>
      </c>
      <c r="Z19">
        <f t="shared" si="2"/>
        <v>4773.333333333333</v>
      </c>
      <c r="AA19">
        <f t="shared" si="14"/>
        <v>261.70466815349954</v>
      </c>
      <c r="AB19">
        <f t="shared" si="16"/>
        <v>1.672018348623852</v>
      </c>
      <c r="AC19">
        <f t="shared" si="3"/>
        <v>1.5457142857142845</v>
      </c>
      <c r="AD19">
        <f t="shared" si="3"/>
        <v>1.6283653846153838</v>
      </c>
      <c r="AE19">
        <f t="shared" si="17"/>
        <v>1.6153660063178401</v>
      </c>
      <c r="AF19">
        <f t="shared" si="15"/>
        <v>6.4147618458973099E-2</v>
      </c>
      <c r="AG19">
        <f t="shared" si="18"/>
        <v>0.82568807339449546</v>
      </c>
      <c r="AH19">
        <f t="shared" si="4"/>
        <v>0.84761904761904738</v>
      </c>
      <c r="AI19">
        <f t="shared" si="4"/>
        <v>0.88461538461538547</v>
      </c>
      <c r="AJ19">
        <f t="shared" si="5"/>
        <v>0.85264083520964284</v>
      </c>
      <c r="AK19">
        <f t="shared" si="6"/>
        <v>2.9782893829926951E-2</v>
      </c>
      <c r="AL19">
        <v>5.64</v>
      </c>
      <c r="AM19">
        <v>6.23</v>
      </c>
      <c r="AN19">
        <v>5.56</v>
      </c>
      <c r="AO19">
        <f>AVERAGE(AL19:AN19)</f>
        <v>5.81</v>
      </c>
    </row>
    <row r="20" spans="2:45" x14ac:dyDescent="0.2">
      <c r="B20">
        <f>'[1]T5-1'!C23</f>
        <v>70</v>
      </c>
      <c r="C20">
        <f>'[1]T5-1'!H23</f>
        <v>3699.999999999995</v>
      </c>
      <c r="D20">
        <f>'[1]T5-2'!G23</f>
        <v>3400.000000000005</v>
      </c>
      <c r="E20">
        <f>'[1]T5-3'!G23</f>
        <v>3666.6666666666702</v>
      </c>
      <c r="F20">
        <f t="shared" si="7"/>
        <v>3588.8888888888901</v>
      </c>
      <c r="G20">
        <f t="shared" si="8"/>
        <v>164.42942874387117</v>
      </c>
      <c r="H20">
        <f>'[1]T5-1'!L23</f>
        <v>3299.9999999999973</v>
      </c>
      <c r="I20">
        <f>'[1]T5-2'!K23</f>
        <v>3199.9999999999991</v>
      </c>
      <c r="J20">
        <f>'[1]T5-3'!K23</f>
        <v>3233.3333333333376</v>
      </c>
      <c r="K20">
        <f t="shared" si="9"/>
        <v>3244.4444444444448</v>
      </c>
      <c r="L20">
        <f t="shared" si="21"/>
        <v>50.917507721730004</v>
      </c>
      <c r="M20">
        <f>'[1]T5-1'!O23</f>
        <v>5910</v>
      </c>
      <c r="N20">
        <f>'[1]T5-2'!N23</f>
        <v>5365</v>
      </c>
      <c r="O20">
        <f>'[1]T5-3'!N23</f>
        <v>6155</v>
      </c>
      <c r="P20">
        <f t="shared" si="19"/>
        <v>5810</v>
      </c>
      <c r="Q20">
        <f t="shared" si="20"/>
        <v>404.382244911915</v>
      </c>
      <c r="R20">
        <f>'[1]T5-1'!R23</f>
        <v>1043</v>
      </c>
      <c r="S20">
        <f>'[1]T5-2'!Q23</f>
        <v>531</v>
      </c>
      <c r="T20">
        <f>'[1]T5-3'!Q23</f>
        <v>1062</v>
      </c>
      <c r="U20">
        <f t="shared" si="0"/>
        <v>878.66666666666663</v>
      </c>
      <c r="V20">
        <f t="shared" si="13"/>
        <v>301.23800114416719</v>
      </c>
      <c r="W20">
        <f t="shared" ref="W20:Y48" si="22">M20-R20</f>
        <v>4867</v>
      </c>
      <c r="X20">
        <f t="shared" si="22"/>
        <v>4834</v>
      </c>
      <c r="Y20">
        <f t="shared" si="22"/>
        <v>5093</v>
      </c>
      <c r="Z20">
        <f t="shared" si="2"/>
        <v>4931.333333333333</v>
      </c>
      <c r="AA20">
        <f t="shared" si="14"/>
        <v>140.97635735588196</v>
      </c>
      <c r="AB20">
        <f t="shared" si="16"/>
        <v>1.5972972972972994</v>
      </c>
      <c r="AC20">
        <f t="shared" si="3"/>
        <v>1.577941176470586</v>
      </c>
      <c r="AD20">
        <f t="shared" si="3"/>
        <v>1.6786363636363621</v>
      </c>
      <c r="AE20">
        <f t="shared" si="17"/>
        <v>1.6179582791347491</v>
      </c>
      <c r="AF20">
        <f t="shared" si="15"/>
        <v>5.3432549138640636E-2</v>
      </c>
      <c r="AG20">
        <f t="shared" si="18"/>
        <v>0.89189189189189233</v>
      </c>
      <c r="AH20">
        <f t="shared" si="18"/>
        <v>0.94117647058823362</v>
      </c>
      <c r="AI20">
        <f t="shared" si="18"/>
        <v>0.88181818181818217</v>
      </c>
      <c r="AJ20">
        <f t="shared" si="5"/>
        <v>0.90496218143276941</v>
      </c>
      <c r="AK20">
        <f t="shared" si="6"/>
        <v>3.1764381985786752E-2</v>
      </c>
    </row>
    <row r="21" spans="2:45" x14ac:dyDescent="0.2">
      <c r="B21">
        <f>'[1]T5-1'!C24</f>
        <v>77</v>
      </c>
      <c r="C21">
        <f>'[1]T5-1'!H24</f>
        <v>3533.3333333333326</v>
      </c>
      <c r="D21">
        <f>'[1]T5-2'!G24</f>
        <v>3666.6666666666656</v>
      </c>
      <c r="E21">
        <f>'[1]T5-3'!G24</f>
        <v>3366.6666666666661</v>
      </c>
      <c r="F21">
        <f t="shared" si="7"/>
        <v>3522.2222222222213</v>
      </c>
      <c r="G21">
        <f t="shared" si="8"/>
        <v>150.30832509409626</v>
      </c>
      <c r="H21">
        <f>'[1]T5-1'!L24</f>
        <v>3133.3333333333303</v>
      </c>
      <c r="I21">
        <f>'[1]T5-2'!K24</f>
        <v>3466.6666666666642</v>
      </c>
      <c r="J21">
        <f>'[1]T5-3'!K24</f>
        <v>3033.3333333333326</v>
      </c>
      <c r="K21">
        <f t="shared" si="9"/>
        <v>3211.111111111109</v>
      </c>
      <c r="L21">
        <f t="shared" si="21"/>
        <v>226.89530951846763</v>
      </c>
      <c r="M21">
        <f>'[1]T5-1'!O24</f>
        <v>6200</v>
      </c>
      <c r="N21">
        <f>'[1]T5-2'!N24</f>
        <v>5285</v>
      </c>
      <c r="O21">
        <f>'[1]T5-3'!N24</f>
        <v>6260</v>
      </c>
      <c r="P21">
        <f t="shared" si="19"/>
        <v>5915</v>
      </c>
      <c r="Q21">
        <f t="shared" si="20"/>
        <v>546.42016800260956</v>
      </c>
      <c r="R21">
        <f>'[1]T5-1'!R24</f>
        <v>940</v>
      </c>
      <c r="S21">
        <f>'[1]T5-2'!Q24</f>
        <v>400</v>
      </c>
      <c r="T21">
        <f>'[1]T5-3'!Q24</f>
        <v>1197</v>
      </c>
      <c r="U21">
        <f t="shared" si="0"/>
        <v>845.66666666666663</v>
      </c>
      <c r="V21">
        <f t="shared" si="13"/>
        <v>406.78782348213576</v>
      </c>
      <c r="W21">
        <f t="shared" si="22"/>
        <v>5260</v>
      </c>
      <c r="X21">
        <f t="shared" si="22"/>
        <v>4885</v>
      </c>
      <c r="Y21">
        <f t="shared" si="22"/>
        <v>5063</v>
      </c>
      <c r="Z21">
        <f t="shared" si="2"/>
        <v>5069.333333333333</v>
      </c>
      <c r="AA21">
        <f t="shared" si="14"/>
        <v>187.58020506794776</v>
      </c>
      <c r="AB21">
        <f t="shared" si="16"/>
        <v>1.7547169811320757</v>
      </c>
      <c r="AC21">
        <f t="shared" si="3"/>
        <v>1.4413636363636368</v>
      </c>
      <c r="AD21">
        <f t="shared" si="3"/>
        <v>1.8594059405940597</v>
      </c>
      <c r="AE21">
        <f t="shared" si="17"/>
        <v>1.685162186029924</v>
      </c>
      <c r="AF21">
        <f t="shared" si="15"/>
        <v>0.21752757106364221</v>
      </c>
      <c r="AG21">
        <f t="shared" si="18"/>
        <v>0.88679245283018804</v>
      </c>
      <c r="AH21">
        <f t="shared" si="18"/>
        <v>0.9454545454545451</v>
      </c>
      <c r="AI21">
        <f t="shared" si="18"/>
        <v>0.9009900990099009</v>
      </c>
      <c r="AJ21">
        <f t="shared" si="5"/>
        <v>0.91107903243154464</v>
      </c>
      <c r="AK21">
        <f t="shared" si="6"/>
        <v>3.0604741641728203E-2</v>
      </c>
    </row>
    <row r="22" spans="2:45" x14ac:dyDescent="0.2">
      <c r="B22">
        <f>'[1]T5-1'!C25</f>
        <v>84</v>
      </c>
      <c r="C22">
        <f>'[1]T5-1'!H25</f>
        <v>4266.6666666666688</v>
      </c>
      <c r="D22">
        <f>'[1]T5-2'!G25</f>
        <v>2966.6666666666638</v>
      </c>
      <c r="E22">
        <f>'[1]T5-3'!G25</f>
        <v>3299.9999999999973</v>
      </c>
      <c r="F22">
        <f t="shared" si="7"/>
        <v>3511.1111111111095</v>
      </c>
      <c r="G22">
        <f t="shared" si="8"/>
        <v>675.22287129949382</v>
      </c>
      <c r="H22">
        <f>'[1]T5-1'!L25</f>
        <v>4000.0000000000036</v>
      </c>
      <c r="I22">
        <f>'[1]T5-2'!K25</f>
        <v>2299.9999999999964</v>
      </c>
      <c r="J22">
        <f>'[1]T5-3'!K25</f>
        <v>3166.6666666666647</v>
      </c>
      <c r="K22">
        <f t="shared" si="9"/>
        <v>3155.5555555555547</v>
      </c>
      <c r="L22">
        <f t="shared" si="21"/>
        <v>850.05446448601208</v>
      </c>
      <c r="M22">
        <f>'[1]T5-1'!O25</f>
        <v>5730</v>
      </c>
      <c r="N22">
        <f>'[1]T5-2'!N25</f>
        <v>4865</v>
      </c>
      <c r="O22">
        <f>'[1]T5-3'!N25</f>
        <v>5880</v>
      </c>
      <c r="P22">
        <f t="shared" si="19"/>
        <v>5491.666666666667</v>
      </c>
      <c r="Q22">
        <f t="shared" si="20"/>
        <v>547.86707633634398</v>
      </c>
      <c r="R22">
        <f>'[1]T5-1'!R25</f>
        <v>981.59999999999991</v>
      </c>
      <c r="S22">
        <f>'[1]T5-2'!Q25</f>
        <v>331.2</v>
      </c>
      <c r="T22">
        <f>'[1]T5-3'!Q25</f>
        <v>1290</v>
      </c>
      <c r="U22">
        <f t="shared" si="0"/>
        <v>867.6</v>
      </c>
      <c r="V22">
        <f t="shared" si="13"/>
        <v>489.46027417963131</v>
      </c>
      <c r="W22">
        <f t="shared" si="22"/>
        <v>4748.3999999999996</v>
      </c>
      <c r="X22">
        <f t="shared" si="22"/>
        <v>4533.8</v>
      </c>
      <c r="Y22">
        <f t="shared" si="22"/>
        <v>4590</v>
      </c>
      <c r="Z22">
        <f t="shared" si="2"/>
        <v>4624.0666666666666</v>
      </c>
      <c r="AA22">
        <f t="shared" si="14"/>
        <v>111.28204407420485</v>
      </c>
      <c r="AB22">
        <f t="shared" si="16"/>
        <v>1.3429687499999994</v>
      </c>
      <c r="AC22">
        <f t="shared" si="3"/>
        <v>1.6398876404494398</v>
      </c>
      <c r="AD22">
        <f t="shared" si="3"/>
        <v>1.7818181818181833</v>
      </c>
      <c r="AE22">
        <f t="shared" si="17"/>
        <v>1.5882248574225406</v>
      </c>
      <c r="AF22">
        <f t="shared" si="15"/>
        <v>0.22393969794199062</v>
      </c>
      <c r="AG22">
        <f t="shared" ref="AG22:AI24" si="23">H22/C22</f>
        <v>0.93750000000000033</v>
      </c>
      <c r="AH22">
        <f t="shared" si="23"/>
        <v>0.77528089887640406</v>
      </c>
      <c r="AI22">
        <f t="shared" si="23"/>
        <v>0.95959595959595978</v>
      </c>
      <c r="AJ22">
        <f t="shared" si="5"/>
        <v>0.89079228615745476</v>
      </c>
      <c r="AK22">
        <f t="shared" si="6"/>
        <v>0.10064401771248614</v>
      </c>
    </row>
    <row r="26" spans="2:45" x14ac:dyDescent="0.2">
      <c r="C26" t="s">
        <v>67</v>
      </c>
      <c r="G26" t="s">
        <v>68</v>
      </c>
    </row>
    <row r="27" spans="2:45" x14ac:dyDescent="0.2">
      <c r="C27" t="s">
        <v>101</v>
      </c>
      <c r="G27" t="s">
        <v>63</v>
      </c>
      <c r="I27" t="s">
        <v>64</v>
      </c>
      <c r="K27" t="s">
        <v>65</v>
      </c>
      <c r="M27" t="s">
        <v>66</v>
      </c>
      <c r="P27" t="s">
        <v>72</v>
      </c>
    </row>
    <row r="28" spans="2:45" x14ac:dyDescent="0.2">
      <c r="B28" t="s">
        <v>102</v>
      </c>
      <c r="C28" t="s">
        <v>42</v>
      </c>
      <c r="D28" t="s">
        <v>2</v>
      </c>
      <c r="E28" t="s">
        <v>65</v>
      </c>
      <c r="F28" t="s">
        <v>66</v>
      </c>
      <c r="G28" t="s">
        <v>69</v>
      </c>
      <c r="H28" t="s">
        <v>70</v>
      </c>
      <c r="I28" t="s">
        <v>69</v>
      </c>
      <c r="J28" t="s">
        <v>70</v>
      </c>
      <c r="K28" t="s">
        <v>69</v>
      </c>
      <c r="L28" t="s">
        <v>70</v>
      </c>
      <c r="M28" t="s">
        <v>69</v>
      </c>
      <c r="N28" t="s">
        <v>70</v>
      </c>
      <c r="P28" t="s">
        <v>63</v>
      </c>
      <c r="Q28" t="s">
        <v>64</v>
      </c>
      <c r="R28" t="s">
        <v>65</v>
      </c>
      <c r="S28" t="s">
        <v>66</v>
      </c>
    </row>
    <row r="29" spans="2:45" x14ac:dyDescent="0.2">
      <c r="B29" t="s">
        <v>36</v>
      </c>
      <c r="C29">
        <v>3.6147114158021705E-3</v>
      </c>
      <c r="D29">
        <v>5.4050316815105436E-3</v>
      </c>
      <c r="E29">
        <v>6265.5079206565588</v>
      </c>
      <c r="F29">
        <v>4691.9604221097979</v>
      </c>
      <c r="G29">
        <v>1.6911454589538602E-3</v>
      </c>
      <c r="H29">
        <v>5.5382773726504811E-3</v>
      </c>
      <c r="I29">
        <v>1.6774624985676323E-3</v>
      </c>
      <c r="J29">
        <v>9.1326008644534544E-3</v>
      </c>
      <c r="K29">
        <v>5872.4390403466341</v>
      </c>
      <c r="L29">
        <v>6812.0554278726004</v>
      </c>
      <c r="M29">
        <v>4088.0491747813821</v>
      </c>
      <c r="N29">
        <v>5295.8716694382138</v>
      </c>
      <c r="P29">
        <v>1.9235659568483103E-3</v>
      </c>
      <c r="Q29">
        <v>3.7275691829429113E-3</v>
      </c>
      <c r="R29">
        <v>393.06888030992468</v>
      </c>
      <c r="S29">
        <v>603.91124732841581</v>
      </c>
    </row>
    <row r="30" spans="2:45" x14ac:dyDescent="0.2">
      <c r="B30" t="s">
        <v>37</v>
      </c>
      <c r="C30">
        <v>3.691301673138611E-3</v>
      </c>
      <c r="D30">
        <v>4.2146217467664074E-3</v>
      </c>
      <c r="E30">
        <v>6143.203263352967</v>
      </c>
      <c r="F30">
        <v>3947.2060941867421</v>
      </c>
      <c r="G30">
        <v>2.0004420566833627E-3</v>
      </c>
      <c r="H30">
        <v>5.3821612895938592E-3</v>
      </c>
      <c r="I30">
        <v>1.1419880331611826E-3</v>
      </c>
      <c r="J30">
        <v>7.2872554603716326E-3</v>
      </c>
      <c r="K30">
        <v>5764.6335604403102</v>
      </c>
      <c r="L30">
        <v>6594.2668690707196</v>
      </c>
      <c r="M30">
        <v>3478.3383351118264</v>
      </c>
      <c r="N30">
        <v>4416.0738532616579</v>
      </c>
      <c r="P30">
        <v>1.6908596164552482E-3</v>
      </c>
      <c r="Q30">
        <v>3.0726337136052248E-3</v>
      </c>
      <c r="R30">
        <v>378.56970291265679</v>
      </c>
      <c r="S30">
        <v>468.86775907491574</v>
      </c>
    </row>
    <row r="31" spans="2:45" x14ac:dyDescent="0.2">
      <c r="B31" t="s">
        <v>38</v>
      </c>
      <c r="C31">
        <v>4.2680021949204564E-3</v>
      </c>
      <c r="D31">
        <v>4.8757062830087237E-3</v>
      </c>
      <c r="E31">
        <v>6479.2164576329333</v>
      </c>
      <c r="F31">
        <v>4475.0178052960318</v>
      </c>
      <c r="G31">
        <v>2.117675735089866E-3</v>
      </c>
      <c r="H31">
        <v>6.4183286547510468E-3</v>
      </c>
      <c r="I31">
        <v>2.0865854903545965E-3</v>
      </c>
      <c r="J31">
        <v>7.6648270756628509E-3</v>
      </c>
      <c r="K31">
        <v>6023.1462132345359</v>
      </c>
      <c r="L31">
        <v>7113.061186411539</v>
      </c>
      <c r="M31">
        <v>3959.083484335385</v>
      </c>
      <c r="N31">
        <v>4990.9521262566786</v>
      </c>
      <c r="P31">
        <v>2.1503264598305904E-3</v>
      </c>
      <c r="Q31">
        <v>2.7891207926541272E-3</v>
      </c>
      <c r="R31">
        <v>456.07024439839734</v>
      </c>
      <c r="S31">
        <v>515.9343209606468</v>
      </c>
    </row>
    <row r="32" spans="2:45" x14ac:dyDescent="0.2">
      <c r="B32" t="s">
        <v>71</v>
      </c>
      <c r="C32">
        <v>3.9217905234976936E-3</v>
      </c>
      <c r="D32">
        <v>4.5782944099189947E-3</v>
      </c>
      <c r="E32">
        <v>6331.5271042071126</v>
      </c>
      <c r="F32">
        <v>4333.9504215548714</v>
      </c>
      <c r="G32">
        <v>2.4435663427683487E-3</v>
      </c>
      <c r="H32">
        <v>5.4000147042270385E-3</v>
      </c>
      <c r="I32">
        <v>2.7268035551148853E-3</v>
      </c>
      <c r="J32">
        <v>6.429785264723104E-3</v>
      </c>
      <c r="K32">
        <v>6032.4224488646396</v>
      </c>
      <c r="L32">
        <v>6755.2989346718805</v>
      </c>
      <c r="M32">
        <v>4026.1745777416377</v>
      </c>
      <c r="N32">
        <v>4641.7262653681055</v>
      </c>
      <c r="P32">
        <v>1.4782241807293449E-3</v>
      </c>
      <c r="Q32">
        <v>1.8514908548041093E-3</v>
      </c>
      <c r="R32">
        <v>299.10465534247305</v>
      </c>
      <c r="S32">
        <v>307.77584381323368</v>
      </c>
    </row>
    <row r="33" spans="2:19" x14ac:dyDescent="0.2">
      <c r="B33" t="s">
        <v>73</v>
      </c>
      <c r="C33">
        <v>3.8286481341547056E-3</v>
      </c>
      <c r="D33">
        <v>4.4212334707531432E-3</v>
      </c>
      <c r="E33">
        <v>6280.9440360275848</v>
      </c>
      <c r="F33">
        <v>4309.2349643621692</v>
      </c>
      <c r="G33">
        <v>2.7759214655018131E-3</v>
      </c>
      <c r="H33">
        <v>4.8813748028075981E-3</v>
      </c>
      <c r="I33">
        <v>2.5478253465499416E-3</v>
      </c>
      <c r="J33">
        <v>6.2946415949563447E-3</v>
      </c>
      <c r="K33">
        <v>6089.5615445145422</v>
      </c>
      <c r="L33">
        <v>6605.1837476755254</v>
      </c>
      <c r="M33">
        <v>4001.5324267584933</v>
      </c>
      <c r="N33">
        <v>4616.9375019658455</v>
      </c>
      <c r="P33">
        <v>1.0527266686528925E-3</v>
      </c>
      <c r="Q33">
        <v>1.8734081242032016E-3</v>
      </c>
      <c r="R33">
        <v>191.38249151304262</v>
      </c>
      <c r="S33">
        <v>307.70253760367586</v>
      </c>
    </row>
    <row r="50" spans="9:9" x14ac:dyDescent="0.2">
      <c r="I50" t="s">
        <v>48</v>
      </c>
    </row>
    <row r="77" spans="28:28" x14ac:dyDescent="0.2">
      <c r="AB77" t="s">
        <v>50</v>
      </c>
    </row>
  </sheetData>
  <mergeCells count="9">
    <mergeCell ref="AQ1:AU1"/>
    <mergeCell ref="C1:G1"/>
    <mergeCell ref="R1:U1"/>
    <mergeCell ref="W1:Z1"/>
    <mergeCell ref="AL1:AP1"/>
    <mergeCell ref="AG1:AK1"/>
    <mergeCell ref="AB1:AF1"/>
    <mergeCell ref="M1:Q1"/>
    <mergeCell ref="H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C90F-4594-41CC-82CE-6DC976EA0A6E}">
  <dimension ref="A2:AE71"/>
  <sheetViews>
    <sheetView workbookViewId="0">
      <selection activeCell="H27" sqref="H27"/>
    </sheetView>
  </sheetViews>
  <sheetFormatPr defaultRowHeight="14.25" x14ac:dyDescent="0.2"/>
  <sheetData>
    <row r="2" spans="1:31" x14ac:dyDescent="0.2">
      <c r="A2" t="s">
        <v>79</v>
      </c>
      <c r="B2">
        <v>9.100213289836578</v>
      </c>
    </row>
    <row r="3" spans="1:31" x14ac:dyDescent="0.2">
      <c r="A3" t="s">
        <v>80</v>
      </c>
      <c r="B3">
        <v>453.10081739026054</v>
      </c>
    </row>
    <row r="4" spans="1:31" x14ac:dyDescent="0.2">
      <c r="A4" t="s">
        <v>81</v>
      </c>
      <c r="B4">
        <v>0.1</v>
      </c>
      <c r="V4" t="s">
        <v>79</v>
      </c>
      <c r="W4">
        <v>9.100213289836578</v>
      </c>
      <c r="Y4">
        <v>8.432575482672469</v>
      </c>
      <c r="Z4">
        <v>9.8338082522297139</v>
      </c>
      <c r="AB4">
        <f>W4-Y4</f>
        <v>0.66763780716410892</v>
      </c>
      <c r="AC4">
        <f>Z4-W4</f>
        <v>0.73359496239313593</v>
      </c>
      <c r="AE4">
        <f>AVERAGE(AB4:AC4)</f>
        <v>0.70061638477862243</v>
      </c>
    </row>
    <row r="5" spans="1:31" x14ac:dyDescent="0.2">
      <c r="A5" t="s">
        <v>82</v>
      </c>
      <c r="B5">
        <v>0.192</v>
      </c>
      <c r="F5" t="s">
        <v>7</v>
      </c>
      <c r="G5" t="s">
        <v>83</v>
      </c>
      <c r="H5" t="s">
        <v>84</v>
      </c>
      <c r="I5" t="s">
        <v>85</v>
      </c>
      <c r="N5" t="s">
        <v>86</v>
      </c>
      <c r="O5" t="s">
        <v>87</v>
      </c>
      <c r="P5" t="s">
        <v>88</v>
      </c>
      <c r="S5" t="s">
        <v>89</v>
      </c>
      <c r="V5" t="s">
        <v>80</v>
      </c>
      <c r="W5">
        <v>453.10081739026054</v>
      </c>
      <c r="Y5">
        <v>417.97139218403851</v>
      </c>
      <c r="Z5">
        <v>489.67502403137934</v>
      </c>
    </row>
    <row r="6" spans="1:31" x14ac:dyDescent="0.2">
      <c r="A6" t="s">
        <v>90</v>
      </c>
      <c r="B6">
        <v>6150</v>
      </c>
      <c r="F6">
        <v>0</v>
      </c>
      <c r="G6">
        <v>8309.6666666666661</v>
      </c>
      <c r="H6">
        <f>N6</f>
        <v>8144.1006593328157</v>
      </c>
      <c r="I6">
        <v>8297.5</v>
      </c>
      <c r="M6">
        <v>0</v>
      </c>
      <c r="N6">
        <f>B7</f>
        <v>8144.1006593328157</v>
      </c>
      <c r="O6">
        <f>B6</f>
        <v>6150</v>
      </c>
      <c r="R6">
        <f>G6</f>
        <v>8309.6666666666661</v>
      </c>
      <c r="S6">
        <f t="shared" ref="S6:S29" si="0">((R6-N6)^2)^0.5</f>
        <v>165.56600733385039</v>
      </c>
      <c r="V6" t="s">
        <v>81</v>
      </c>
      <c r="W6">
        <v>0.1</v>
      </c>
    </row>
    <row r="7" spans="1:31" x14ac:dyDescent="0.2">
      <c r="A7" t="s">
        <v>91</v>
      </c>
      <c r="B7">
        <v>8144.1006593328157</v>
      </c>
      <c r="F7">
        <v>2</v>
      </c>
      <c r="G7">
        <v>6806.666666666667</v>
      </c>
      <c r="H7">
        <f>N8</f>
        <v>7821.28379918672</v>
      </c>
      <c r="I7">
        <v>7946.6802640841688</v>
      </c>
      <c r="M7">
        <v>1</v>
      </c>
      <c r="N7">
        <f>B7-B2*B6*(B7/(B3*B6+B7))</f>
        <v>7981.008745287596</v>
      </c>
      <c r="O7">
        <f>B6+$B$4*(N7-N6)-$B$5*O6</f>
        <v>4952.8908085954781</v>
      </c>
      <c r="P7">
        <f>N7-$B$2*O7*(N7/($B$3*O7+N7))</f>
        <v>7821.28379918672</v>
      </c>
      <c r="V7" t="s">
        <v>82</v>
      </c>
      <c r="W7">
        <v>0.192</v>
      </c>
    </row>
    <row r="8" spans="1:31" x14ac:dyDescent="0.2">
      <c r="A8" t="s">
        <v>92</v>
      </c>
      <c r="B8">
        <f>S31</f>
        <v>1712.40107978175</v>
      </c>
      <c r="F8">
        <v>8</v>
      </c>
      <c r="G8">
        <v>6933.333333333333</v>
      </c>
      <c r="H8">
        <f>N14</f>
        <v>6931.2347369816416</v>
      </c>
      <c r="I8">
        <v>6980.7353666411891</v>
      </c>
      <c r="M8">
        <v>2</v>
      </c>
      <c r="N8">
        <f>P7</f>
        <v>7821.28379918672</v>
      </c>
      <c r="O8">
        <f>O7+$B$4*(N8-N7)-$B$5*O7</f>
        <v>3985.9632787350583</v>
      </c>
      <c r="P8">
        <f>N8-$B$2*O8*(N8/($B$3*O8+N8))</f>
        <v>7664.8761215528693</v>
      </c>
      <c r="R8">
        <f>G7</f>
        <v>6806.666666666667</v>
      </c>
      <c r="S8">
        <f t="shared" si="0"/>
        <v>1014.617132520053</v>
      </c>
      <c r="V8" t="s">
        <v>90</v>
      </c>
      <c r="W8">
        <v>6150</v>
      </c>
    </row>
    <row r="9" spans="1:31" x14ac:dyDescent="0.2">
      <c r="F9">
        <v>10</v>
      </c>
      <c r="G9">
        <v>6612.5</v>
      </c>
      <c r="H9">
        <f>N16</f>
        <v>6659.96248023516</v>
      </c>
      <c r="I9">
        <v>6685.5886672951974</v>
      </c>
      <c r="M9">
        <v>3</v>
      </c>
      <c r="N9">
        <f t="shared" ref="N9:N29" si="1">P8</f>
        <v>7664.8761215528693</v>
      </c>
      <c r="O9">
        <f>O8+$B$4*(N9-N8)-$B$5*O8</f>
        <v>3205.0175614545419</v>
      </c>
      <c r="P9">
        <f>N9-$B$2*O9*(N9/($B$3*O9+N9))</f>
        <v>7511.7407091162886</v>
      </c>
      <c r="V9" t="s">
        <v>91</v>
      </c>
      <c r="W9">
        <v>8144.1006593328157</v>
      </c>
      <c r="Y9">
        <v>7974.3503591208582</v>
      </c>
      <c r="Z9">
        <v>8299.8333167466935</v>
      </c>
    </row>
    <row r="10" spans="1:31" x14ac:dyDescent="0.2">
      <c r="A10" t="s">
        <v>93</v>
      </c>
      <c r="B10">
        <f>B8/(COUNT(F6:F15))</f>
        <v>214.05013497271875</v>
      </c>
      <c r="F10">
        <v>15</v>
      </c>
      <c r="G10">
        <v>5794.666666666667</v>
      </c>
      <c r="H10">
        <f>N21</f>
        <v>6039.209605223622</v>
      </c>
      <c r="I10">
        <v>6001.1688861467419</v>
      </c>
      <c r="M10">
        <v>4</v>
      </c>
      <c r="N10">
        <f t="shared" si="1"/>
        <v>7511.7407091162886</v>
      </c>
      <c r="O10">
        <f t="shared" ref="O10:O29" si="2">O9+$B$4*(N10-N9)-$B$5*O9</f>
        <v>2574.3406484116117</v>
      </c>
      <c r="P10">
        <f t="shared" ref="P10:P29" si="3">N10-$B$2*O10*(N10/($B$3*O10+N10))</f>
        <v>7361.8380059510528</v>
      </c>
      <c r="V10" t="s">
        <v>92</v>
      </c>
      <c r="W10">
        <v>1712.40107978175</v>
      </c>
    </row>
    <row r="11" spans="1:31" x14ac:dyDescent="0.2">
      <c r="F11">
        <v>17</v>
      </c>
      <c r="G11">
        <v>5843.333333333333</v>
      </c>
      <c r="H11">
        <f>N23</f>
        <v>5817.18086037988</v>
      </c>
      <c r="I11">
        <v>5747.4384271139852</v>
      </c>
      <c r="M11">
        <v>5</v>
      </c>
      <c r="N11">
        <f t="shared" si="1"/>
        <v>7361.8380059510528</v>
      </c>
      <c r="O11">
        <f t="shared" si="2"/>
        <v>2065.0769736000589</v>
      </c>
      <c r="P11">
        <f t="shared" si="3"/>
        <v>7215.134869928198</v>
      </c>
    </row>
    <row r="12" spans="1:31" x14ac:dyDescent="0.2">
      <c r="A12" t="s">
        <v>94</v>
      </c>
      <c r="F12">
        <v>21</v>
      </c>
      <c r="G12">
        <v>5659</v>
      </c>
      <c r="H12">
        <f>N27</f>
        <v>5447.047085434825</v>
      </c>
      <c r="I12">
        <v>5271.7072403238644</v>
      </c>
      <c r="M12">
        <v>6</v>
      </c>
      <c r="N12">
        <f t="shared" si="1"/>
        <v>7215.134869928198</v>
      </c>
      <c r="O12">
        <f t="shared" si="2"/>
        <v>1653.9118810665618</v>
      </c>
      <c r="P12">
        <f t="shared" si="3"/>
        <v>7071.6058293035558</v>
      </c>
      <c r="V12" t="s">
        <v>93</v>
      </c>
      <c r="W12">
        <v>214.05013497271875</v>
      </c>
    </row>
    <row r="13" spans="1:31" x14ac:dyDescent="0.2">
      <c r="B13">
        <f>B8+B10*2</f>
        <v>2140.5013497271875</v>
      </c>
      <c r="F13">
        <v>23</v>
      </c>
      <c r="G13">
        <v>5344</v>
      </c>
      <c r="H13">
        <f>N29</f>
        <v>5344.0085372654121</v>
      </c>
      <c r="I13">
        <v>5048.8185459127781</v>
      </c>
      <c r="M13">
        <v>7</v>
      </c>
      <c r="N13">
        <f t="shared" si="1"/>
        <v>7071.6058293035558</v>
      </c>
      <c r="O13">
        <f t="shared" si="2"/>
        <v>1322.0078958393178</v>
      </c>
      <c r="P13">
        <f t="shared" si="3"/>
        <v>6931.2347369816416</v>
      </c>
    </row>
    <row r="14" spans="1:31" x14ac:dyDescent="0.2">
      <c r="M14">
        <v>8</v>
      </c>
      <c r="N14">
        <f t="shared" si="1"/>
        <v>6931.2347369816416</v>
      </c>
      <c r="O14">
        <f t="shared" si="2"/>
        <v>1054.1452706059774</v>
      </c>
      <c r="P14">
        <f t="shared" si="3"/>
        <v>6794.0169800375279</v>
      </c>
      <c r="R14">
        <f>G8</f>
        <v>6933.333333333333</v>
      </c>
      <c r="S14">
        <f t="shared" si="0"/>
        <v>2.0985963516914126</v>
      </c>
      <c r="V14" t="s">
        <v>94</v>
      </c>
    </row>
    <row r="15" spans="1:31" x14ac:dyDescent="0.2">
      <c r="M15">
        <v>9</v>
      </c>
      <c r="N15">
        <f t="shared" si="1"/>
        <v>6794.0169800375279</v>
      </c>
      <c r="O15">
        <f t="shared" si="2"/>
        <v>838.0276029552183</v>
      </c>
      <c r="P15">
        <f t="shared" si="3"/>
        <v>6659.96248023516</v>
      </c>
      <c r="W15">
        <v>2140.5013497271875</v>
      </c>
    </row>
    <row r="16" spans="1:31" x14ac:dyDescent="0.2">
      <c r="M16">
        <v>10</v>
      </c>
      <c r="N16">
        <f t="shared" si="1"/>
        <v>6659.96248023516</v>
      </c>
      <c r="O16">
        <f t="shared" si="2"/>
        <v>663.72085320757958</v>
      </c>
      <c r="P16">
        <f t="shared" si="3"/>
        <v>6529.0998462023863</v>
      </c>
      <c r="R16">
        <f>G9</f>
        <v>6612.5</v>
      </c>
      <c r="S16">
        <f t="shared" si="0"/>
        <v>47.462480235160001</v>
      </c>
    </row>
    <row r="17" spans="1:19" x14ac:dyDescent="0.2">
      <c r="G17">
        <f>G6-G13</f>
        <v>2965.6666666666661</v>
      </c>
      <c r="M17">
        <v>11</v>
      </c>
      <c r="N17">
        <f t="shared" si="1"/>
        <v>6529.0998462023863</v>
      </c>
      <c r="O17">
        <f t="shared" si="2"/>
        <v>523.20018598844695</v>
      </c>
      <c r="P17">
        <f t="shared" si="3"/>
        <v>6401.4822427199797</v>
      </c>
    </row>
    <row r="18" spans="1:19" x14ac:dyDescent="0.2">
      <c r="M18">
        <v>12</v>
      </c>
      <c r="N18">
        <f t="shared" si="1"/>
        <v>6401.4822427199797</v>
      </c>
      <c r="O18">
        <f t="shared" si="2"/>
        <v>409.98398993042446</v>
      </c>
      <c r="P18">
        <f t="shared" si="3"/>
        <v>6277.1958878282921</v>
      </c>
    </row>
    <row r="19" spans="1:19" x14ac:dyDescent="0.2">
      <c r="M19">
        <v>13</v>
      </c>
      <c r="N19">
        <f t="shared" si="1"/>
        <v>6277.1958878282921</v>
      </c>
      <c r="O19">
        <f t="shared" si="2"/>
        <v>318.83842837461418</v>
      </c>
      <c r="P19">
        <f t="shared" si="3"/>
        <v>6156.3726886020213</v>
      </c>
    </row>
    <row r="20" spans="1:19" x14ac:dyDescent="0.2">
      <c r="M20">
        <v>14</v>
      </c>
      <c r="N20">
        <f t="shared" si="1"/>
        <v>6156.3726886020213</v>
      </c>
      <c r="O20">
        <f t="shared" si="2"/>
        <v>245.53913020406117</v>
      </c>
      <c r="P20">
        <f t="shared" si="3"/>
        <v>6039.209605223622</v>
      </c>
    </row>
    <row r="21" spans="1:19" x14ac:dyDescent="0.2">
      <c r="M21">
        <v>15</v>
      </c>
      <c r="N21">
        <f t="shared" si="1"/>
        <v>6039.209605223622</v>
      </c>
      <c r="O21">
        <f t="shared" si="2"/>
        <v>186.67930886704147</v>
      </c>
      <c r="P21">
        <f t="shared" si="3"/>
        <v>5925.9993431337707</v>
      </c>
      <c r="R21">
        <f>G10</f>
        <v>5794.666666666667</v>
      </c>
      <c r="S21">
        <f t="shared" si="0"/>
        <v>244.54293855695505</v>
      </c>
    </row>
    <row r="22" spans="1:19" x14ac:dyDescent="0.2">
      <c r="M22">
        <v>16</v>
      </c>
      <c r="N22">
        <f t="shared" si="1"/>
        <v>5925.9993431337707</v>
      </c>
      <c r="O22">
        <f t="shared" si="2"/>
        <v>139.51585535558439</v>
      </c>
      <c r="P22">
        <f t="shared" si="3"/>
        <v>5817.18086037988</v>
      </c>
    </row>
    <row r="23" spans="1:19" x14ac:dyDescent="0.2">
      <c r="M23">
        <v>17</v>
      </c>
      <c r="N23">
        <f t="shared" si="1"/>
        <v>5817.18086037988</v>
      </c>
      <c r="O23">
        <f t="shared" si="2"/>
        <v>101.84696285192311</v>
      </c>
      <c r="P23">
        <f>N23-$B$2*O23*(N23/($B$3*O23+N23))</f>
        <v>5713.4259597972077</v>
      </c>
      <c r="R23">
        <f>G11</f>
        <v>5843.333333333333</v>
      </c>
      <c r="S23">
        <f t="shared" si="0"/>
        <v>26.152472953453071</v>
      </c>
    </row>
    <row r="24" spans="1:19" x14ac:dyDescent="0.2">
      <c r="M24">
        <v>18</v>
      </c>
      <c r="N24">
        <f t="shared" si="1"/>
        <v>5713.4259597972077</v>
      </c>
      <c r="O24">
        <f t="shared" si="2"/>
        <v>71.916855926086654</v>
      </c>
      <c r="P24">
        <f t="shared" si="3"/>
        <v>5615.7941600393342</v>
      </c>
    </row>
    <row r="25" spans="1:19" x14ac:dyDescent="0.2">
      <c r="M25">
        <v>19</v>
      </c>
      <c r="N25">
        <f t="shared" si="1"/>
        <v>5615.7941600393342</v>
      </c>
      <c r="O25">
        <f t="shared" si="2"/>
        <v>48.345639612490665</v>
      </c>
      <c r="P25">
        <f t="shared" si="3"/>
        <v>5526.0198620271849</v>
      </c>
    </row>
    <row r="26" spans="1:19" x14ac:dyDescent="0.2">
      <c r="M26">
        <v>20</v>
      </c>
      <c r="N26">
        <f t="shared" si="1"/>
        <v>5526.0198620271849</v>
      </c>
      <c r="O26">
        <f t="shared" si="2"/>
        <v>30.085847005677525</v>
      </c>
      <c r="P26">
        <f t="shared" si="3"/>
        <v>5447.047085434825</v>
      </c>
    </row>
    <row r="27" spans="1:19" x14ac:dyDescent="0.2">
      <c r="M27">
        <v>21</v>
      </c>
      <c r="N27">
        <f t="shared" si="1"/>
        <v>5447.047085434825</v>
      </c>
      <c r="O27">
        <f t="shared" si="2"/>
        <v>16.41208672135145</v>
      </c>
      <c r="P27">
        <f t="shared" si="3"/>
        <v>5383.9009482747178</v>
      </c>
      <c r="R27">
        <f>G12</f>
        <v>5659</v>
      </c>
      <c r="S27">
        <f t="shared" si="0"/>
        <v>211.95291456517498</v>
      </c>
    </row>
    <row r="28" spans="1:19" x14ac:dyDescent="0.2">
      <c r="M28">
        <v>22</v>
      </c>
      <c r="N28">
        <f t="shared" si="1"/>
        <v>5383.9009482747178</v>
      </c>
      <c r="O28">
        <f t="shared" si="2"/>
        <v>6.9463523548412525</v>
      </c>
      <c r="P28">
        <f t="shared" si="3"/>
        <v>5344.0085372654121</v>
      </c>
    </row>
    <row r="29" spans="1:19" x14ac:dyDescent="0.2">
      <c r="M29">
        <v>23</v>
      </c>
      <c r="N29">
        <f t="shared" si="1"/>
        <v>5344.0085372654121</v>
      </c>
      <c r="O29">
        <f t="shared" si="2"/>
        <v>1.6234116017811557</v>
      </c>
      <c r="P29">
        <f t="shared" si="3"/>
        <v>5331.0225805946693</v>
      </c>
      <c r="R29">
        <f>G13</f>
        <v>5344</v>
      </c>
      <c r="S29">
        <f t="shared" si="0"/>
        <v>8.5372654120874358E-3</v>
      </c>
    </row>
    <row r="31" spans="1:19" x14ac:dyDescent="0.2">
      <c r="A31" t="s">
        <v>79</v>
      </c>
      <c r="B31">
        <v>0.12723435701338193</v>
      </c>
      <c r="S31">
        <f>SUM(S6:S29)</f>
        <v>1712.40107978175</v>
      </c>
    </row>
    <row r="32" spans="1:19" x14ac:dyDescent="0.2">
      <c r="A32" t="s">
        <v>80</v>
      </c>
      <c r="B32">
        <v>3543.0257052849356</v>
      </c>
    </row>
    <row r="33" spans="1:26" x14ac:dyDescent="0.2">
      <c r="A33" t="s">
        <v>81</v>
      </c>
      <c r="B33">
        <v>0.1</v>
      </c>
    </row>
    <row r="34" spans="1:26" x14ac:dyDescent="0.2">
      <c r="A34" t="s">
        <v>82</v>
      </c>
      <c r="B34">
        <v>0.192</v>
      </c>
      <c r="F34" t="s">
        <v>7</v>
      </c>
      <c r="G34" t="s">
        <v>83</v>
      </c>
      <c r="H34" t="s">
        <v>95</v>
      </c>
      <c r="I34" t="s">
        <v>85</v>
      </c>
      <c r="N34" t="s">
        <v>86</v>
      </c>
      <c r="O34" t="s">
        <v>87</v>
      </c>
      <c r="P34" t="s">
        <v>88</v>
      </c>
      <c r="S34" t="s">
        <v>89</v>
      </c>
    </row>
    <row r="35" spans="1:26" x14ac:dyDescent="0.2">
      <c r="A35" t="s">
        <v>90</v>
      </c>
      <c r="B35">
        <v>6150</v>
      </c>
      <c r="F35">
        <v>0</v>
      </c>
      <c r="G35">
        <v>8309.6666666666661</v>
      </c>
      <c r="H35">
        <f>N35</f>
        <v>8309.0376965960713</v>
      </c>
      <c r="I35">
        <v>8297.5</v>
      </c>
      <c r="J35">
        <v>9095</v>
      </c>
      <c r="M35">
        <v>0</v>
      </c>
      <c r="N35">
        <f>B36</f>
        <v>8309.0376965960713</v>
      </c>
      <c r="O35">
        <f>B35</f>
        <v>6150</v>
      </c>
      <c r="R35">
        <f>G35</f>
        <v>8309.6666666666661</v>
      </c>
      <c r="S35">
        <f t="shared" ref="S35" si="4">((R35-N35)^2)^0.5</f>
        <v>0.62897007059473253</v>
      </c>
    </row>
    <row r="36" spans="1:26" x14ac:dyDescent="0.2">
      <c r="A36" t="s">
        <v>91</v>
      </c>
      <c r="B36">
        <v>8309.0376965960713</v>
      </c>
      <c r="F36">
        <v>2</v>
      </c>
      <c r="G36">
        <v>6806.666666666667</v>
      </c>
      <c r="H36">
        <f>N37</f>
        <v>7331.1781304248643</v>
      </c>
      <c r="I36">
        <v>7946.6802640841688</v>
      </c>
      <c r="J36">
        <v>8814.2999999999993</v>
      </c>
      <c r="M36">
        <v>1</v>
      </c>
      <c r="N36">
        <f>B36-B31*B35*(B36/(B32+B36))</f>
        <v>7760.462359778754</v>
      </c>
      <c r="O36">
        <f>B35+$B$4*(N36-N35)-$B$5*O35</f>
        <v>4914.3424663182677</v>
      </c>
      <c r="P36">
        <f>N36-$B$31*O36*(N36/($B$32+N36))</f>
        <v>7331.1781304248643</v>
      </c>
    </row>
    <row r="37" spans="1:26" x14ac:dyDescent="0.2">
      <c r="A37" t="s">
        <v>92</v>
      </c>
      <c r="B37">
        <f>S60</f>
        <v>2513.8271471994067</v>
      </c>
      <c r="F37">
        <v>8</v>
      </c>
      <c r="G37">
        <v>6933.333333333333</v>
      </c>
      <c r="H37">
        <f>N43</f>
        <v>6119.0244241734326</v>
      </c>
      <c r="I37">
        <v>6980.7353666411891</v>
      </c>
      <c r="J37">
        <v>8406.9</v>
      </c>
      <c r="M37">
        <v>2</v>
      </c>
      <c r="N37">
        <f>P36</f>
        <v>7331.1781304248643</v>
      </c>
      <c r="O37">
        <f>O36+$B$4*(N37-N36)-$B$5*O36</f>
        <v>3927.8602898497716</v>
      </c>
      <c r="P37">
        <f t="shared" ref="P37:P58" si="5">N37-$B$31*O37*(N37/($B$32+N37))</f>
        <v>6994.2504176308394</v>
      </c>
      <c r="R37">
        <f>G36</f>
        <v>6806.666666666667</v>
      </c>
      <c r="S37">
        <f t="shared" ref="S37" si="6">((R37-N37)^2)^0.5</f>
        <v>524.51146375819735</v>
      </c>
      <c r="V37" t="s">
        <v>79</v>
      </c>
      <c r="W37">
        <v>0.12723435701338193</v>
      </c>
      <c r="Y37">
        <v>0.11086899941209975</v>
      </c>
      <c r="Z37">
        <v>0.13994540758856844</v>
      </c>
    </row>
    <row r="38" spans="1:26" x14ac:dyDescent="0.2">
      <c r="F38">
        <v>10</v>
      </c>
      <c r="G38">
        <v>6612.5</v>
      </c>
      <c r="H38">
        <f>N45</f>
        <v>5970.3674610720782</v>
      </c>
      <c r="I38">
        <v>6685.5886672951974</v>
      </c>
      <c r="J38">
        <v>8348</v>
      </c>
      <c r="M38">
        <v>3</v>
      </c>
      <c r="N38">
        <f t="shared" ref="N38:N58" si="7">P37</f>
        <v>6994.2504176308394</v>
      </c>
      <c r="O38">
        <f>O37+$B$4*(N38-N37)-$B$5*O37</f>
        <v>3140.018342919213</v>
      </c>
      <c r="P38">
        <f>N38-$B$31*O38*(N38/($B$32+N38))</f>
        <v>6729.0651450213891</v>
      </c>
      <c r="V38" t="s">
        <v>80</v>
      </c>
      <c r="W38">
        <v>3543.0257052849356</v>
      </c>
      <c r="Y38">
        <v>2588.1820211910299</v>
      </c>
      <c r="Z38">
        <v>5138.3203865665218</v>
      </c>
    </row>
    <row r="39" spans="1:26" x14ac:dyDescent="0.2">
      <c r="A39" t="s">
        <v>93</v>
      </c>
      <c r="B39">
        <f>B37/(COUNT(F35:F44))</f>
        <v>314.22839339992584</v>
      </c>
      <c r="F39">
        <v>15</v>
      </c>
      <c r="G39">
        <v>5794.666666666667</v>
      </c>
      <c r="H39">
        <f>N50</f>
        <v>5794.6666687851548</v>
      </c>
      <c r="I39">
        <v>6001.1688861467419</v>
      </c>
      <c r="J39">
        <v>8271</v>
      </c>
      <c r="M39">
        <v>4</v>
      </c>
      <c r="N39">
        <f t="shared" si="7"/>
        <v>6729.0651450213891</v>
      </c>
      <c r="O39">
        <f t="shared" ref="O39:O58" si="8">O38+$B$4*(N39-N38)-$B$5*O38</f>
        <v>2510.616293817779</v>
      </c>
      <c r="P39">
        <f>N39-$B$31*O39*(N39/($B$32+N39))</f>
        <v>6519.8078421138534</v>
      </c>
      <c r="V39" t="s">
        <v>81</v>
      </c>
      <c r="W39">
        <v>0.1</v>
      </c>
    </row>
    <row r="40" spans="1:26" x14ac:dyDescent="0.2">
      <c r="F40">
        <v>17</v>
      </c>
      <c r="G40">
        <v>5843.333333333333</v>
      </c>
      <c r="H40">
        <f>N52</f>
        <v>5764.0541489984525</v>
      </c>
      <c r="I40">
        <v>5747.4384271139852</v>
      </c>
      <c r="J40">
        <v>8255.9</v>
      </c>
      <c r="M40">
        <v>5</v>
      </c>
      <c r="N40">
        <f t="shared" si="7"/>
        <v>6519.8078421138534</v>
      </c>
      <c r="O40">
        <f t="shared" si="8"/>
        <v>2007.652235114012</v>
      </c>
      <c r="P40">
        <f t="shared" si="5"/>
        <v>6354.3042618560967</v>
      </c>
      <c r="V40" t="s">
        <v>82</v>
      </c>
      <c r="W40">
        <v>0.192</v>
      </c>
    </row>
    <row r="41" spans="1:26" x14ac:dyDescent="0.2">
      <c r="A41" t="s">
        <v>94</v>
      </c>
      <c r="F41">
        <v>21</v>
      </c>
      <c r="G41">
        <v>5659</v>
      </c>
      <c r="H41">
        <f>N56</f>
        <v>5731.9840692188263</v>
      </c>
      <c r="I41">
        <v>5271.7072403238644</v>
      </c>
      <c r="J41">
        <v>8238.7000000000007</v>
      </c>
      <c r="M41">
        <v>6</v>
      </c>
      <c r="N41">
        <f t="shared" si="7"/>
        <v>6354.3042618560967</v>
      </c>
      <c r="O41">
        <f t="shared" si="8"/>
        <v>1605.632647946346</v>
      </c>
      <c r="P41">
        <f t="shared" si="5"/>
        <v>6223.1445220549449</v>
      </c>
      <c r="V41" t="s">
        <v>90</v>
      </c>
      <c r="W41">
        <v>6150</v>
      </c>
    </row>
    <row r="42" spans="1:26" x14ac:dyDescent="0.2">
      <c r="B42">
        <f>B37+B39*2</f>
        <v>3142.2839339992584</v>
      </c>
      <c r="F42">
        <v>23</v>
      </c>
      <c r="G42">
        <v>5344</v>
      </c>
      <c r="H42">
        <f>N58</f>
        <v>5723.9820096105977</v>
      </c>
      <c r="I42">
        <v>5048.8185459127781</v>
      </c>
      <c r="M42">
        <v>7</v>
      </c>
      <c r="N42">
        <f t="shared" si="7"/>
        <v>6223.1445220549449</v>
      </c>
      <c r="O42">
        <f t="shared" si="8"/>
        <v>1284.2352055605324</v>
      </c>
      <c r="P42">
        <f t="shared" si="5"/>
        <v>6119.0244241734326</v>
      </c>
      <c r="V42" t="s">
        <v>91</v>
      </c>
      <c r="W42">
        <v>8309.0376965960713</v>
      </c>
    </row>
    <row r="43" spans="1:26" x14ac:dyDescent="0.2">
      <c r="M43">
        <v>8</v>
      </c>
      <c r="N43">
        <f t="shared" si="7"/>
        <v>6119.0244241734326</v>
      </c>
      <c r="O43">
        <f t="shared" si="8"/>
        <v>1027.2500363047591</v>
      </c>
      <c r="P43">
        <f t="shared" si="5"/>
        <v>6036.2505152231561</v>
      </c>
      <c r="R43">
        <f>G37</f>
        <v>6933.333333333333</v>
      </c>
      <c r="S43">
        <f t="shared" ref="S43" si="9">((R43-N43)^2)^0.5</f>
        <v>814.3089091599004</v>
      </c>
      <c r="V43" t="s">
        <v>92</v>
      </c>
      <c r="W43">
        <v>2513.8271471994067</v>
      </c>
    </row>
    <row r="44" spans="1:26" x14ac:dyDescent="0.2">
      <c r="M44">
        <v>9</v>
      </c>
      <c r="N44">
        <f t="shared" si="7"/>
        <v>6036.2505152231561</v>
      </c>
      <c r="O44">
        <f t="shared" si="8"/>
        <v>821.74063843921772</v>
      </c>
      <c r="P44">
        <f t="shared" si="5"/>
        <v>5970.3674610720782</v>
      </c>
    </row>
    <row r="45" spans="1:26" x14ac:dyDescent="0.2">
      <c r="M45">
        <v>10</v>
      </c>
      <c r="N45">
        <f t="shared" si="7"/>
        <v>5970.3674610720782</v>
      </c>
      <c r="O45">
        <f t="shared" si="8"/>
        <v>657.37813044378004</v>
      </c>
      <c r="P45">
        <f t="shared" si="5"/>
        <v>5917.8764101875158</v>
      </c>
      <c r="R45">
        <f>G38</f>
        <v>6612.5</v>
      </c>
      <c r="S45">
        <f t="shared" ref="S45" si="10">((R45-N45)^2)^0.5</f>
        <v>642.13253892792181</v>
      </c>
      <c r="V45" t="s">
        <v>93</v>
      </c>
      <c r="W45">
        <v>314.22839339992584</v>
      </c>
    </row>
    <row r="46" spans="1:26" x14ac:dyDescent="0.2">
      <c r="M46">
        <v>11</v>
      </c>
      <c r="N46">
        <f t="shared" si="7"/>
        <v>5917.8764101875158</v>
      </c>
      <c r="O46">
        <f t="shared" si="8"/>
        <v>525.91242431011813</v>
      </c>
      <c r="P46">
        <f t="shared" si="5"/>
        <v>5876.0210414725279</v>
      </c>
    </row>
    <row r="47" spans="1:26" x14ac:dyDescent="0.2">
      <c r="M47">
        <v>12</v>
      </c>
      <c r="N47">
        <f t="shared" si="7"/>
        <v>5876.0210414725279</v>
      </c>
      <c r="O47">
        <f t="shared" si="8"/>
        <v>420.75170197107661</v>
      </c>
      <c r="P47">
        <f t="shared" si="5"/>
        <v>5842.6241018980536</v>
      </c>
      <c r="V47" t="s">
        <v>94</v>
      </c>
    </row>
    <row r="48" spans="1:26" x14ac:dyDescent="0.2">
      <c r="M48">
        <v>13</v>
      </c>
      <c r="N48">
        <f t="shared" si="7"/>
        <v>5842.6241018980536</v>
      </c>
      <c r="O48">
        <f t="shared" si="8"/>
        <v>336.62768123518248</v>
      </c>
      <c r="P48">
        <f t="shared" si="5"/>
        <v>5815.9617887482809</v>
      </c>
      <c r="W48">
        <v>3142.2839339992584</v>
      </c>
    </row>
    <row r="49" spans="6:19" x14ac:dyDescent="0.2">
      <c r="M49">
        <v>14</v>
      </c>
      <c r="N49">
        <f t="shared" si="7"/>
        <v>5815.9617887482809</v>
      </c>
      <c r="O49">
        <f t="shared" si="8"/>
        <v>269.3289351230502</v>
      </c>
      <c r="P49">
        <f t="shared" si="5"/>
        <v>5794.6666687851548</v>
      </c>
    </row>
    <row r="50" spans="6:19" x14ac:dyDescent="0.2">
      <c r="M50">
        <v>15</v>
      </c>
      <c r="N50">
        <f t="shared" si="7"/>
        <v>5794.6666687851548</v>
      </c>
      <c r="O50">
        <f t="shared" si="8"/>
        <v>215.48826758311196</v>
      </c>
      <c r="P50">
        <f t="shared" si="5"/>
        <v>5777.6522575417257</v>
      </c>
      <c r="R50">
        <f>G39</f>
        <v>5794.666666666667</v>
      </c>
      <c r="S50">
        <f t="shared" ref="S50" si="11">((R50-N50)^2)^0.5</f>
        <v>2.1184878278290853E-6</v>
      </c>
    </row>
    <row r="51" spans="6:19" x14ac:dyDescent="0.2">
      <c r="M51">
        <v>16</v>
      </c>
      <c r="N51">
        <f t="shared" si="7"/>
        <v>5777.6522575417257</v>
      </c>
      <c r="O51">
        <f t="shared" si="8"/>
        <v>172.41307908281155</v>
      </c>
      <c r="P51">
        <f t="shared" si="5"/>
        <v>5764.0541489984525</v>
      </c>
    </row>
    <row r="52" spans="6:19" x14ac:dyDescent="0.2">
      <c r="M52">
        <v>17</v>
      </c>
      <c r="N52">
        <f t="shared" si="7"/>
        <v>5764.0541489984525</v>
      </c>
      <c r="O52">
        <f t="shared" si="8"/>
        <v>137.94995704458441</v>
      </c>
      <c r="P52">
        <f t="shared" si="5"/>
        <v>5753.1838727539825</v>
      </c>
      <c r="R52">
        <f>G40</f>
        <v>5843.333333333333</v>
      </c>
      <c r="S52">
        <f t="shared" ref="S52" si="12">((R52-N52)^2)^0.5</f>
        <v>79.279184334880483</v>
      </c>
    </row>
    <row r="53" spans="6:19" x14ac:dyDescent="0.2">
      <c r="M53">
        <v>18</v>
      </c>
      <c r="N53">
        <f t="shared" si="7"/>
        <v>5753.1838727539825</v>
      </c>
      <c r="O53">
        <f t="shared" si="8"/>
        <v>110.37653766757721</v>
      </c>
      <c r="P53">
        <f t="shared" si="5"/>
        <v>5744.4925972955498</v>
      </c>
    </row>
    <row r="54" spans="6:19" x14ac:dyDescent="0.2">
      <c r="M54">
        <v>19</v>
      </c>
      <c r="N54">
        <f t="shared" si="7"/>
        <v>5744.4925972955498</v>
      </c>
      <c r="O54">
        <f t="shared" si="8"/>
        <v>88.315114889559112</v>
      </c>
      <c r="P54">
        <f t="shared" si="5"/>
        <v>5737.5424912819672</v>
      </c>
    </row>
    <row r="55" spans="6:19" x14ac:dyDescent="0.2">
      <c r="M55">
        <v>20</v>
      </c>
      <c r="N55">
        <f t="shared" si="7"/>
        <v>5737.5424912819672</v>
      </c>
      <c r="O55">
        <f t="shared" si="8"/>
        <v>70.663602229405498</v>
      </c>
      <c r="P55">
        <f t="shared" si="5"/>
        <v>5731.9840692188263</v>
      </c>
    </row>
    <row r="56" spans="6:19" x14ac:dyDescent="0.2">
      <c r="M56">
        <v>21</v>
      </c>
      <c r="N56">
        <f t="shared" si="7"/>
        <v>5731.9840692188263</v>
      </c>
      <c r="O56">
        <f t="shared" si="8"/>
        <v>56.540348395045562</v>
      </c>
      <c r="P56">
        <f t="shared" si="5"/>
        <v>5727.538232807593</v>
      </c>
      <c r="R56">
        <f>G41</f>
        <v>5659</v>
      </c>
      <c r="S56">
        <f t="shared" ref="S56" si="13">((R56-N56)^2)^0.5</f>
        <v>72.984069218826335</v>
      </c>
    </row>
    <row r="57" spans="6:19" x14ac:dyDescent="0.2">
      <c r="M57">
        <v>22</v>
      </c>
      <c r="N57">
        <f t="shared" si="7"/>
        <v>5727.538232807593</v>
      </c>
      <c r="O57">
        <f t="shared" si="8"/>
        <v>45.240017862073479</v>
      </c>
      <c r="P57">
        <f t="shared" si="5"/>
        <v>5723.9820096105977</v>
      </c>
    </row>
    <row r="58" spans="6:19" x14ac:dyDescent="0.2">
      <c r="M58">
        <v>23</v>
      </c>
      <c r="N58">
        <f t="shared" si="7"/>
        <v>5723.9820096105977</v>
      </c>
      <c r="O58">
        <f t="shared" si="8"/>
        <v>36.198312112855852</v>
      </c>
      <c r="P58">
        <f t="shared" si="5"/>
        <v>5721.1372114709629</v>
      </c>
      <c r="R58">
        <f>G42</f>
        <v>5344</v>
      </c>
      <c r="S58">
        <f t="shared" ref="S58" si="14">((R58-N58)^2)^0.5</f>
        <v>379.98200961059774</v>
      </c>
    </row>
    <row r="60" spans="6:19" x14ac:dyDescent="0.2">
      <c r="S60">
        <f>SUM(S35:S58)</f>
        <v>2513.8271471994067</v>
      </c>
    </row>
    <row r="61" spans="6:19" x14ac:dyDescent="0.2">
      <c r="F61" t="s">
        <v>7</v>
      </c>
      <c r="G61" t="s">
        <v>83</v>
      </c>
      <c r="H61" t="s">
        <v>85</v>
      </c>
      <c r="I61" t="s">
        <v>84</v>
      </c>
      <c r="J61" t="s">
        <v>95</v>
      </c>
      <c r="L61" t="s">
        <v>107</v>
      </c>
    </row>
    <row r="62" spans="6:19" x14ac:dyDescent="0.2">
      <c r="F62">
        <v>0</v>
      </c>
      <c r="G62">
        <v>8309.6666666666661</v>
      </c>
      <c r="H62">
        <v>8297.5</v>
      </c>
      <c r="I62">
        <v>8144.1006593328157</v>
      </c>
      <c r="J62">
        <v>8309.0376965960713</v>
      </c>
      <c r="L62">
        <v>1039.7372531344424</v>
      </c>
    </row>
    <row r="63" spans="6:19" x14ac:dyDescent="0.2">
      <c r="F63">
        <v>2</v>
      </c>
      <c r="G63">
        <v>6806.666666666667</v>
      </c>
      <c r="H63">
        <v>7946.6802640841688</v>
      </c>
      <c r="I63">
        <v>7821.28379918672</v>
      </c>
      <c r="J63">
        <v>7331.1781304248643</v>
      </c>
      <c r="L63">
        <v>1482.8554286316053</v>
      </c>
    </row>
    <row r="64" spans="6:19" x14ac:dyDescent="0.2">
      <c r="F64">
        <v>8</v>
      </c>
      <c r="G64">
        <v>6933.333333333333</v>
      </c>
      <c r="H64">
        <v>6980.7353666411891</v>
      </c>
      <c r="I64">
        <v>6931.2347369816416</v>
      </c>
      <c r="J64">
        <v>6119.0244241734326</v>
      </c>
      <c r="L64">
        <v>434.81515868495455</v>
      </c>
    </row>
    <row r="65" spans="6:12" x14ac:dyDescent="0.2">
      <c r="F65">
        <v>10</v>
      </c>
      <c r="G65">
        <v>6612.5</v>
      </c>
      <c r="H65">
        <v>6685.5886672951974</v>
      </c>
      <c r="I65">
        <v>6659.96248023516</v>
      </c>
      <c r="J65">
        <v>5970.3674610720782</v>
      </c>
      <c r="L65">
        <v>591.06697308060336</v>
      </c>
    </row>
    <row r="66" spans="6:12" x14ac:dyDescent="0.2">
      <c r="F66">
        <v>15</v>
      </c>
      <c r="G66">
        <v>5794.666666666667</v>
      </c>
      <c r="H66">
        <v>6001.1688861467419</v>
      </c>
      <c r="I66">
        <v>6039.209605223622</v>
      </c>
      <c r="J66">
        <v>5794.6666687851548</v>
      </c>
      <c r="L66">
        <v>1070.2997503295774</v>
      </c>
    </row>
    <row r="67" spans="6:12" x14ac:dyDescent="0.2">
      <c r="F67">
        <v>17</v>
      </c>
      <c r="G67">
        <v>5843.333333333333</v>
      </c>
      <c r="H67">
        <v>5747.4384271139852</v>
      </c>
      <c r="I67">
        <v>5817.18086037988</v>
      </c>
      <c r="J67">
        <v>5764.0541489984525</v>
      </c>
      <c r="L67">
        <v>52.130178932702272</v>
      </c>
    </row>
    <row r="68" spans="6:12" x14ac:dyDescent="0.2">
      <c r="F68">
        <v>21</v>
      </c>
      <c r="G68">
        <v>5659</v>
      </c>
      <c r="H68">
        <v>5271.7072403238644</v>
      </c>
      <c r="I68">
        <v>5447.047085434825</v>
      </c>
      <c r="J68">
        <v>5731.9840692188263</v>
      </c>
      <c r="L68">
        <v>0</v>
      </c>
    </row>
    <row r="69" spans="6:12" x14ac:dyDescent="0.2">
      <c r="F69">
        <v>23</v>
      </c>
      <c r="G69">
        <v>5344</v>
      </c>
      <c r="H69">
        <v>5048.8185459127781</v>
      </c>
      <c r="I69">
        <v>5344.0085372654121</v>
      </c>
      <c r="J69">
        <v>5723.9820096105977</v>
      </c>
      <c r="L69">
        <v>0</v>
      </c>
    </row>
    <row r="71" spans="6:12" x14ac:dyDescent="0.2">
      <c r="H71">
        <f>RSQ($G$62:$G$69,H62:H69)</f>
        <v>0.86176745070027916</v>
      </c>
      <c r="I71">
        <f t="shared" ref="I71:J71" si="15">RSQ($G$62:$G$69,I62:I69)</f>
        <v>0.86360915906129376</v>
      </c>
      <c r="J71">
        <f t="shared" si="15"/>
        <v>0.78550287153860465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C74C9-2140-4AAE-A937-3426125B7781}">
  <dimension ref="B2:X53"/>
  <sheetViews>
    <sheetView workbookViewId="0">
      <selection activeCell="J31" sqref="J31"/>
    </sheetView>
  </sheetViews>
  <sheetFormatPr defaultRowHeight="14.25" x14ac:dyDescent="0.2"/>
  <cols>
    <col min="3" max="3" width="13.25" customWidth="1"/>
    <col min="4" max="4" width="9.375" customWidth="1"/>
  </cols>
  <sheetData>
    <row r="2" spans="2:22" x14ac:dyDescent="0.2">
      <c r="B2" t="s">
        <v>134</v>
      </c>
      <c r="C2" t="s">
        <v>135</v>
      </c>
      <c r="D2" t="s">
        <v>7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3</v>
      </c>
      <c r="M2" t="s">
        <v>41</v>
      </c>
      <c r="N2" t="s">
        <v>122</v>
      </c>
      <c r="O2" t="s">
        <v>49</v>
      </c>
      <c r="S2" t="s">
        <v>140</v>
      </c>
      <c r="T2" t="s">
        <v>142</v>
      </c>
      <c r="U2" t="s">
        <v>3</v>
      </c>
      <c r="V2" t="s">
        <v>122</v>
      </c>
    </row>
    <row r="3" spans="2:22" x14ac:dyDescent="0.2">
      <c r="B3">
        <v>851</v>
      </c>
      <c r="C3" s="5">
        <v>44663</v>
      </c>
      <c r="D3" s="4">
        <v>0</v>
      </c>
      <c r="E3">
        <v>881</v>
      </c>
      <c r="F3">
        <v>2</v>
      </c>
      <c r="G3">
        <v>1005</v>
      </c>
      <c r="H3">
        <v>891</v>
      </c>
      <c r="I3">
        <f>((G3-E3)/F3)*100</f>
        <v>6200</v>
      </c>
      <c r="J3">
        <f>(G3-H3)</f>
        <v>114</v>
      </c>
      <c r="K3">
        <f>(J3/F3)*100</f>
        <v>5700</v>
      </c>
      <c r="L3">
        <v>8420</v>
      </c>
      <c r="M3">
        <v>270</v>
      </c>
      <c r="N3">
        <f>L3-M3</f>
        <v>8150</v>
      </c>
      <c r="S3">
        <v>6200</v>
      </c>
      <c r="T3">
        <v>5700</v>
      </c>
      <c r="U3">
        <v>8420</v>
      </c>
      <c r="V3">
        <v>8150</v>
      </c>
    </row>
    <row r="4" spans="2:22" x14ac:dyDescent="0.2">
      <c r="B4">
        <v>852</v>
      </c>
      <c r="C4" s="5">
        <v>44663</v>
      </c>
      <c r="D4" s="4">
        <v>0</v>
      </c>
      <c r="E4">
        <v>873</v>
      </c>
      <c r="F4">
        <v>2</v>
      </c>
      <c r="G4">
        <v>997</v>
      </c>
      <c r="H4">
        <v>880</v>
      </c>
      <c r="I4">
        <f t="shared" ref="I4:I26" si="0">((G4-E4)/F4)*100</f>
        <v>6200</v>
      </c>
      <c r="J4">
        <f t="shared" ref="J4:J23" si="1">(G4-H4)</f>
        <v>117</v>
      </c>
      <c r="K4">
        <f t="shared" ref="K4:K23" si="2">(J4/F4)*100</f>
        <v>5850</v>
      </c>
      <c r="L4">
        <v>8800</v>
      </c>
      <c r="M4">
        <v>245</v>
      </c>
      <c r="N4">
        <f t="shared" ref="N4:N23" si="3">L4-M4</f>
        <v>8555</v>
      </c>
      <c r="S4">
        <v>6200</v>
      </c>
      <c r="T4">
        <v>5850</v>
      </c>
      <c r="U4">
        <v>8800</v>
      </c>
      <c r="V4">
        <v>8555</v>
      </c>
    </row>
    <row r="5" spans="2:22" x14ac:dyDescent="0.2">
      <c r="B5">
        <v>853</v>
      </c>
      <c r="C5" s="5">
        <v>44663</v>
      </c>
      <c r="D5" s="4">
        <v>0</v>
      </c>
      <c r="E5">
        <v>875</v>
      </c>
      <c r="F5">
        <v>2</v>
      </c>
      <c r="G5">
        <v>975</v>
      </c>
      <c r="H5">
        <v>872</v>
      </c>
      <c r="I5">
        <f t="shared" si="0"/>
        <v>5000</v>
      </c>
      <c r="J5">
        <f t="shared" si="1"/>
        <v>103</v>
      </c>
      <c r="K5">
        <f t="shared" si="2"/>
        <v>5150</v>
      </c>
      <c r="L5">
        <v>7550</v>
      </c>
      <c r="M5">
        <v>110</v>
      </c>
      <c r="N5">
        <f t="shared" si="3"/>
        <v>7440</v>
      </c>
      <c r="S5">
        <v>5000</v>
      </c>
      <c r="T5">
        <v>5150</v>
      </c>
      <c r="U5">
        <v>7550</v>
      </c>
      <c r="V5">
        <v>7440</v>
      </c>
    </row>
    <row r="6" spans="2:22" x14ac:dyDescent="0.2">
      <c r="B6">
        <v>851</v>
      </c>
      <c r="C6" s="5">
        <v>44665</v>
      </c>
      <c r="D6" s="4">
        <f>C6-C3</f>
        <v>2</v>
      </c>
      <c r="E6">
        <v>884</v>
      </c>
      <c r="F6">
        <v>2</v>
      </c>
      <c r="G6">
        <v>1032</v>
      </c>
      <c r="H6">
        <v>896</v>
      </c>
      <c r="I6">
        <f t="shared" si="0"/>
        <v>7400</v>
      </c>
      <c r="J6">
        <f t="shared" si="1"/>
        <v>136</v>
      </c>
      <c r="K6">
        <f t="shared" si="2"/>
        <v>6800</v>
      </c>
      <c r="L6">
        <v>8335</v>
      </c>
      <c r="M6">
        <v>588</v>
      </c>
      <c r="N6">
        <f t="shared" si="3"/>
        <v>7747</v>
      </c>
      <c r="O6">
        <v>6.43</v>
      </c>
      <c r="S6">
        <v>7400</v>
      </c>
      <c r="T6">
        <v>6800</v>
      </c>
      <c r="U6">
        <v>8335</v>
      </c>
      <c r="V6">
        <v>7747</v>
      </c>
    </row>
    <row r="7" spans="2:22" x14ac:dyDescent="0.2">
      <c r="B7">
        <v>852</v>
      </c>
      <c r="C7" s="5">
        <v>44665</v>
      </c>
      <c r="D7" s="4">
        <f t="shared" ref="D7" si="4">C7-C4</f>
        <v>2</v>
      </c>
      <c r="E7">
        <v>872</v>
      </c>
      <c r="F7">
        <v>2</v>
      </c>
      <c r="G7">
        <v>1021</v>
      </c>
      <c r="H7">
        <v>887</v>
      </c>
      <c r="I7">
        <f t="shared" si="0"/>
        <v>7450</v>
      </c>
      <c r="J7">
        <f t="shared" si="1"/>
        <v>134</v>
      </c>
      <c r="K7">
        <f t="shared" si="2"/>
        <v>6700</v>
      </c>
      <c r="L7">
        <v>8305</v>
      </c>
      <c r="M7">
        <v>763.5</v>
      </c>
      <c r="N7">
        <f t="shared" si="3"/>
        <v>7541.5</v>
      </c>
      <c r="O7">
        <v>6.38</v>
      </c>
      <c r="S7">
        <v>7450</v>
      </c>
      <c r="T7">
        <v>6700</v>
      </c>
      <c r="U7">
        <v>8305</v>
      </c>
      <c r="V7">
        <v>7541.5</v>
      </c>
    </row>
    <row r="8" spans="2:22" x14ac:dyDescent="0.2">
      <c r="B8">
        <v>853</v>
      </c>
      <c r="C8" s="5">
        <v>44665</v>
      </c>
      <c r="D8" s="4">
        <f>C8-$C$5</f>
        <v>2</v>
      </c>
      <c r="E8">
        <v>867</v>
      </c>
      <c r="F8">
        <v>2</v>
      </c>
      <c r="G8">
        <v>1004</v>
      </c>
      <c r="H8">
        <v>881</v>
      </c>
      <c r="I8">
        <f t="shared" si="0"/>
        <v>6850</v>
      </c>
      <c r="J8">
        <f t="shared" si="1"/>
        <v>123</v>
      </c>
      <c r="K8">
        <f t="shared" si="2"/>
        <v>6150</v>
      </c>
      <c r="L8">
        <v>8705</v>
      </c>
      <c r="M8">
        <v>161</v>
      </c>
      <c r="N8">
        <f t="shared" si="3"/>
        <v>8544</v>
      </c>
      <c r="O8">
        <v>6.83</v>
      </c>
      <c r="S8">
        <v>6850</v>
      </c>
      <c r="T8">
        <v>6150</v>
      </c>
      <c r="U8">
        <v>8705</v>
      </c>
      <c r="V8">
        <v>8544</v>
      </c>
    </row>
    <row r="9" spans="2:22" x14ac:dyDescent="0.2">
      <c r="B9">
        <v>851</v>
      </c>
      <c r="C9" s="5">
        <v>44671</v>
      </c>
      <c r="D9" s="4">
        <f t="shared" ref="D9:D26" si="5">C9-$C$5</f>
        <v>8</v>
      </c>
      <c r="E9">
        <v>877</v>
      </c>
      <c r="F9">
        <v>2</v>
      </c>
      <c r="G9">
        <v>999</v>
      </c>
      <c r="H9">
        <v>893</v>
      </c>
      <c r="I9">
        <f t="shared" si="0"/>
        <v>6100</v>
      </c>
      <c r="J9">
        <f t="shared" si="1"/>
        <v>106</v>
      </c>
      <c r="K9">
        <f t="shared" si="2"/>
        <v>5300</v>
      </c>
      <c r="L9">
        <v>7975</v>
      </c>
      <c r="M9">
        <v>474</v>
      </c>
      <c r="N9">
        <f t="shared" si="3"/>
        <v>7501</v>
      </c>
      <c r="O9">
        <v>6.28</v>
      </c>
      <c r="S9">
        <v>6100</v>
      </c>
      <c r="T9">
        <v>5300</v>
      </c>
      <c r="U9">
        <v>7975</v>
      </c>
      <c r="V9">
        <v>7501</v>
      </c>
    </row>
    <row r="10" spans="2:22" x14ac:dyDescent="0.2">
      <c r="B10">
        <v>852</v>
      </c>
      <c r="C10" s="5">
        <v>44671</v>
      </c>
      <c r="D10" s="4">
        <f t="shared" si="5"/>
        <v>8</v>
      </c>
      <c r="E10">
        <v>864</v>
      </c>
      <c r="F10">
        <v>2</v>
      </c>
      <c r="G10">
        <v>999</v>
      </c>
      <c r="H10">
        <v>882</v>
      </c>
      <c r="I10">
        <f t="shared" si="0"/>
        <v>6750</v>
      </c>
      <c r="J10">
        <f t="shared" si="1"/>
        <v>117</v>
      </c>
      <c r="K10">
        <f t="shared" si="2"/>
        <v>5850</v>
      </c>
      <c r="L10">
        <v>8745</v>
      </c>
      <c r="M10">
        <v>609</v>
      </c>
      <c r="N10">
        <f t="shared" si="3"/>
        <v>8136</v>
      </c>
      <c r="O10">
        <v>6.1</v>
      </c>
      <c r="S10">
        <v>6750</v>
      </c>
      <c r="T10">
        <v>5850</v>
      </c>
      <c r="U10">
        <v>8745</v>
      </c>
      <c r="V10">
        <v>8136</v>
      </c>
    </row>
    <row r="11" spans="2:22" x14ac:dyDescent="0.2">
      <c r="B11">
        <v>853</v>
      </c>
      <c r="C11" s="5">
        <v>44671</v>
      </c>
      <c r="D11" s="4">
        <f t="shared" si="5"/>
        <v>8</v>
      </c>
      <c r="E11">
        <v>870</v>
      </c>
      <c r="F11">
        <v>2</v>
      </c>
      <c r="G11">
        <v>1011</v>
      </c>
      <c r="H11">
        <v>887</v>
      </c>
      <c r="I11">
        <f t="shared" si="0"/>
        <v>7050</v>
      </c>
      <c r="J11">
        <f t="shared" si="1"/>
        <v>124</v>
      </c>
      <c r="K11">
        <f t="shared" si="2"/>
        <v>6200</v>
      </c>
      <c r="L11">
        <v>9140</v>
      </c>
      <c r="M11">
        <v>470</v>
      </c>
      <c r="N11">
        <f t="shared" si="3"/>
        <v>8670</v>
      </c>
      <c r="O11">
        <v>6.56</v>
      </c>
      <c r="S11">
        <v>7050</v>
      </c>
      <c r="T11">
        <v>6200</v>
      </c>
      <c r="U11">
        <v>9140</v>
      </c>
      <c r="V11">
        <v>8670</v>
      </c>
    </row>
    <row r="12" spans="2:22" x14ac:dyDescent="0.2">
      <c r="B12">
        <v>851</v>
      </c>
      <c r="C12" s="5">
        <v>44673</v>
      </c>
      <c r="D12" s="4">
        <f t="shared" si="5"/>
        <v>10</v>
      </c>
      <c r="E12">
        <v>877</v>
      </c>
      <c r="F12">
        <v>2</v>
      </c>
      <c r="G12">
        <v>999</v>
      </c>
      <c r="H12">
        <v>891</v>
      </c>
      <c r="I12">
        <f t="shared" si="0"/>
        <v>6100</v>
      </c>
      <c r="J12">
        <f t="shared" si="1"/>
        <v>108</v>
      </c>
      <c r="K12">
        <f t="shared" si="2"/>
        <v>5400</v>
      </c>
      <c r="L12">
        <v>8450</v>
      </c>
      <c r="M12">
        <v>438</v>
      </c>
      <c r="N12">
        <f t="shared" si="3"/>
        <v>8012</v>
      </c>
      <c r="O12">
        <v>6.34</v>
      </c>
      <c r="S12">
        <v>6100</v>
      </c>
      <c r="T12">
        <v>5400</v>
      </c>
      <c r="U12">
        <v>8450</v>
      </c>
      <c r="V12">
        <v>8012</v>
      </c>
    </row>
    <row r="13" spans="2:22" x14ac:dyDescent="0.2">
      <c r="B13">
        <v>852</v>
      </c>
      <c r="C13" s="5">
        <v>44673</v>
      </c>
      <c r="D13" s="4">
        <f t="shared" si="5"/>
        <v>10</v>
      </c>
      <c r="E13">
        <v>885</v>
      </c>
      <c r="F13">
        <v>2</v>
      </c>
      <c r="G13">
        <v>1032</v>
      </c>
      <c r="H13">
        <v>899</v>
      </c>
      <c r="I13">
        <f t="shared" si="0"/>
        <v>7350</v>
      </c>
      <c r="J13">
        <f t="shared" si="1"/>
        <v>133</v>
      </c>
      <c r="K13">
        <f t="shared" si="2"/>
        <v>6650</v>
      </c>
      <c r="L13">
        <v>9655</v>
      </c>
      <c r="M13">
        <v>660</v>
      </c>
      <c r="N13">
        <f t="shared" si="3"/>
        <v>8995</v>
      </c>
      <c r="O13">
        <v>6.03</v>
      </c>
      <c r="S13">
        <v>7350</v>
      </c>
      <c r="T13">
        <v>6650</v>
      </c>
      <c r="U13">
        <v>9655</v>
      </c>
      <c r="V13">
        <v>8995</v>
      </c>
    </row>
    <row r="14" spans="2:22" x14ac:dyDescent="0.2">
      <c r="B14">
        <v>853</v>
      </c>
      <c r="C14" s="5">
        <v>44673</v>
      </c>
      <c r="D14" s="4">
        <f t="shared" si="5"/>
        <v>10</v>
      </c>
      <c r="E14">
        <v>891</v>
      </c>
      <c r="F14">
        <v>2</v>
      </c>
      <c r="G14">
        <v>1021</v>
      </c>
      <c r="H14">
        <v>901</v>
      </c>
      <c r="I14">
        <f t="shared" si="0"/>
        <v>6500</v>
      </c>
      <c r="J14">
        <f t="shared" si="1"/>
        <v>120</v>
      </c>
      <c r="K14">
        <f t="shared" si="2"/>
        <v>6000</v>
      </c>
      <c r="L14">
        <v>9345</v>
      </c>
      <c r="M14">
        <v>457.5</v>
      </c>
      <c r="N14">
        <f t="shared" si="3"/>
        <v>8887.5</v>
      </c>
      <c r="O14">
        <v>6.44</v>
      </c>
      <c r="S14">
        <v>6500</v>
      </c>
      <c r="T14">
        <v>6000</v>
      </c>
      <c r="U14">
        <v>9345</v>
      </c>
      <c r="V14">
        <v>8887.5</v>
      </c>
    </row>
    <row r="15" spans="2:22" x14ac:dyDescent="0.2">
      <c r="B15">
        <v>851</v>
      </c>
      <c r="C15" s="5">
        <v>44678</v>
      </c>
      <c r="D15" s="4">
        <f t="shared" si="5"/>
        <v>15</v>
      </c>
      <c r="E15">
        <v>879</v>
      </c>
      <c r="F15">
        <v>3</v>
      </c>
      <c r="G15">
        <v>1077</v>
      </c>
      <c r="H15">
        <v>902</v>
      </c>
      <c r="I15">
        <f t="shared" si="0"/>
        <v>6600</v>
      </c>
      <c r="J15">
        <f t="shared" si="1"/>
        <v>175</v>
      </c>
      <c r="K15">
        <f t="shared" si="2"/>
        <v>5833.3333333333339</v>
      </c>
      <c r="L15">
        <v>8500</v>
      </c>
      <c r="M15">
        <v>524</v>
      </c>
      <c r="N15">
        <f t="shared" si="3"/>
        <v>7976</v>
      </c>
      <c r="O15">
        <v>7.04</v>
      </c>
      <c r="S15">
        <v>6600</v>
      </c>
      <c r="T15">
        <v>5833.3333333333339</v>
      </c>
      <c r="U15">
        <v>8500</v>
      </c>
      <c r="V15">
        <v>7976</v>
      </c>
    </row>
    <row r="16" spans="2:22" x14ac:dyDescent="0.2">
      <c r="B16">
        <v>852</v>
      </c>
      <c r="C16" s="5">
        <v>44678</v>
      </c>
      <c r="D16" s="4">
        <f t="shared" si="5"/>
        <v>15</v>
      </c>
      <c r="E16">
        <v>871</v>
      </c>
      <c r="F16">
        <v>3</v>
      </c>
      <c r="G16">
        <v>1059</v>
      </c>
      <c r="H16">
        <v>891</v>
      </c>
      <c r="I16">
        <f t="shared" si="0"/>
        <v>6266.6666666666661</v>
      </c>
      <c r="J16">
        <f t="shared" si="1"/>
        <v>168</v>
      </c>
      <c r="K16">
        <f t="shared" si="2"/>
        <v>5600</v>
      </c>
      <c r="L16">
        <v>8445</v>
      </c>
      <c r="M16">
        <v>838</v>
      </c>
      <c r="N16">
        <f t="shared" si="3"/>
        <v>7607</v>
      </c>
      <c r="O16">
        <v>6.45</v>
      </c>
      <c r="S16">
        <v>6266.6666666666661</v>
      </c>
      <c r="T16">
        <v>5600</v>
      </c>
      <c r="U16">
        <v>8445</v>
      </c>
      <c r="V16">
        <v>7607</v>
      </c>
    </row>
    <row r="17" spans="2:22" x14ac:dyDescent="0.2">
      <c r="B17">
        <v>853</v>
      </c>
      <c r="C17" s="5">
        <v>44678</v>
      </c>
      <c r="D17" s="4">
        <f t="shared" si="5"/>
        <v>15</v>
      </c>
      <c r="E17">
        <v>872</v>
      </c>
      <c r="F17">
        <v>3</v>
      </c>
      <c r="G17">
        <v>1064</v>
      </c>
      <c r="H17">
        <v>894</v>
      </c>
      <c r="I17">
        <f t="shared" si="0"/>
        <v>6400</v>
      </c>
      <c r="J17">
        <f t="shared" si="1"/>
        <v>170</v>
      </c>
      <c r="K17">
        <f t="shared" si="2"/>
        <v>5666.6666666666661</v>
      </c>
      <c r="L17">
        <v>8525</v>
      </c>
      <c r="M17">
        <v>884</v>
      </c>
      <c r="N17">
        <f t="shared" si="3"/>
        <v>7641</v>
      </c>
      <c r="O17">
        <v>6.56</v>
      </c>
      <c r="S17">
        <v>6400</v>
      </c>
      <c r="T17">
        <v>5666.6666666666661</v>
      </c>
      <c r="U17">
        <v>8525</v>
      </c>
      <c r="V17">
        <v>7641</v>
      </c>
    </row>
    <row r="18" spans="2:22" x14ac:dyDescent="0.2">
      <c r="B18">
        <v>851</v>
      </c>
      <c r="C18" s="5">
        <v>44680</v>
      </c>
      <c r="D18" s="4">
        <f t="shared" si="5"/>
        <v>17</v>
      </c>
      <c r="E18">
        <v>871</v>
      </c>
      <c r="F18">
        <v>3</v>
      </c>
      <c r="G18">
        <v>1054</v>
      </c>
      <c r="H18">
        <v>891</v>
      </c>
      <c r="I18">
        <f t="shared" si="0"/>
        <v>6100</v>
      </c>
      <c r="J18">
        <f t="shared" si="1"/>
        <v>163</v>
      </c>
      <c r="K18">
        <f t="shared" si="2"/>
        <v>5433.3333333333339</v>
      </c>
      <c r="L18">
        <v>7780</v>
      </c>
      <c r="M18">
        <v>337</v>
      </c>
      <c r="N18">
        <f t="shared" si="3"/>
        <v>7443</v>
      </c>
      <c r="O18">
        <v>7.31</v>
      </c>
      <c r="S18">
        <v>6100</v>
      </c>
      <c r="T18">
        <v>5433.3333333333339</v>
      </c>
      <c r="U18">
        <v>7780</v>
      </c>
      <c r="V18">
        <v>7443</v>
      </c>
    </row>
    <row r="19" spans="2:22" x14ac:dyDescent="0.2">
      <c r="B19">
        <v>852</v>
      </c>
      <c r="C19" s="5">
        <v>44680</v>
      </c>
      <c r="D19" s="4">
        <f t="shared" si="5"/>
        <v>17</v>
      </c>
      <c r="E19">
        <v>876</v>
      </c>
      <c r="F19">
        <v>3</v>
      </c>
      <c r="G19">
        <v>1072</v>
      </c>
      <c r="H19">
        <v>899</v>
      </c>
      <c r="I19">
        <f t="shared" si="0"/>
        <v>6533.333333333333</v>
      </c>
      <c r="J19">
        <f t="shared" si="1"/>
        <v>173</v>
      </c>
      <c r="K19">
        <f t="shared" si="2"/>
        <v>5766.6666666666661</v>
      </c>
      <c r="L19">
        <v>8140</v>
      </c>
      <c r="M19">
        <v>784</v>
      </c>
      <c r="N19">
        <f t="shared" si="3"/>
        <v>7356</v>
      </c>
      <c r="O19">
        <v>6.53</v>
      </c>
      <c r="S19">
        <v>6533.333333333333</v>
      </c>
      <c r="T19">
        <v>5766.6666666666661</v>
      </c>
      <c r="U19">
        <v>8140</v>
      </c>
      <c r="V19">
        <v>7356</v>
      </c>
    </row>
    <row r="20" spans="2:22" x14ac:dyDescent="0.2">
      <c r="B20">
        <v>853</v>
      </c>
      <c r="C20" s="5">
        <v>44680</v>
      </c>
      <c r="D20" s="4">
        <f t="shared" si="5"/>
        <v>17</v>
      </c>
      <c r="E20">
        <v>873</v>
      </c>
      <c r="F20">
        <v>3</v>
      </c>
      <c r="G20">
        <v>1065</v>
      </c>
      <c r="H20">
        <v>900</v>
      </c>
      <c r="I20">
        <f t="shared" si="0"/>
        <v>6400</v>
      </c>
      <c r="J20">
        <f t="shared" si="1"/>
        <v>165</v>
      </c>
      <c r="K20">
        <f t="shared" si="2"/>
        <v>5500</v>
      </c>
      <c r="L20">
        <v>8360</v>
      </c>
      <c r="M20">
        <v>867</v>
      </c>
      <c r="N20">
        <f t="shared" si="3"/>
        <v>7493</v>
      </c>
      <c r="O20">
        <v>6.79</v>
      </c>
      <c r="S20">
        <v>6400</v>
      </c>
      <c r="T20">
        <v>5500</v>
      </c>
      <c r="U20">
        <v>8360</v>
      </c>
      <c r="V20">
        <v>7493</v>
      </c>
    </row>
    <row r="21" spans="2:22" x14ac:dyDescent="0.2">
      <c r="B21">
        <v>851</v>
      </c>
      <c r="C21" s="5">
        <v>44684</v>
      </c>
      <c r="D21" s="4">
        <f t="shared" si="5"/>
        <v>21</v>
      </c>
      <c r="E21">
        <v>866</v>
      </c>
      <c r="F21">
        <v>3</v>
      </c>
      <c r="G21">
        <v>1051</v>
      </c>
      <c r="H21">
        <v>881</v>
      </c>
      <c r="I21">
        <f t="shared" si="0"/>
        <v>6166.6666666666661</v>
      </c>
      <c r="J21">
        <f t="shared" si="1"/>
        <v>170</v>
      </c>
      <c r="K21">
        <f t="shared" si="2"/>
        <v>5666.6666666666661</v>
      </c>
      <c r="L21">
        <v>7760</v>
      </c>
      <c r="M21">
        <v>337</v>
      </c>
      <c r="N21">
        <f t="shared" si="3"/>
        <v>7423</v>
      </c>
      <c r="S21">
        <v>6166.6666666666661</v>
      </c>
      <c r="T21">
        <v>5666.6666666666661</v>
      </c>
      <c r="U21">
        <v>7760</v>
      </c>
    </row>
    <row r="22" spans="2:22" x14ac:dyDescent="0.2">
      <c r="B22">
        <v>852</v>
      </c>
      <c r="C22" s="5">
        <v>44684</v>
      </c>
      <c r="D22" s="4">
        <f t="shared" si="5"/>
        <v>21</v>
      </c>
      <c r="E22">
        <v>863</v>
      </c>
      <c r="F22">
        <v>3</v>
      </c>
      <c r="G22">
        <v>1067</v>
      </c>
      <c r="H22">
        <v>894</v>
      </c>
      <c r="I22">
        <f t="shared" si="0"/>
        <v>6800</v>
      </c>
      <c r="J22">
        <f t="shared" si="1"/>
        <v>173</v>
      </c>
      <c r="K22">
        <f t="shared" si="2"/>
        <v>5766.6666666666661</v>
      </c>
      <c r="L22">
        <v>8355</v>
      </c>
      <c r="M22">
        <v>784</v>
      </c>
      <c r="N22">
        <f t="shared" si="3"/>
        <v>7571</v>
      </c>
      <c r="S22">
        <v>6800</v>
      </c>
      <c r="T22">
        <v>5766.6666666666661</v>
      </c>
      <c r="U22">
        <v>8355</v>
      </c>
    </row>
    <row r="23" spans="2:22" x14ac:dyDescent="0.2">
      <c r="B23">
        <v>853</v>
      </c>
      <c r="C23" s="5">
        <v>44684</v>
      </c>
      <c r="D23" s="4">
        <f t="shared" si="5"/>
        <v>21</v>
      </c>
      <c r="E23">
        <v>869</v>
      </c>
      <c r="F23">
        <v>3</v>
      </c>
      <c r="G23">
        <v>1065</v>
      </c>
      <c r="H23">
        <v>907</v>
      </c>
      <c r="I23">
        <f t="shared" si="0"/>
        <v>6533.333333333333</v>
      </c>
      <c r="J23">
        <f t="shared" si="1"/>
        <v>158</v>
      </c>
      <c r="K23">
        <f t="shared" si="2"/>
        <v>5266.6666666666661</v>
      </c>
      <c r="L23">
        <v>8760</v>
      </c>
      <c r="M23">
        <v>867</v>
      </c>
      <c r="N23">
        <f t="shared" si="3"/>
        <v>7893</v>
      </c>
      <c r="S23">
        <v>6533.333333333333</v>
      </c>
      <c r="T23">
        <v>5266.6666666666661</v>
      </c>
      <c r="U23">
        <v>8760</v>
      </c>
    </row>
    <row r="24" spans="2:22" x14ac:dyDescent="0.2">
      <c r="B24">
        <v>851</v>
      </c>
      <c r="C24" s="5">
        <v>44686</v>
      </c>
      <c r="D24" s="4">
        <f t="shared" si="5"/>
        <v>23</v>
      </c>
      <c r="E24">
        <v>881</v>
      </c>
      <c r="F24">
        <v>2</v>
      </c>
      <c r="G24">
        <v>992</v>
      </c>
      <c r="I24">
        <f t="shared" si="0"/>
        <v>5550</v>
      </c>
      <c r="L24">
        <v>8670</v>
      </c>
      <c r="O24">
        <v>6.71</v>
      </c>
      <c r="S24">
        <v>5550</v>
      </c>
      <c r="U24">
        <v>8670</v>
      </c>
    </row>
    <row r="25" spans="2:22" x14ac:dyDescent="0.2">
      <c r="B25">
        <v>852</v>
      </c>
      <c r="C25" s="5">
        <v>44686</v>
      </c>
      <c r="D25" s="4">
        <f t="shared" si="5"/>
        <v>23</v>
      </c>
      <c r="E25">
        <v>883</v>
      </c>
      <c r="F25">
        <v>2</v>
      </c>
      <c r="G25">
        <v>1002</v>
      </c>
      <c r="I25">
        <f t="shared" si="0"/>
        <v>5950</v>
      </c>
      <c r="L25">
        <v>8640</v>
      </c>
      <c r="O25">
        <v>5.88</v>
      </c>
      <c r="S25">
        <v>5950</v>
      </c>
      <c r="U25">
        <v>8640</v>
      </c>
    </row>
    <row r="26" spans="2:22" x14ac:dyDescent="0.2">
      <c r="B26">
        <v>853</v>
      </c>
      <c r="C26" s="5">
        <v>44686</v>
      </c>
      <c r="D26" s="4">
        <f t="shared" si="5"/>
        <v>23</v>
      </c>
      <c r="E26">
        <v>880</v>
      </c>
      <c r="F26">
        <v>2</v>
      </c>
      <c r="G26">
        <v>1005</v>
      </c>
      <c r="I26">
        <f t="shared" si="0"/>
        <v>6250</v>
      </c>
      <c r="L26">
        <v>9025</v>
      </c>
      <c r="O26">
        <v>6.41</v>
      </c>
      <c r="S26">
        <v>6250</v>
      </c>
      <c r="U26">
        <v>9025</v>
      </c>
    </row>
    <row r="28" spans="2:22" x14ac:dyDescent="0.2">
      <c r="D28" t="s">
        <v>50</v>
      </c>
    </row>
    <row r="34" spans="3:24" x14ac:dyDescent="0.2">
      <c r="E34" s="9" t="s">
        <v>120</v>
      </c>
      <c r="F34" s="9"/>
      <c r="G34" s="9"/>
      <c r="H34" s="9"/>
      <c r="I34" s="9"/>
      <c r="J34" s="9" t="s">
        <v>121</v>
      </c>
      <c r="K34" s="9"/>
      <c r="L34" s="9"/>
      <c r="M34" s="9"/>
      <c r="N34" s="9"/>
      <c r="O34" s="9" t="s">
        <v>3</v>
      </c>
      <c r="P34" s="9"/>
      <c r="Q34" s="9"/>
      <c r="R34" s="9"/>
      <c r="S34" s="9"/>
      <c r="T34" s="9" t="s">
        <v>122</v>
      </c>
      <c r="U34" s="9"/>
      <c r="V34" s="9"/>
      <c r="W34" s="9"/>
      <c r="X34" s="9"/>
    </row>
    <row r="35" spans="3:24" x14ac:dyDescent="0.2">
      <c r="E35" t="s">
        <v>143</v>
      </c>
      <c r="F35" t="s">
        <v>144</v>
      </c>
      <c r="G35" t="s">
        <v>145</v>
      </c>
      <c r="H35" t="s">
        <v>83</v>
      </c>
      <c r="I35" t="s">
        <v>107</v>
      </c>
      <c r="J35" t="s">
        <v>143</v>
      </c>
      <c r="K35" t="s">
        <v>144</v>
      </c>
      <c r="L35" t="s">
        <v>145</v>
      </c>
      <c r="M35" t="s">
        <v>83</v>
      </c>
      <c r="N35" t="s">
        <v>107</v>
      </c>
      <c r="O35" t="s">
        <v>143</v>
      </c>
      <c r="P35" t="s">
        <v>144</v>
      </c>
      <c r="Q35" t="s">
        <v>145</v>
      </c>
      <c r="R35" t="s">
        <v>83</v>
      </c>
      <c r="S35" t="s">
        <v>107</v>
      </c>
      <c r="T35" t="s">
        <v>143</v>
      </c>
      <c r="U35" t="s">
        <v>144</v>
      </c>
      <c r="V35" t="s">
        <v>145</v>
      </c>
      <c r="W35" t="s">
        <v>83</v>
      </c>
      <c r="X35" t="s">
        <v>107</v>
      </c>
    </row>
    <row r="36" spans="3:24" x14ac:dyDescent="0.2">
      <c r="C36" s="5">
        <f>'[6]T10- 35 rpm'!C33</f>
        <v>44663</v>
      </c>
      <c r="D36" s="4">
        <v>0</v>
      </c>
      <c r="E36">
        <v>6200</v>
      </c>
      <c r="F36">
        <v>6200</v>
      </c>
      <c r="G36">
        <v>5000</v>
      </c>
      <c r="J36">
        <v>5700</v>
      </c>
      <c r="K36">
        <v>5850</v>
      </c>
      <c r="L36">
        <v>5150</v>
      </c>
      <c r="M36">
        <f>AVERAGE(J36:L36)</f>
        <v>5566.666666666667</v>
      </c>
      <c r="O36">
        <v>8420</v>
      </c>
      <c r="P36">
        <v>8800</v>
      </c>
      <c r="Q36">
        <v>7550</v>
      </c>
      <c r="T36">
        <v>8150</v>
      </c>
      <c r="U36">
        <v>8555</v>
      </c>
      <c r="V36">
        <v>7440</v>
      </c>
      <c r="W36">
        <f>AVERAGE(T36:V36)</f>
        <v>8048.333333333333</v>
      </c>
      <c r="X36">
        <f>_xlfn.STDEV.P(T36:V36)</f>
        <v>460.83860756475497</v>
      </c>
    </row>
    <row r="37" spans="3:24" x14ac:dyDescent="0.2">
      <c r="C37" s="5">
        <f>'[6]T10- 35 rpm'!C34</f>
        <v>44665</v>
      </c>
      <c r="D37" s="4">
        <v>2</v>
      </c>
      <c r="E37">
        <v>7400</v>
      </c>
      <c r="F37">
        <v>7450</v>
      </c>
      <c r="G37">
        <v>6850</v>
      </c>
      <c r="J37">
        <v>6800</v>
      </c>
      <c r="K37">
        <v>6700</v>
      </c>
      <c r="L37">
        <v>6150</v>
      </c>
      <c r="O37">
        <v>8335</v>
      </c>
      <c r="P37">
        <v>8305</v>
      </c>
      <c r="Q37">
        <v>8705</v>
      </c>
      <c r="T37">
        <v>7747</v>
      </c>
      <c r="U37">
        <v>7541.5</v>
      </c>
      <c r="V37">
        <v>8544</v>
      </c>
      <c r="W37">
        <f t="shared" ref="W37:W42" si="6">AVERAGE(T37:V37)</f>
        <v>7944.166666666667</v>
      </c>
      <c r="X37">
        <f t="shared" ref="X37:X42" si="7">_xlfn.STDEV.P(T37:V37)</f>
        <v>432.36372291033956</v>
      </c>
    </row>
    <row r="38" spans="3:24" x14ac:dyDescent="0.2">
      <c r="C38" s="5">
        <f>'[6]T10- 35 rpm'!C35</f>
        <v>44671</v>
      </c>
      <c r="D38" s="4">
        <v>8</v>
      </c>
      <c r="E38">
        <v>6100</v>
      </c>
      <c r="F38">
        <v>6750</v>
      </c>
      <c r="G38">
        <v>7050</v>
      </c>
      <c r="J38">
        <v>5300</v>
      </c>
      <c r="K38">
        <v>5850</v>
      </c>
      <c r="L38">
        <v>6200</v>
      </c>
      <c r="O38">
        <v>7975</v>
      </c>
      <c r="P38">
        <v>8745</v>
      </c>
      <c r="Q38">
        <v>9140</v>
      </c>
      <c r="T38">
        <v>7501</v>
      </c>
      <c r="U38">
        <v>8136</v>
      </c>
      <c r="V38">
        <v>8670</v>
      </c>
      <c r="W38">
        <f t="shared" si="6"/>
        <v>8102.333333333333</v>
      </c>
      <c r="X38">
        <f t="shared" si="7"/>
        <v>477.83562957243873</v>
      </c>
    </row>
    <row r="39" spans="3:24" x14ac:dyDescent="0.2">
      <c r="C39" s="5">
        <f>'[6]T10- 35 rpm'!C36</f>
        <v>44673</v>
      </c>
      <c r="D39" s="4">
        <v>10</v>
      </c>
      <c r="E39">
        <v>6100</v>
      </c>
      <c r="F39">
        <v>7350</v>
      </c>
      <c r="G39">
        <v>6500</v>
      </c>
      <c r="J39">
        <v>5400</v>
      </c>
      <c r="K39">
        <v>6650</v>
      </c>
      <c r="L39">
        <v>6000</v>
      </c>
      <c r="O39">
        <v>8450</v>
      </c>
      <c r="P39">
        <v>9655</v>
      </c>
      <c r="Q39">
        <v>9345</v>
      </c>
      <c r="T39">
        <v>8012</v>
      </c>
      <c r="U39">
        <v>8995</v>
      </c>
      <c r="V39">
        <v>8887.5</v>
      </c>
      <c r="W39">
        <f t="shared" si="6"/>
        <v>8631.5</v>
      </c>
      <c r="X39">
        <f t="shared" si="7"/>
        <v>440.24557540839254</v>
      </c>
    </row>
    <row r="40" spans="3:24" x14ac:dyDescent="0.2">
      <c r="C40" s="5">
        <f>'[6]T10- 35 rpm'!C37</f>
        <v>44678</v>
      </c>
      <c r="D40" s="4">
        <v>15</v>
      </c>
      <c r="E40">
        <v>6600</v>
      </c>
      <c r="F40">
        <v>6266.6666666666661</v>
      </c>
      <c r="G40">
        <v>6400</v>
      </c>
      <c r="J40">
        <v>5833.3333333333339</v>
      </c>
      <c r="K40">
        <v>5600</v>
      </c>
      <c r="L40">
        <v>5666.6666666666661</v>
      </c>
      <c r="O40">
        <v>8500</v>
      </c>
      <c r="P40">
        <v>8445</v>
      </c>
      <c r="Q40">
        <v>8525</v>
      </c>
      <c r="T40">
        <v>7976</v>
      </c>
      <c r="U40">
        <v>7607</v>
      </c>
      <c r="V40">
        <v>7641</v>
      </c>
      <c r="W40">
        <f t="shared" si="6"/>
        <v>7741.333333333333</v>
      </c>
      <c r="X40">
        <f t="shared" si="7"/>
        <v>166.51393001454531</v>
      </c>
    </row>
    <row r="41" spans="3:24" x14ac:dyDescent="0.2">
      <c r="C41" s="5">
        <f>'[6]T10- 35 rpm'!C38</f>
        <v>44680</v>
      </c>
      <c r="D41" s="4">
        <v>17</v>
      </c>
      <c r="E41">
        <v>6100</v>
      </c>
      <c r="F41">
        <v>6533.333333333333</v>
      </c>
      <c r="G41">
        <v>6400</v>
      </c>
      <c r="J41">
        <v>5433.3333333333339</v>
      </c>
      <c r="K41">
        <v>5766.6666666666661</v>
      </c>
      <c r="L41">
        <v>5500</v>
      </c>
      <c r="O41">
        <v>7780</v>
      </c>
      <c r="P41">
        <v>8140</v>
      </c>
      <c r="Q41">
        <v>8360</v>
      </c>
      <c r="T41">
        <v>7443</v>
      </c>
      <c r="U41">
        <v>7356</v>
      </c>
      <c r="V41">
        <v>7493</v>
      </c>
      <c r="W41">
        <f t="shared" si="6"/>
        <v>7430.666666666667</v>
      </c>
      <c r="X41">
        <f t="shared" si="7"/>
        <v>56.60584971734125</v>
      </c>
    </row>
    <row r="42" spans="3:24" x14ac:dyDescent="0.2">
      <c r="C42" s="5">
        <f>'[6]T10- 35 rpm'!C39</f>
        <v>44684</v>
      </c>
      <c r="D42" s="4">
        <v>21</v>
      </c>
      <c r="E42">
        <v>6166.6666666666661</v>
      </c>
      <c r="F42">
        <v>6800</v>
      </c>
      <c r="G42">
        <v>6533.333333333333</v>
      </c>
      <c r="J42">
        <v>5666.6666666666661</v>
      </c>
      <c r="K42">
        <v>5766.6666666666661</v>
      </c>
      <c r="L42">
        <v>5266.6666666666661</v>
      </c>
      <c r="O42">
        <v>7760</v>
      </c>
      <c r="P42">
        <v>8355</v>
      </c>
      <c r="Q42">
        <v>8760</v>
      </c>
      <c r="T42">
        <v>7423</v>
      </c>
      <c r="U42">
        <v>7571</v>
      </c>
      <c r="V42">
        <v>7893</v>
      </c>
      <c r="W42">
        <f t="shared" si="6"/>
        <v>7629</v>
      </c>
      <c r="X42">
        <f t="shared" si="7"/>
        <v>196.21077102612554</v>
      </c>
    </row>
    <row r="43" spans="3:24" x14ac:dyDescent="0.2">
      <c r="C43" s="5">
        <f>'[6]T10- 35 rpm'!C40</f>
        <v>44686</v>
      </c>
      <c r="D43" s="4">
        <v>23</v>
      </c>
      <c r="E43">
        <v>5550</v>
      </c>
      <c r="F43">
        <v>5950</v>
      </c>
      <c r="G43">
        <v>6250</v>
      </c>
      <c r="O43">
        <v>8670</v>
      </c>
      <c r="P43">
        <v>8640</v>
      </c>
      <c r="Q43">
        <v>9025</v>
      </c>
    </row>
    <row r="46" spans="3:24" x14ac:dyDescent="0.2">
      <c r="E46" t="s">
        <v>101</v>
      </c>
      <c r="F46">
        <v>3.3E-3</v>
      </c>
      <c r="K46">
        <f>$F$50*EXP(-$F$46*$D36)</f>
        <v>8191.7</v>
      </c>
    </row>
    <row r="47" spans="3:24" x14ac:dyDescent="0.2">
      <c r="E47" t="s">
        <v>69</v>
      </c>
      <c r="F47">
        <v>2.0999999999999999E-3</v>
      </c>
      <c r="K47">
        <f t="shared" ref="K47:K53" si="8">$F$50*EXP(-$F$46*$D37)</f>
        <v>8137.8128033592957</v>
      </c>
    </row>
    <row r="48" spans="3:24" x14ac:dyDescent="0.2">
      <c r="E48" t="s">
        <v>70</v>
      </c>
      <c r="F48">
        <v>8.6999999999999994E-3</v>
      </c>
      <c r="K48">
        <f t="shared" si="8"/>
        <v>7978.2688076783061</v>
      </c>
    </row>
    <row r="49" spans="5:11" x14ac:dyDescent="0.2">
      <c r="K49">
        <f t="shared" si="8"/>
        <v>7925.7856185854735</v>
      </c>
    </row>
    <row r="50" spans="5:11" x14ac:dyDescent="0.2">
      <c r="E50" t="s">
        <v>146</v>
      </c>
      <c r="F50">
        <v>8191.7</v>
      </c>
      <c r="K50">
        <f t="shared" si="8"/>
        <v>7796.0831439064568</v>
      </c>
    </row>
    <row r="51" spans="5:11" x14ac:dyDescent="0.2">
      <c r="E51" t="s">
        <v>147</v>
      </c>
      <c r="F51">
        <v>7729.2</v>
      </c>
      <c r="K51">
        <f t="shared" si="8"/>
        <v>7744.798420905985</v>
      </c>
    </row>
    <row r="52" spans="5:11" x14ac:dyDescent="0.2">
      <c r="E52" t="s">
        <v>148</v>
      </c>
      <c r="F52">
        <v>8654.2000000000007</v>
      </c>
      <c r="K52">
        <f t="shared" si="8"/>
        <v>7643.2388495615933</v>
      </c>
    </row>
    <row r="53" spans="5:11" x14ac:dyDescent="0.2">
      <c r="K53">
        <f t="shared" si="8"/>
        <v>7592.9595772666853</v>
      </c>
    </row>
  </sheetData>
  <mergeCells count="4">
    <mergeCell ref="E34:I34"/>
    <mergeCell ref="J34:N34"/>
    <mergeCell ref="O34:S34"/>
    <mergeCell ref="T34:X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F1FB-5A4E-4682-8C89-1C97A3184D64}">
  <dimension ref="A2:AD72"/>
  <sheetViews>
    <sheetView tabSelected="1" workbookViewId="0">
      <selection activeCell="K19" sqref="K19"/>
    </sheetView>
  </sheetViews>
  <sheetFormatPr defaultRowHeight="14.25" x14ac:dyDescent="0.2"/>
  <sheetData>
    <row r="2" spans="1:30" x14ac:dyDescent="0.2">
      <c r="A2" t="s">
        <v>79</v>
      </c>
      <c r="B2">
        <v>1.2552407367842315</v>
      </c>
    </row>
    <row r="3" spans="1:30" x14ac:dyDescent="0.2">
      <c r="A3" t="s">
        <v>80</v>
      </c>
      <c r="B3">
        <v>471.05637262227788</v>
      </c>
      <c r="U3" t="s">
        <v>79</v>
      </c>
      <c r="V3">
        <v>1.2552407367842315</v>
      </c>
      <c r="X3">
        <v>0.58339023169602522</v>
      </c>
      <c r="Y3">
        <v>1.9503803193157805</v>
      </c>
      <c r="AA3">
        <f>V3-X3</f>
        <v>0.67185050508820632</v>
      </c>
      <c r="AB3">
        <f>Y3-V3</f>
        <v>0.69513958253154895</v>
      </c>
      <c r="AD3">
        <f>AVERAGE(AA3:AB3)</f>
        <v>0.68349504380987769</v>
      </c>
    </row>
    <row r="4" spans="1:30" x14ac:dyDescent="0.2">
      <c r="A4" t="s">
        <v>81</v>
      </c>
      <c r="B4">
        <v>0.1</v>
      </c>
      <c r="U4" t="s">
        <v>80</v>
      </c>
      <c r="V4">
        <v>471.05637262227788</v>
      </c>
      <c r="X4">
        <v>299.11064301235643</v>
      </c>
      <c r="Y4">
        <v>1035.5464324702775</v>
      </c>
    </row>
    <row r="5" spans="1:30" x14ac:dyDescent="0.2">
      <c r="A5" t="s">
        <v>82</v>
      </c>
      <c r="B5">
        <f>0.008*24</f>
        <v>0.192</v>
      </c>
      <c r="F5" t="s">
        <v>7</v>
      </c>
      <c r="G5" t="s">
        <v>83</v>
      </c>
      <c r="H5" t="s">
        <v>84</v>
      </c>
      <c r="I5" t="s">
        <v>85</v>
      </c>
      <c r="N5" t="s">
        <v>86</v>
      </c>
      <c r="O5" t="s">
        <v>87</v>
      </c>
      <c r="P5" t="s">
        <v>88</v>
      </c>
      <c r="S5" t="s">
        <v>89</v>
      </c>
      <c r="U5" t="s">
        <v>81</v>
      </c>
      <c r="V5">
        <v>0.1</v>
      </c>
    </row>
    <row r="6" spans="1:30" x14ac:dyDescent="0.2">
      <c r="A6" t="s">
        <v>90</v>
      </c>
      <c r="B6">
        <v>6150</v>
      </c>
      <c r="F6">
        <v>0</v>
      </c>
      <c r="G6">
        <v>8048.333333333333</v>
      </c>
      <c r="H6">
        <f>N6</f>
        <v>8048.5120273411621</v>
      </c>
      <c r="I6">
        <v>8191.7</v>
      </c>
      <c r="M6">
        <v>0</v>
      </c>
      <c r="N6">
        <f>B7</f>
        <v>8048.5120273411621</v>
      </c>
      <c r="O6">
        <f>B6</f>
        <v>6150</v>
      </c>
      <c r="R6">
        <f>G6</f>
        <v>8048.333333333333</v>
      </c>
      <c r="S6">
        <f t="shared" ref="S6:S27" si="0">((R6-N6)^2)^0.5</f>
        <v>0.17869400782910816</v>
      </c>
      <c r="U6" t="s">
        <v>82</v>
      </c>
      <c r="V6">
        <v>0.192</v>
      </c>
    </row>
    <row r="7" spans="1:30" x14ac:dyDescent="0.2">
      <c r="A7" t="s">
        <v>91</v>
      </c>
      <c r="B7">
        <v>8048.5120273411621</v>
      </c>
      <c r="F7">
        <v>2</v>
      </c>
      <c r="G7">
        <v>7944.166666666667</v>
      </c>
      <c r="H7">
        <f>N8</f>
        <v>8005.8072583402191</v>
      </c>
      <c r="I7">
        <v>8137.8128033592957</v>
      </c>
      <c r="M7">
        <v>1</v>
      </c>
      <c r="N7">
        <f>B7-B2*B6*(B7/(B3*B6+B7))</f>
        <v>8027.1242899144872</v>
      </c>
      <c r="O7">
        <f>B6+$B$4*(N7-N6)-$B$5*O6</f>
        <v>4967.0612262573322</v>
      </c>
      <c r="P7">
        <f>N7-$B$2*O7*(N7/($B$3*O7+N7))</f>
        <v>8005.8072583402191</v>
      </c>
      <c r="U7" t="s">
        <v>90</v>
      </c>
      <c r="V7">
        <v>6150</v>
      </c>
    </row>
    <row r="8" spans="1:30" x14ac:dyDescent="0.2">
      <c r="A8" t="s">
        <v>92</v>
      </c>
      <c r="B8">
        <f>S31</f>
        <v>1350.0655145462633</v>
      </c>
      <c r="F8">
        <v>8</v>
      </c>
      <c r="G8">
        <v>8102.333333333333</v>
      </c>
      <c r="H8">
        <f>N14</f>
        <v>7879.616857081689</v>
      </c>
      <c r="I8">
        <v>7978.2688076783061</v>
      </c>
      <c r="M8">
        <v>2</v>
      </c>
      <c r="N8">
        <f>P7</f>
        <v>8005.8072583402191</v>
      </c>
      <c r="O8">
        <f>O7+$B$4*(N8-N7)-$B$5*O7</f>
        <v>4011.2537676584971</v>
      </c>
      <c r="P8">
        <f>N8-$B$2*O8*(N8/($B$3*O8+N8))</f>
        <v>7984.5639046370497</v>
      </c>
      <c r="R8">
        <f>G7</f>
        <v>7944.166666666667</v>
      </c>
      <c r="S8">
        <f t="shared" si="0"/>
        <v>61.64059167355208</v>
      </c>
      <c r="U8" t="s">
        <v>91</v>
      </c>
      <c r="V8">
        <v>8048.5120273411621</v>
      </c>
      <c r="Y8">
        <v>8183.2277376227348</v>
      </c>
    </row>
    <row r="9" spans="1:30" x14ac:dyDescent="0.2">
      <c r="F9">
        <v>10</v>
      </c>
      <c r="G9">
        <v>8631.5</v>
      </c>
      <c r="H9">
        <f>N16</f>
        <v>7838.37385370437</v>
      </c>
      <c r="I9">
        <v>7925.7856185854735</v>
      </c>
      <c r="M9">
        <v>3</v>
      </c>
      <c r="N9">
        <f t="shared" ref="N9:N27" si="1">P8</f>
        <v>7984.5639046370497</v>
      </c>
      <c r="O9">
        <f>O8+$B$4*(N9-N8)-$B$5*O8</f>
        <v>3238.9687088977485</v>
      </c>
      <c r="P9">
        <f>N9-$B$2*O9*(N9/($B$3*O9+N9))</f>
        <v>7963.3979190001046</v>
      </c>
      <c r="U9" t="s">
        <v>92</v>
      </c>
      <c r="V9">
        <v>1350.0655145462633</v>
      </c>
    </row>
    <row r="10" spans="1:30" x14ac:dyDescent="0.2">
      <c r="A10" t="s">
        <v>93</v>
      </c>
      <c r="B10">
        <f>B8/(COUNT(F6:F15))</f>
        <v>192.86650207803763</v>
      </c>
      <c r="F10">
        <v>15</v>
      </c>
      <c r="G10">
        <v>7741.333333333333</v>
      </c>
      <c r="H10">
        <f>N21</f>
        <v>7738.1890076811269</v>
      </c>
      <c r="I10">
        <v>7796.0831439064568</v>
      </c>
      <c r="M10">
        <v>4</v>
      </c>
      <c r="N10">
        <f t="shared" si="1"/>
        <v>7963.3979190001046</v>
      </c>
      <c r="O10">
        <f t="shared" ref="O10:O27" si="2">O9+$B$4*(N10-N9)-$B$5*O9</f>
        <v>2614.9701182256863</v>
      </c>
      <c r="P10">
        <f t="shared" ref="P10:P27" si="3">N10-$B$2*O10*(N10/($B$3*O10+N10))</f>
        <v>7942.3138735069269</v>
      </c>
    </row>
    <row r="11" spans="1:30" x14ac:dyDescent="0.2">
      <c r="F11">
        <v>17</v>
      </c>
      <c r="G11">
        <v>7430.666666666667</v>
      </c>
      <c r="H11">
        <f>N23</f>
        <v>7699.9259043114471</v>
      </c>
      <c r="I11">
        <v>7744.798420905985</v>
      </c>
      <c r="M11">
        <v>5</v>
      </c>
      <c r="N11">
        <f t="shared" si="1"/>
        <v>7942.3138735069269</v>
      </c>
      <c r="O11">
        <f t="shared" si="2"/>
        <v>2110.7874509770368</v>
      </c>
      <c r="P11">
        <f t="shared" si="3"/>
        <v>7921.317422528613</v>
      </c>
      <c r="U11" t="s">
        <v>93</v>
      </c>
      <c r="V11">
        <v>192.86650207803763</v>
      </c>
    </row>
    <row r="12" spans="1:30" x14ac:dyDescent="0.2">
      <c r="A12" t="s">
        <v>94</v>
      </c>
      <c r="F12">
        <v>21</v>
      </c>
      <c r="G12">
        <v>7629</v>
      </c>
      <c r="H12">
        <f>N27</f>
        <v>7629.0000430206219</v>
      </c>
      <c r="I12">
        <v>7643.2388495615933</v>
      </c>
      <c r="M12">
        <v>6</v>
      </c>
      <c r="N12">
        <f t="shared" si="1"/>
        <v>7921.317422528613</v>
      </c>
      <c r="O12">
        <f t="shared" si="2"/>
        <v>1703.4166152916143</v>
      </c>
      <c r="P12">
        <f t="shared" si="3"/>
        <v>7900.415547734242</v>
      </c>
    </row>
    <row r="13" spans="1:30" x14ac:dyDescent="0.2">
      <c r="B13">
        <f>B8+B10*2</f>
        <v>1735.7985187023387</v>
      </c>
      <c r="M13">
        <v>7</v>
      </c>
      <c r="N13">
        <f t="shared" si="1"/>
        <v>7900.415547734242</v>
      </c>
      <c r="O13">
        <f t="shared" si="2"/>
        <v>1374.2704376761872</v>
      </c>
      <c r="P13">
        <f t="shared" si="3"/>
        <v>7879.616857081689</v>
      </c>
      <c r="U13" t="s">
        <v>94</v>
      </c>
    </row>
    <row r="14" spans="1:30" x14ac:dyDescent="0.2">
      <c r="M14">
        <v>8</v>
      </c>
      <c r="N14">
        <f t="shared" si="1"/>
        <v>7879.616857081689</v>
      </c>
      <c r="O14">
        <f t="shared" si="2"/>
        <v>1108.3306445771041</v>
      </c>
      <c r="P14">
        <f t="shared" si="3"/>
        <v>7858.9319488673</v>
      </c>
      <c r="R14">
        <f>G8</f>
        <v>8102.333333333333</v>
      </c>
      <c r="S14">
        <f t="shared" si="0"/>
        <v>222.71647625164405</v>
      </c>
      <c r="V14">
        <v>1735.7985187023387</v>
      </c>
    </row>
    <row r="15" spans="1:30" x14ac:dyDescent="0.2">
      <c r="M15">
        <v>9</v>
      </c>
      <c r="N15">
        <f t="shared" si="1"/>
        <v>7858.9319488673</v>
      </c>
      <c r="O15">
        <f t="shared" si="2"/>
        <v>893.46266999686122</v>
      </c>
      <c r="P15">
        <f t="shared" si="3"/>
        <v>7838.37385370437</v>
      </c>
    </row>
    <row r="16" spans="1:30" x14ac:dyDescent="0.2">
      <c r="M16">
        <v>10</v>
      </c>
      <c r="N16">
        <f t="shared" si="1"/>
        <v>7838.37385370437</v>
      </c>
      <c r="O16">
        <f t="shared" si="2"/>
        <v>719.86202784117086</v>
      </c>
      <c r="P16">
        <f t="shared" si="3"/>
        <v>7817.9585690910453</v>
      </c>
      <c r="R16">
        <f>G9</f>
        <v>8631.5</v>
      </c>
      <c r="S16">
        <f t="shared" si="0"/>
        <v>793.12614629562995</v>
      </c>
    </row>
    <row r="17" spans="1:26" x14ac:dyDescent="0.2">
      <c r="M17">
        <v>11</v>
      </c>
      <c r="N17">
        <f t="shared" si="1"/>
        <v>7817.9585690910453</v>
      </c>
      <c r="O17">
        <f t="shared" si="2"/>
        <v>579.60699003433353</v>
      </c>
      <c r="P17">
        <f t="shared" si="3"/>
        <v>7797.705702770706</v>
      </c>
    </row>
    <row r="18" spans="1:26" x14ac:dyDescent="0.2">
      <c r="M18">
        <v>12</v>
      </c>
      <c r="N18">
        <f t="shared" si="1"/>
        <v>7797.705702770706</v>
      </c>
      <c r="O18">
        <f t="shared" si="2"/>
        <v>466.29716131570751</v>
      </c>
      <c r="P18">
        <f t="shared" si="3"/>
        <v>7777.639241945848</v>
      </c>
    </row>
    <row r="19" spans="1:26" x14ac:dyDescent="0.2">
      <c r="M19">
        <v>13</v>
      </c>
      <c r="N19">
        <f t="shared" si="1"/>
        <v>7777.639241945848</v>
      </c>
      <c r="O19">
        <f t="shared" si="2"/>
        <v>374.76146026060587</v>
      </c>
      <c r="P19">
        <f t="shared" si="3"/>
        <v>7757.7884648241115</v>
      </c>
    </row>
    <row r="20" spans="1:26" x14ac:dyDescent="0.2">
      <c r="M20">
        <v>14</v>
      </c>
      <c r="N20">
        <f t="shared" si="1"/>
        <v>7757.7884648241115</v>
      </c>
      <c r="O20">
        <f t="shared" si="2"/>
        <v>300.82218217839591</v>
      </c>
      <c r="P20">
        <f t="shared" si="3"/>
        <v>7738.1890076811269</v>
      </c>
    </row>
    <row r="21" spans="1:26" x14ac:dyDescent="0.2">
      <c r="M21">
        <v>15</v>
      </c>
      <c r="N21">
        <f t="shared" si="1"/>
        <v>7738.1890076811269</v>
      </c>
      <c r="O21">
        <f t="shared" si="2"/>
        <v>241.10437748584545</v>
      </c>
      <c r="P21">
        <f t="shared" si="3"/>
        <v>7718.8840925347777</v>
      </c>
      <c r="R21">
        <f>G10</f>
        <v>7741.333333333333</v>
      </c>
      <c r="S21">
        <f t="shared" si="0"/>
        <v>3.1443256522061347</v>
      </c>
    </row>
    <row r="22" spans="1:26" x14ac:dyDescent="0.2">
      <c r="M22">
        <v>16</v>
      </c>
      <c r="N22">
        <f t="shared" si="1"/>
        <v>7718.8840925347777</v>
      </c>
      <c r="O22">
        <f t="shared" si="2"/>
        <v>192.88184549392821</v>
      </c>
      <c r="P22">
        <f t="shared" si="3"/>
        <v>7699.9259043114471</v>
      </c>
    </row>
    <row r="23" spans="1:26" x14ac:dyDescent="0.2">
      <c r="M23">
        <v>17</v>
      </c>
      <c r="N23">
        <f t="shared" si="1"/>
        <v>7699.9259043114471</v>
      </c>
      <c r="O23">
        <f t="shared" si="2"/>
        <v>153.95271233676092</v>
      </c>
      <c r="P23">
        <f>N23-$B$2*O23*(N23/($B$3*O23+N23))</f>
        <v>7681.3770769094481</v>
      </c>
      <c r="R23">
        <f>G11</f>
        <v>7430.666666666667</v>
      </c>
      <c r="S23">
        <f t="shared" si="0"/>
        <v>269.25923764478011</v>
      </c>
    </row>
    <row r="24" spans="1:26" x14ac:dyDescent="0.2">
      <c r="M24">
        <v>18</v>
      </c>
      <c r="N24">
        <f t="shared" si="1"/>
        <v>7681.3770769094481</v>
      </c>
      <c r="O24">
        <f t="shared" si="2"/>
        <v>122.53890882790292</v>
      </c>
      <c r="P24">
        <f t="shared" si="3"/>
        <v>7663.3121972776526</v>
      </c>
    </row>
    <row r="25" spans="1:26" x14ac:dyDescent="0.2">
      <c r="M25">
        <v>19</v>
      </c>
      <c r="N25">
        <f t="shared" si="1"/>
        <v>7663.3121972776526</v>
      </c>
      <c r="O25">
        <f t="shared" si="2"/>
        <v>97.20495036976601</v>
      </c>
      <c r="P25">
        <f t="shared" si="3"/>
        <v>7645.8191552957387</v>
      </c>
    </row>
    <row r="26" spans="1:26" x14ac:dyDescent="0.2">
      <c r="M26">
        <v>20</v>
      </c>
      <c r="N26">
        <f t="shared" si="1"/>
        <v>7645.8191552957387</v>
      </c>
      <c r="O26">
        <f t="shared" si="2"/>
        <v>76.792295700579558</v>
      </c>
      <c r="P26">
        <f t="shared" si="3"/>
        <v>7629.0000430206219</v>
      </c>
    </row>
    <row r="27" spans="1:26" x14ac:dyDescent="0.2">
      <c r="M27">
        <v>21</v>
      </c>
      <c r="N27">
        <f t="shared" si="1"/>
        <v>7629.0000430206219</v>
      </c>
      <c r="O27">
        <f t="shared" si="2"/>
        <v>60.366263698556608</v>
      </c>
      <c r="P27">
        <f t="shared" si="3"/>
        <v>7612.9711309278255</v>
      </c>
      <c r="R27">
        <f>G12</f>
        <v>7629</v>
      </c>
      <c r="S27">
        <f t="shared" si="0"/>
        <v>4.3020621887990274E-5</v>
      </c>
    </row>
    <row r="31" spans="1:26" x14ac:dyDescent="0.2">
      <c r="A31" t="s">
        <v>79</v>
      </c>
      <c r="B31">
        <v>1.5358656221425246E-2</v>
      </c>
      <c r="S31">
        <f>SUM(S6:S29)</f>
        <v>1350.0655145462633</v>
      </c>
      <c r="V31" t="s">
        <v>79</v>
      </c>
      <c r="W31">
        <v>1.5358656221425246E-2</v>
      </c>
      <c r="Y31">
        <v>1.3034199512652501E-3</v>
      </c>
      <c r="Z31">
        <v>2.5841007330902256E-2</v>
      </c>
    </row>
    <row r="32" spans="1:26" x14ac:dyDescent="0.2">
      <c r="A32" t="s">
        <v>80</v>
      </c>
      <c r="B32">
        <v>3996.0255274572942</v>
      </c>
      <c r="V32" t="s">
        <v>80</v>
      </c>
      <c r="W32">
        <v>3996.0255274572942</v>
      </c>
    </row>
    <row r="33" spans="1:23" x14ac:dyDescent="0.2">
      <c r="A33" t="s">
        <v>81</v>
      </c>
      <c r="B33">
        <v>0.1</v>
      </c>
      <c r="V33" t="s">
        <v>81</v>
      </c>
      <c r="W33">
        <v>0.1</v>
      </c>
    </row>
    <row r="34" spans="1:23" x14ac:dyDescent="0.2">
      <c r="A34" t="s">
        <v>82</v>
      </c>
      <c r="B34">
        <f>0.008*24</f>
        <v>0.192</v>
      </c>
      <c r="F34" t="s">
        <v>7</v>
      </c>
      <c r="G34" t="s">
        <v>83</v>
      </c>
      <c r="H34" t="s">
        <v>95</v>
      </c>
      <c r="I34" t="s">
        <v>85</v>
      </c>
      <c r="N34" t="s">
        <v>86</v>
      </c>
      <c r="O34" t="s">
        <v>87</v>
      </c>
      <c r="P34" t="s">
        <v>88</v>
      </c>
      <c r="S34" t="s">
        <v>89</v>
      </c>
      <c r="V34" t="s">
        <v>82</v>
      </c>
      <c r="W34">
        <v>0.192</v>
      </c>
    </row>
    <row r="35" spans="1:23" x14ac:dyDescent="0.2">
      <c r="A35" t="s">
        <v>90</v>
      </c>
      <c r="B35">
        <v>6150</v>
      </c>
      <c r="F35">
        <v>0</v>
      </c>
      <c r="G35">
        <v>8048.333333333333</v>
      </c>
      <c r="H35">
        <f>N35</f>
        <v>8053.4647905386873</v>
      </c>
      <c r="I35">
        <v>8297.5</v>
      </c>
      <c r="J35">
        <v>9095</v>
      </c>
      <c r="M35">
        <v>0</v>
      </c>
      <c r="N35">
        <f>B36</f>
        <v>8053.4647905386873</v>
      </c>
      <c r="O35">
        <f>B35</f>
        <v>6150</v>
      </c>
      <c r="R35">
        <f>G35</f>
        <v>8048.333333333333</v>
      </c>
      <c r="S35">
        <f t="shared" ref="S35" si="4">((R35-N35)^2)^0.5</f>
        <v>5.1314572053543088</v>
      </c>
      <c r="V35" t="s">
        <v>90</v>
      </c>
      <c r="W35">
        <v>6150</v>
      </c>
    </row>
    <row r="36" spans="1:23" x14ac:dyDescent="0.2">
      <c r="A36" t="s">
        <v>91</v>
      </c>
      <c r="B36">
        <v>8053.4647905386873</v>
      </c>
      <c r="F36">
        <v>2</v>
      </c>
      <c r="G36">
        <v>7944.166666666667</v>
      </c>
      <c r="H36">
        <f>N37</f>
        <v>7939.5219504813231</v>
      </c>
      <c r="I36">
        <v>7946.6802640841688</v>
      </c>
      <c r="J36">
        <v>8814.2999999999993</v>
      </c>
      <c r="M36">
        <v>1</v>
      </c>
      <c r="N36">
        <f>B36-B31*B35*(B36/(B32+B36))</f>
        <v>7990.3338263114538</v>
      </c>
      <c r="O36">
        <f>B35+$B$4*(N36-N35)-$B$5*O35</f>
        <v>4962.8869035772768</v>
      </c>
      <c r="P36">
        <f>N36-$B$31*O36*(N36/($B$32+N36))</f>
        <v>7939.5219504813231</v>
      </c>
      <c r="V36" t="s">
        <v>91</v>
      </c>
      <c r="W36">
        <v>8053.4647905386873</v>
      </c>
    </row>
    <row r="37" spans="1:23" x14ac:dyDescent="0.2">
      <c r="A37" t="s">
        <v>92</v>
      </c>
      <c r="B37">
        <f>S60</f>
        <v>1600.0308186015463</v>
      </c>
      <c r="F37">
        <v>8</v>
      </c>
      <c r="G37">
        <v>8102.333333333333</v>
      </c>
      <c r="H37">
        <f>N43</f>
        <v>7786.4890682844289</v>
      </c>
      <c r="I37">
        <v>6980.7353666411891</v>
      </c>
      <c r="J37">
        <v>8406.9</v>
      </c>
      <c r="M37">
        <v>2</v>
      </c>
      <c r="N37">
        <f>P36</f>
        <v>7939.5219504813231</v>
      </c>
      <c r="O37">
        <f>O36+$B$4*(N37-N36)-$B$5*O36</f>
        <v>4004.9314305074267</v>
      </c>
      <c r="P37">
        <f t="shared" ref="P37:P56" si="5">N37-$B$31*O37*(N37/($B$32+N37))</f>
        <v>7898.6052774713298</v>
      </c>
      <c r="R37">
        <f>G36</f>
        <v>7944.166666666667</v>
      </c>
      <c r="S37">
        <f t="shared" ref="S37" si="6">((R37-N37)^2)^0.5</f>
        <v>4.6447161853438956</v>
      </c>
      <c r="V37" t="s">
        <v>92</v>
      </c>
      <c r="W37">
        <v>1600.0308186015463</v>
      </c>
    </row>
    <row r="38" spans="1:23" x14ac:dyDescent="0.2">
      <c r="F38">
        <v>10</v>
      </c>
      <c r="G38">
        <v>8631.5</v>
      </c>
      <c r="H38">
        <f>N45</f>
        <v>7766.2078504510919</v>
      </c>
      <c r="I38">
        <v>6685.5886672951974</v>
      </c>
      <c r="J38">
        <v>8348</v>
      </c>
      <c r="M38">
        <v>3</v>
      </c>
      <c r="N38">
        <f t="shared" ref="N38:N56" si="7">P37</f>
        <v>7898.6052774713298</v>
      </c>
      <c r="O38">
        <f>O37+$B$4*(N38-N37)-$B$5*O37</f>
        <v>3231.8929285490017</v>
      </c>
      <c r="P38">
        <f>N38-$B$31*O38*(N38/($B$32+N38))</f>
        <v>7865.6435755005796</v>
      </c>
    </row>
    <row r="39" spans="1:23" x14ac:dyDescent="0.2">
      <c r="A39" t="s">
        <v>93</v>
      </c>
      <c r="B39">
        <f>B37/(COUNT(F35:F44))</f>
        <v>200.00385232519329</v>
      </c>
      <c r="F39">
        <v>15</v>
      </c>
      <c r="G39">
        <v>7741.333333333333</v>
      </c>
      <c r="H39">
        <f>N50</f>
        <v>7741.3264287158681</v>
      </c>
      <c r="I39">
        <v>6001.1688861467419</v>
      </c>
      <c r="J39">
        <v>8271</v>
      </c>
      <c r="M39">
        <v>4</v>
      </c>
      <c r="N39">
        <f t="shared" si="7"/>
        <v>7865.6435755005796</v>
      </c>
      <c r="O39">
        <f t="shared" ref="O39:O56" si="8">O38+$B$4*(N39-N38)-$B$5*O38</f>
        <v>2608.0733160705186</v>
      </c>
      <c r="P39">
        <f>N39-$B$31*O39*(N39/($B$32+N39))</f>
        <v>7839.0815326173006</v>
      </c>
      <c r="V39" t="s">
        <v>93</v>
      </c>
      <c r="W39">
        <v>228.57583122879234</v>
      </c>
    </row>
    <row r="40" spans="1:23" x14ac:dyDescent="0.2">
      <c r="F40">
        <v>17</v>
      </c>
      <c r="G40">
        <v>7430.666666666667</v>
      </c>
      <c r="H40">
        <f>N52</f>
        <v>7736.8143969728653</v>
      </c>
      <c r="I40">
        <v>5747.4384271139852</v>
      </c>
      <c r="J40">
        <v>8255.9</v>
      </c>
      <c r="M40">
        <v>5</v>
      </c>
      <c r="N40">
        <f t="shared" si="7"/>
        <v>7839.0815326173006</v>
      </c>
      <c r="O40">
        <f t="shared" si="8"/>
        <v>2104.667035096651</v>
      </c>
      <c r="P40">
        <f t="shared" si="5"/>
        <v>7817.6708946048984</v>
      </c>
    </row>
    <row r="41" spans="1:23" x14ac:dyDescent="0.2">
      <c r="A41" t="s">
        <v>94</v>
      </c>
      <c r="F41">
        <v>21</v>
      </c>
      <c r="G41">
        <v>7629</v>
      </c>
      <c r="H41">
        <f>N56</f>
        <v>7731.9635956893726</v>
      </c>
      <c r="I41">
        <v>5271.7072403238644</v>
      </c>
      <c r="J41">
        <v>8238.7000000000007</v>
      </c>
      <c r="M41">
        <v>6</v>
      </c>
      <c r="N41">
        <f t="shared" si="7"/>
        <v>7817.6708946048984</v>
      </c>
      <c r="O41">
        <f t="shared" si="8"/>
        <v>1698.4299005568537</v>
      </c>
      <c r="P41">
        <f t="shared" si="5"/>
        <v>7800.4088424834827</v>
      </c>
      <c r="V41" t="s">
        <v>94</v>
      </c>
    </row>
    <row r="42" spans="1:23" x14ac:dyDescent="0.2">
      <c r="B42">
        <f>B37+B39*2</f>
        <v>2000.0385232519329</v>
      </c>
      <c r="M42">
        <v>7</v>
      </c>
      <c r="N42">
        <f t="shared" si="7"/>
        <v>7800.4088424834827</v>
      </c>
      <c r="O42">
        <f t="shared" si="8"/>
        <v>1370.605154437796</v>
      </c>
      <c r="P42">
        <f t="shared" si="5"/>
        <v>7786.4890682844289</v>
      </c>
      <c r="W42">
        <v>2057.1824810591311</v>
      </c>
    </row>
    <row r="43" spans="1:23" x14ac:dyDescent="0.2">
      <c r="M43">
        <v>8</v>
      </c>
      <c r="N43">
        <f t="shared" si="7"/>
        <v>7786.4890682844289</v>
      </c>
      <c r="O43">
        <f t="shared" si="8"/>
        <v>1106.0569873658339</v>
      </c>
      <c r="P43">
        <f t="shared" si="5"/>
        <v>7775.2628258939594</v>
      </c>
      <c r="R43">
        <f>G37</f>
        <v>8102.333333333333</v>
      </c>
      <c r="S43">
        <f t="shared" ref="S43" si="9">((R43-N43)^2)^0.5</f>
        <v>315.84426504890416</v>
      </c>
    </row>
    <row r="44" spans="1:23" x14ac:dyDescent="0.2">
      <c r="F44">
        <f>G35-G41</f>
        <v>419.33333333333303</v>
      </c>
      <c r="M44">
        <v>9</v>
      </c>
      <c r="N44">
        <f t="shared" si="7"/>
        <v>7775.2628258939594</v>
      </c>
      <c r="O44">
        <f t="shared" si="8"/>
        <v>892.57142155254689</v>
      </c>
      <c r="P44">
        <f t="shared" si="5"/>
        <v>7766.2078504510919</v>
      </c>
    </row>
    <row r="45" spans="1:23" x14ac:dyDescent="0.2">
      <c r="M45">
        <v>10</v>
      </c>
      <c r="N45">
        <f t="shared" si="7"/>
        <v>7766.2078504510919</v>
      </c>
      <c r="O45">
        <f t="shared" si="8"/>
        <v>720.29221107017111</v>
      </c>
      <c r="P45">
        <f t="shared" si="5"/>
        <v>7758.9035075056308</v>
      </c>
      <c r="R45">
        <f>G38</f>
        <v>8631.5</v>
      </c>
      <c r="S45">
        <f t="shared" ref="S45" si="10">((R45-N45)^2)^0.5</f>
        <v>865.29214954890813</v>
      </c>
    </row>
    <row r="46" spans="1:23" x14ac:dyDescent="0.2">
      <c r="M46">
        <v>11</v>
      </c>
      <c r="N46">
        <f t="shared" si="7"/>
        <v>7758.9035075056308</v>
      </c>
      <c r="O46">
        <f t="shared" si="8"/>
        <v>581.26567225015219</v>
      </c>
      <c r="P46">
        <f t="shared" si="5"/>
        <v>7753.0108902336151</v>
      </c>
    </row>
    <row r="47" spans="1:23" x14ac:dyDescent="0.2">
      <c r="M47">
        <v>12</v>
      </c>
      <c r="N47">
        <f t="shared" si="7"/>
        <v>7753.0108902336151</v>
      </c>
      <c r="O47">
        <f t="shared" si="8"/>
        <v>469.07340145092138</v>
      </c>
      <c r="P47">
        <f t="shared" si="5"/>
        <v>7748.2568574663601</v>
      </c>
    </row>
    <row r="48" spans="1:23" x14ac:dyDescent="0.2">
      <c r="M48">
        <v>13</v>
      </c>
      <c r="N48">
        <f t="shared" si="7"/>
        <v>7748.2568574663601</v>
      </c>
      <c r="O48">
        <f t="shared" si="8"/>
        <v>378.535905095619</v>
      </c>
      <c r="P48">
        <f t="shared" si="5"/>
        <v>7744.4212176035953</v>
      </c>
    </row>
    <row r="49" spans="6:19" x14ac:dyDescent="0.2">
      <c r="M49">
        <v>14</v>
      </c>
      <c r="N49">
        <f t="shared" si="7"/>
        <v>7744.4212176035953</v>
      </c>
      <c r="O49">
        <f t="shared" si="8"/>
        <v>305.47344733098362</v>
      </c>
      <c r="P49">
        <f t="shared" si="5"/>
        <v>7741.3264287158681</v>
      </c>
    </row>
    <row r="50" spans="6:19" x14ac:dyDescent="0.2">
      <c r="M50">
        <v>15</v>
      </c>
      <c r="N50">
        <f t="shared" si="7"/>
        <v>7741.3264287158681</v>
      </c>
      <c r="O50">
        <f t="shared" si="8"/>
        <v>246.51306655466203</v>
      </c>
      <c r="P50">
        <f t="shared" si="5"/>
        <v>7738.829314442999</v>
      </c>
      <c r="R50">
        <f>G39</f>
        <v>7741.333333333333</v>
      </c>
      <c r="S50">
        <f t="shared" ref="S50" si="11">((R50-N50)^2)^0.5</f>
        <v>6.9046174648974556E-3</v>
      </c>
    </row>
    <row r="51" spans="6:19" x14ac:dyDescent="0.2">
      <c r="M51">
        <v>16</v>
      </c>
      <c r="N51">
        <f t="shared" si="7"/>
        <v>7738.829314442999</v>
      </c>
      <c r="O51">
        <f t="shared" si="8"/>
        <v>198.93284634888002</v>
      </c>
      <c r="P51">
        <f t="shared" si="5"/>
        <v>7736.8143969728653</v>
      </c>
    </row>
    <row r="52" spans="6:19" x14ac:dyDescent="0.2">
      <c r="M52">
        <v>17</v>
      </c>
      <c r="N52">
        <f t="shared" si="7"/>
        <v>7736.8143969728653</v>
      </c>
      <c r="O52">
        <f t="shared" si="8"/>
        <v>160.5362481028817</v>
      </c>
      <c r="P52">
        <f t="shared" si="5"/>
        <v>7735.1885286812467</v>
      </c>
      <c r="R52">
        <f>G40</f>
        <v>7430.666666666667</v>
      </c>
      <c r="S52">
        <f t="shared" ref="S52" si="12">((R52-N52)^2)^0.5</f>
        <v>306.14773030619835</v>
      </c>
    </row>
    <row r="53" spans="6:19" x14ac:dyDescent="0.2">
      <c r="M53">
        <v>18</v>
      </c>
      <c r="N53">
        <f t="shared" si="7"/>
        <v>7735.1885286812467</v>
      </c>
      <c r="O53">
        <f t="shared" si="8"/>
        <v>129.55070163796657</v>
      </c>
      <c r="P53">
        <f t="shared" si="5"/>
        <v>7733.8765676581706</v>
      </c>
    </row>
    <row r="54" spans="6:19" x14ac:dyDescent="0.2">
      <c r="M54">
        <v>19</v>
      </c>
      <c r="N54">
        <f t="shared" si="7"/>
        <v>7733.8765676581706</v>
      </c>
      <c r="O54">
        <f t="shared" si="8"/>
        <v>104.54577082116938</v>
      </c>
      <c r="P54">
        <f t="shared" si="5"/>
        <v>7732.8178929501892</v>
      </c>
    </row>
    <row r="55" spans="6:19" x14ac:dyDescent="0.2">
      <c r="M55">
        <v>20</v>
      </c>
      <c r="N55">
        <f t="shared" si="7"/>
        <v>7732.8178929501892</v>
      </c>
      <c r="O55">
        <f t="shared" si="8"/>
        <v>84.367115352706719</v>
      </c>
      <c r="P55">
        <f t="shared" si="5"/>
        <v>7731.9635956893726</v>
      </c>
    </row>
    <row r="56" spans="6:19" x14ac:dyDescent="0.2">
      <c r="M56">
        <v>21</v>
      </c>
      <c r="N56">
        <f t="shared" si="7"/>
        <v>7731.9635956893726</v>
      </c>
      <c r="O56">
        <f t="shared" si="8"/>
        <v>68.083199478905371</v>
      </c>
      <c r="P56">
        <f t="shared" si="5"/>
        <v>7731.2742145106949</v>
      </c>
      <c r="R56">
        <f>G41</f>
        <v>7629</v>
      </c>
      <c r="S56">
        <f t="shared" ref="S56" si="13">((R56-N56)^2)^0.5</f>
        <v>102.9635956893726</v>
      </c>
    </row>
    <row r="60" spans="6:19" x14ac:dyDescent="0.2">
      <c r="S60">
        <f>SUM(S35:S58)</f>
        <v>1600.0308186015463</v>
      </c>
    </row>
    <row r="63" spans="6:19" x14ac:dyDescent="0.2">
      <c r="F63" t="s">
        <v>7</v>
      </c>
      <c r="G63" t="s">
        <v>83</v>
      </c>
      <c r="H63" t="s">
        <v>85</v>
      </c>
      <c r="I63" t="s">
        <v>84</v>
      </c>
      <c r="J63" t="s">
        <v>95</v>
      </c>
    </row>
    <row r="64" spans="6:19" x14ac:dyDescent="0.2">
      <c r="F64">
        <v>0</v>
      </c>
      <c r="G64">
        <v>8048.333333333333</v>
      </c>
      <c r="H64">
        <v>8191.7</v>
      </c>
      <c r="I64">
        <v>8048.5120273411621</v>
      </c>
      <c r="J64">
        <v>8053.4647905386873</v>
      </c>
      <c r="L64">
        <v>460.83860756475497</v>
      </c>
    </row>
    <row r="65" spans="6:12" x14ac:dyDescent="0.2">
      <c r="F65">
        <v>2</v>
      </c>
      <c r="G65">
        <v>7944.166666666667</v>
      </c>
      <c r="H65">
        <v>8137.8128033592957</v>
      </c>
      <c r="I65">
        <v>8005.8072583402191</v>
      </c>
      <c r="J65">
        <v>7939.5219504813231</v>
      </c>
      <c r="L65">
        <v>432.36372291033956</v>
      </c>
    </row>
    <row r="66" spans="6:12" x14ac:dyDescent="0.2">
      <c r="F66">
        <v>8</v>
      </c>
      <c r="G66">
        <v>8102.333333333333</v>
      </c>
      <c r="H66">
        <v>7978.2688076783061</v>
      </c>
      <c r="I66">
        <v>7879.616857081689</v>
      </c>
      <c r="J66">
        <v>7786.4890682844289</v>
      </c>
      <c r="L66">
        <v>477.83562957243873</v>
      </c>
    </row>
    <row r="67" spans="6:12" x14ac:dyDescent="0.2">
      <c r="F67">
        <v>10</v>
      </c>
      <c r="G67">
        <v>8631.5</v>
      </c>
      <c r="H67">
        <v>7925.7856185854735</v>
      </c>
      <c r="I67">
        <v>7838.37385370437</v>
      </c>
      <c r="J67">
        <v>7766.2078504510919</v>
      </c>
      <c r="L67">
        <v>440.24557540839254</v>
      </c>
    </row>
    <row r="68" spans="6:12" x14ac:dyDescent="0.2">
      <c r="F68">
        <v>15</v>
      </c>
      <c r="G68">
        <v>7741.333333333333</v>
      </c>
      <c r="H68">
        <v>7796.0831439064568</v>
      </c>
      <c r="I68">
        <v>7738.1890076811269</v>
      </c>
      <c r="J68">
        <v>7741.3264287158681</v>
      </c>
      <c r="L68">
        <v>166.51393001454531</v>
      </c>
    </row>
    <row r="69" spans="6:12" x14ac:dyDescent="0.2">
      <c r="F69">
        <v>17</v>
      </c>
      <c r="G69">
        <v>7430.666666666667</v>
      </c>
      <c r="H69">
        <v>7744.798420905985</v>
      </c>
      <c r="I69">
        <v>7699.9259043114471</v>
      </c>
      <c r="J69">
        <v>7736.8143969728653</v>
      </c>
      <c r="L69">
        <v>56.60584971734125</v>
      </c>
    </row>
    <row r="70" spans="6:12" x14ac:dyDescent="0.2">
      <c r="F70">
        <v>21</v>
      </c>
      <c r="G70">
        <v>7629</v>
      </c>
      <c r="H70">
        <v>7643.2388495615933</v>
      </c>
      <c r="I70">
        <v>7629.0000430206219</v>
      </c>
      <c r="J70">
        <v>7731.9635956893726</v>
      </c>
      <c r="L70">
        <v>196.21077102612554</v>
      </c>
    </row>
    <row r="72" spans="6:12" x14ac:dyDescent="0.2">
      <c r="H72">
        <f>RSQ($G$64:$G$70,H64:H70)</f>
        <v>0.26320363166767252</v>
      </c>
      <c r="I72">
        <f t="shared" ref="I72:J72" si="14">RSQ($G$62:$G$69,I63:I70)</f>
        <v>0.11658117333197374</v>
      </c>
      <c r="J72">
        <f t="shared" si="14"/>
        <v>1.6574098629371765E-2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C09E-BFF9-49B8-990C-053B73B40DA7}">
  <dimension ref="A2:AW92"/>
  <sheetViews>
    <sheetView zoomScale="80" zoomScaleNormal="80" workbookViewId="0">
      <selection activeCell="C44" sqref="C44"/>
    </sheetView>
  </sheetViews>
  <sheetFormatPr defaultRowHeight="14.25" x14ac:dyDescent="0.2"/>
  <sheetData>
    <row r="2" spans="1:49" x14ac:dyDescent="0.2">
      <c r="A2" t="s">
        <v>79</v>
      </c>
      <c r="B2">
        <v>16.648669246978237</v>
      </c>
      <c r="AE2" t="s">
        <v>79</v>
      </c>
      <c r="AF2">
        <v>7.5332224522890484E-2</v>
      </c>
    </row>
    <row r="3" spans="1:49" x14ac:dyDescent="0.2">
      <c r="A3" t="s">
        <v>80</v>
      </c>
      <c r="B3">
        <v>1569.874103198084</v>
      </c>
      <c r="AE3" t="s">
        <v>96</v>
      </c>
      <c r="AF3">
        <v>3319.6162934534163</v>
      </c>
    </row>
    <row r="4" spans="1:49" x14ac:dyDescent="0.2">
      <c r="A4" t="s">
        <v>81</v>
      </c>
      <c r="B4">
        <v>0.1</v>
      </c>
      <c r="AE4" t="s">
        <v>81</v>
      </c>
      <c r="AF4">
        <v>0.1</v>
      </c>
    </row>
    <row r="5" spans="1:49" x14ac:dyDescent="0.2">
      <c r="A5" t="s">
        <v>82</v>
      </c>
      <c r="B5">
        <v>0.192</v>
      </c>
      <c r="F5" t="s">
        <v>7</v>
      </c>
      <c r="G5" t="s">
        <v>83</v>
      </c>
      <c r="H5" t="s">
        <v>84</v>
      </c>
      <c r="I5" t="s">
        <v>85</v>
      </c>
      <c r="J5" t="s">
        <v>95</v>
      </c>
      <c r="N5" t="s">
        <v>86</v>
      </c>
      <c r="O5" t="s">
        <v>87</v>
      </c>
      <c r="P5" t="s">
        <v>88</v>
      </c>
      <c r="S5" t="s">
        <v>89</v>
      </c>
      <c r="V5" t="s">
        <v>79</v>
      </c>
      <c r="W5">
        <v>16.648669246978237</v>
      </c>
      <c r="AE5" t="s">
        <v>82</v>
      </c>
      <c r="AF5">
        <v>0.192</v>
      </c>
      <c r="AJ5" t="s">
        <v>7</v>
      </c>
      <c r="AK5" t="s">
        <v>83</v>
      </c>
      <c r="AL5" t="s">
        <v>95</v>
      </c>
      <c r="AM5" t="s">
        <v>85</v>
      </c>
      <c r="AR5" t="s">
        <v>86</v>
      </c>
      <c r="AS5" t="s">
        <v>87</v>
      </c>
      <c r="AT5" t="s">
        <v>88</v>
      </c>
      <c r="AW5" t="s">
        <v>89</v>
      </c>
    </row>
    <row r="6" spans="1:49" x14ac:dyDescent="0.2">
      <c r="A6" t="s">
        <v>90</v>
      </c>
      <c r="B6">
        <v>6150</v>
      </c>
      <c r="F6">
        <v>0</v>
      </c>
      <c r="G6">
        <v>7002.666666666667</v>
      </c>
      <c r="H6">
        <f>$N$6</f>
        <v>7007.6004728652697</v>
      </c>
      <c r="I6">
        <v>6280.9440360275848</v>
      </c>
      <c r="J6">
        <v>7002.6657435410916</v>
      </c>
      <c r="M6">
        <v>0</v>
      </c>
      <c r="N6">
        <f>B7</f>
        <v>7007.6004728652697</v>
      </c>
      <c r="O6">
        <f>B6</f>
        <v>6150</v>
      </c>
      <c r="R6">
        <f>G6</f>
        <v>7002.666666666667</v>
      </c>
      <c r="S6">
        <f t="shared" ref="S6:S31" si="0">((R6-N6)^2)^0.5</f>
        <v>4.9338061986027242</v>
      </c>
      <c r="V6" t="s">
        <v>80</v>
      </c>
      <c r="W6">
        <v>1569.874103198084</v>
      </c>
      <c r="AE6" t="s">
        <v>90</v>
      </c>
      <c r="AF6">
        <v>6150</v>
      </c>
      <c r="AJ6">
        <v>0</v>
      </c>
      <c r="AK6">
        <v>7002.666666666667</v>
      </c>
      <c r="AL6">
        <f>$AR$6</f>
        <v>7002.6657435410916</v>
      </c>
      <c r="AM6">
        <v>6280.9440360275848</v>
      </c>
      <c r="AQ6">
        <v>0</v>
      </c>
      <c r="AR6">
        <f>AF7</f>
        <v>7002.6657435410916</v>
      </c>
      <c r="AS6">
        <f>AF6</f>
        <v>6150</v>
      </c>
      <c r="AV6">
        <f>AK6</f>
        <v>7002.666666666667</v>
      </c>
      <c r="AW6">
        <f t="shared" ref="AW6" si="1">((AV6-AR6)^2)^0.5</f>
        <v>9.2312557535478845E-4</v>
      </c>
    </row>
    <row r="7" spans="1:49" x14ac:dyDescent="0.2">
      <c r="A7" t="s">
        <v>91</v>
      </c>
      <c r="B7">
        <v>7007.6004728652697</v>
      </c>
      <c r="F7">
        <v>2</v>
      </c>
      <c r="G7">
        <v>5694</v>
      </c>
      <c r="H7">
        <f>$N$8</f>
        <v>6859.8747397066109</v>
      </c>
      <c r="I7">
        <v>6233.0326566159392</v>
      </c>
      <c r="J7">
        <v>6439.7754571380783</v>
      </c>
      <c r="M7">
        <v>1</v>
      </c>
      <c r="N7">
        <f>B7-B2*B6*(B7/(B3*B6+B7))</f>
        <v>6933.3380819038357</v>
      </c>
      <c r="O7">
        <f>B6+$B$4*(N7-N6)-$B$5*O6</f>
        <v>4961.7737609038568</v>
      </c>
      <c r="P7">
        <f>N7-$B$2*O7*(N7/($B$3*O7+N7))</f>
        <v>6859.8747397066109</v>
      </c>
      <c r="V7" t="s">
        <v>81</v>
      </c>
      <c r="W7">
        <v>0.1</v>
      </c>
      <c r="AE7" t="s">
        <v>91</v>
      </c>
      <c r="AF7">
        <v>7002.6657435410916</v>
      </c>
      <c r="AJ7">
        <v>2</v>
      </c>
      <c r="AK7">
        <v>5694</v>
      </c>
      <c r="AL7">
        <f>$AR$8</f>
        <v>6439.7754571380783</v>
      </c>
      <c r="AM7">
        <v>6233.0326566159392</v>
      </c>
      <c r="AQ7">
        <v>1</v>
      </c>
      <c r="AR7">
        <f>AF7-AF2*AF6*(AF7/(AF3+AF7))</f>
        <v>6688.3663207111904</v>
      </c>
      <c r="AS7">
        <f>AF6+$B$4*(AR7-AR6)-$B$5*AS6</f>
        <v>4937.7700577170099</v>
      </c>
      <c r="AT7">
        <f>AR7-$AF$2*AS7*(AR7/($AF$3+AR7))</f>
        <v>6439.7754571380783</v>
      </c>
    </row>
    <row r="8" spans="1:49" x14ac:dyDescent="0.2">
      <c r="A8" t="s">
        <v>92</v>
      </c>
      <c r="B8">
        <f>$S$92</f>
        <v>7306.006599235353</v>
      </c>
      <c r="F8">
        <v>4</v>
      </c>
      <c r="G8">
        <v>6266.333333333333</v>
      </c>
      <c r="H8">
        <f>$N$10</f>
        <v>6715.3218052070297</v>
      </c>
      <c r="I8">
        <v>6185.486747787053</v>
      </c>
      <c r="J8">
        <v>6086.1045435560773</v>
      </c>
      <c r="M8">
        <v>2</v>
      </c>
      <c r="N8">
        <f>P7</f>
        <v>6859.8747397066109</v>
      </c>
      <c r="O8">
        <f>O7+$B$4*(N8-N7)-$B$5*O7</f>
        <v>4001.7668645905933</v>
      </c>
      <c r="P8">
        <f>N8-$B$2*O8*(N8/($B$3*O8+N8))</f>
        <v>6787.2044452346508</v>
      </c>
      <c r="R8">
        <f>G7</f>
        <v>5694</v>
      </c>
      <c r="S8">
        <f t="shared" si="0"/>
        <v>1165.8747397066109</v>
      </c>
      <c r="V8" t="s">
        <v>82</v>
      </c>
      <c r="W8">
        <v>0.192</v>
      </c>
      <c r="AE8" t="s">
        <v>92</v>
      </c>
      <c r="AF8">
        <f>$AW$92</f>
        <v>9398.3697152289205</v>
      </c>
      <c r="AJ8">
        <v>4</v>
      </c>
      <c r="AK8">
        <v>6266.333333333333</v>
      </c>
      <c r="AL8">
        <f>$AR$10</f>
        <v>6086.1045435560773</v>
      </c>
      <c r="AM8">
        <v>6185.486747787053</v>
      </c>
      <c r="AQ8">
        <v>2</v>
      </c>
      <c r="AR8">
        <f>AT7</f>
        <v>6439.7754571380783</v>
      </c>
      <c r="AS8">
        <f>AS7+$B$4*(AR8-AR7)-$B$5*AS7</f>
        <v>3964.8591202780331</v>
      </c>
      <c r="AT8">
        <f t="shared" ref="AT8:AT15" si="2">AR8-$AF$2*AS8*(AR8/($AF$3+AR8))</f>
        <v>6242.6891164826857</v>
      </c>
      <c r="AV8">
        <f>AK7</f>
        <v>5694</v>
      </c>
      <c r="AW8">
        <f t="shared" ref="AW8" si="3">((AV8-AR8)^2)^0.5</f>
        <v>745.77545713807831</v>
      </c>
    </row>
    <row r="9" spans="1:49" x14ac:dyDescent="0.2">
      <c r="F9">
        <v>7</v>
      </c>
      <c r="G9">
        <v>6180.333333333333</v>
      </c>
      <c r="H9">
        <f>$N$13</f>
        <v>6504.3577187748042</v>
      </c>
      <c r="I9">
        <v>6114.8470493291125</v>
      </c>
      <c r="J9">
        <v>5782.7755911033864</v>
      </c>
      <c r="M9">
        <v>3</v>
      </c>
      <c r="N9">
        <f t="shared" ref="N9:N29" si="4">P8</f>
        <v>6787.2044452346508</v>
      </c>
      <c r="O9">
        <f>O8+$B$4*(N9-N8)-$B$5*O8</f>
        <v>3226.1605971420036</v>
      </c>
      <c r="P9">
        <f>N9-$B$2*O9*(N9/($B$3*O9+N9))</f>
        <v>6715.3218052070297</v>
      </c>
      <c r="V9" t="s">
        <v>90</v>
      </c>
      <c r="W9">
        <v>6150</v>
      </c>
      <c r="AJ9">
        <v>7</v>
      </c>
      <c r="AK9">
        <v>6180.333333333333</v>
      </c>
      <c r="AL9">
        <f>$AR$13</f>
        <v>5782.7755911033864</v>
      </c>
      <c r="AM9">
        <v>6114.8470493291125</v>
      </c>
      <c r="AQ9">
        <v>3</v>
      </c>
      <c r="AR9">
        <f t="shared" ref="AR9:AR15" si="5">AT8</f>
        <v>6242.6891164826857</v>
      </c>
      <c r="AS9">
        <f>AS8+$B$4*(AR9-AR8)-$B$5*AS8</f>
        <v>3183.8975351191116</v>
      </c>
      <c r="AT9">
        <f t="shared" si="2"/>
        <v>6086.1045435560773</v>
      </c>
    </row>
    <row r="10" spans="1:49" x14ac:dyDescent="0.2">
      <c r="A10" t="s">
        <v>93</v>
      </c>
      <c r="B10">
        <f>B8/(COUNT(F6:F25))</f>
        <v>365.30032996176766</v>
      </c>
      <c r="F10">
        <v>9</v>
      </c>
      <c r="G10">
        <v>6380.833333333333</v>
      </c>
      <c r="H10">
        <f>$N$15</f>
        <v>6367.5951285068822</v>
      </c>
      <c r="I10">
        <v>6068.2026666783349</v>
      </c>
      <c r="J10">
        <v>5668.6579131280541</v>
      </c>
      <c r="M10">
        <v>4</v>
      </c>
      <c r="N10">
        <f t="shared" si="4"/>
        <v>6715.3218052070297</v>
      </c>
      <c r="O10">
        <f t="shared" ref="O10:O29" si="6">O9+$B$4*(N10-N9)-$B$5*O9</f>
        <v>2599.549498487977</v>
      </c>
      <c r="P10">
        <f>N10-$B$2*O10*(N10/($B$3*O10+N10))</f>
        <v>6644.222153173956</v>
      </c>
      <c r="R10">
        <f>G8</f>
        <v>6266.333333333333</v>
      </c>
      <c r="S10">
        <f t="shared" si="0"/>
        <v>448.98847187369665</v>
      </c>
      <c r="V10" t="s">
        <v>91</v>
      </c>
      <c r="W10">
        <v>6720.7406473412611</v>
      </c>
      <c r="AE10" t="s">
        <v>93</v>
      </c>
      <c r="AF10">
        <f>AF8/(COUNT(AJ6:AJ25))</f>
        <v>469.91848576144605</v>
      </c>
      <c r="AJ10">
        <v>9</v>
      </c>
      <c r="AK10">
        <v>6380.833333333333</v>
      </c>
      <c r="AL10">
        <f>$AR$15</f>
        <v>5668.6579131280541</v>
      </c>
      <c r="AM10">
        <v>6068.2026666783349</v>
      </c>
      <c r="AQ10">
        <v>4</v>
      </c>
      <c r="AR10">
        <f t="shared" si="5"/>
        <v>6086.1045435560773</v>
      </c>
      <c r="AS10">
        <f t="shared" ref="AS10:AS16" si="7">AS9+$B$4*(AR10-AR9)-$B$5*AS9</f>
        <v>2556.9307510835815</v>
      </c>
      <c r="AT10">
        <f t="shared" si="2"/>
        <v>5961.4675163464717</v>
      </c>
      <c r="AV10">
        <f>AK8</f>
        <v>6266.333333333333</v>
      </c>
      <c r="AW10">
        <f t="shared" ref="AW10" si="8">((AV10-AR10)^2)^0.5</f>
        <v>180.22878977725577</v>
      </c>
    </row>
    <row r="11" spans="1:49" x14ac:dyDescent="0.2">
      <c r="F11">
        <v>11</v>
      </c>
      <c r="G11">
        <v>6355</v>
      </c>
      <c r="H11">
        <f>$N$17</f>
        <v>6233.9450224484635</v>
      </c>
      <c r="I11">
        <v>6021.9140898907817</v>
      </c>
      <c r="J11">
        <v>5595.5233397380516</v>
      </c>
      <c r="M11">
        <v>5</v>
      </c>
      <c r="N11">
        <f t="shared" si="4"/>
        <v>6644.222153173956</v>
      </c>
      <c r="O11">
        <f t="shared" si="6"/>
        <v>2093.3260295749783</v>
      </c>
      <c r="P11">
        <f t="shared" ref="P11:P29" si="9">N11-$B$2*O11*(N11/($B$3*O11+N11))</f>
        <v>6573.9016991283861</v>
      </c>
      <c r="V11" t="s">
        <v>92</v>
      </c>
      <c r="W11">
        <v>6642.5144317195836</v>
      </c>
      <c r="AJ11">
        <v>11</v>
      </c>
      <c r="AK11">
        <v>6355</v>
      </c>
      <c r="AL11">
        <f>$AR$17</f>
        <v>5595.5233397380516</v>
      </c>
      <c r="AM11">
        <v>6021.9140898907817</v>
      </c>
      <c r="AQ11">
        <v>5</v>
      </c>
      <c r="AR11">
        <f t="shared" si="5"/>
        <v>5961.4675163464717</v>
      </c>
      <c r="AS11">
        <f t="shared" si="7"/>
        <v>2053.5363441545733</v>
      </c>
      <c r="AT11">
        <f t="shared" si="2"/>
        <v>5862.1015471151868</v>
      </c>
    </row>
    <row r="12" spans="1:49" x14ac:dyDescent="0.2">
      <c r="A12" t="s">
        <v>94</v>
      </c>
      <c r="F12">
        <v>15</v>
      </c>
      <c r="G12">
        <v>5876.833333333333</v>
      </c>
      <c r="H12">
        <f>$N$21</f>
        <v>5976.2658021603847</v>
      </c>
      <c r="I12">
        <v>5930.3935181835413</v>
      </c>
      <c r="J12">
        <v>5518.3146976594935</v>
      </c>
      <c r="M12">
        <v>6</v>
      </c>
      <c r="N12">
        <f t="shared" si="4"/>
        <v>6573.9016991283861</v>
      </c>
      <c r="O12">
        <f t="shared" si="6"/>
        <v>1684.3753864920257</v>
      </c>
      <c r="P12">
        <f t="shared" si="9"/>
        <v>6504.3577187748042</v>
      </c>
      <c r="AE12" t="s">
        <v>94</v>
      </c>
      <c r="AJ12">
        <v>15</v>
      </c>
      <c r="AK12">
        <v>5876.833333333333</v>
      </c>
      <c r="AL12">
        <f>$AR$21</f>
        <v>5518.3146976594935</v>
      </c>
      <c r="AM12">
        <v>5930.3935181835413</v>
      </c>
      <c r="AQ12">
        <v>6</v>
      </c>
      <c r="AR12">
        <f t="shared" si="5"/>
        <v>5862.1015471151868</v>
      </c>
      <c r="AS12">
        <f t="shared" si="7"/>
        <v>1649.3207691537668</v>
      </c>
      <c r="AT12">
        <f t="shared" si="2"/>
        <v>5782.7755911033864</v>
      </c>
    </row>
    <row r="13" spans="1:49" x14ac:dyDescent="0.2">
      <c r="B13">
        <f>B8+B10*2</f>
        <v>8036.6072591588882</v>
      </c>
      <c r="F13">
        <v>16</v>
      </c>
      <c r="G13">
        <v>6112</v>
      </c>
      <c r="H13">
        <f>$N$22</f>
        <v>5913.9736106453693</v>
      </c>
      <c r="I13">
        <v>5907.7315381617427</v>
      </c>
      <c r="J13">
        <v>5507.514936931897</v>
      </c>
      <c r="M13">
        <v>7</v>
      </c>
      <c r="N13">
        <f t="shared" si="4"/>
        <v>6504.3577187748042</v>
      </c>
      <c r="O13">
        <f t="shared" si="6"/>
        <v>1354.0209142501985</v>
      </c>
      <c r="P13">
        <f t="shared" si="9"/>
        <v>6435.5887949391417</v>
      </c>
      <c r="R13">
        <f>G9</f>
        <v>6180.333333333333</v>
      </c>
      <c r="S13">
        <f t="shared" si="0"/>
        <v>324.02438544147117</v>
      </c>
      <c r="V13" t="s">
        <v>93</v>
      </c>
      <c r="W13">
        <v>332.12572158597919</v>
      </c>
      <c r="AF13">
        <f>AF8+AF10*2</f>
        <v>10338.206686751813</v>
      </c>
      <c r="AJ13">
        <v>16</v>
      </c>
      <c r="AK13">
        <v>6112</v>
      </c>
      <c r="AL13">
        <f>$AR$22</f>
        <v>5507.514936931897</v>
      </c>
      <c r="AM13">
        <v>5907.7315381617427</v>
      </c>
      <c r="AQ13">
        <v>7</v>
      </c>
      <c r="AR13">
        <f t="shared" si="5"/>
        <v>5782.7755911033864</v>
      </c>
      <c r="AS13">
        <f t="shared" si="7"/>
        <v>1324.7185858750636</v>
      </c>
      <c r="AT13">
        <f t="shared" si="2"/>
        <v>5719.3761788665115</v>
      </c>
      <c r="AV13">
        <f>AK9</f>
        <v>6180.333333333333</v>
      </c>
      <c r="AW13">
        <f t="shared" ref="AW13" si="10">((AV13-AR13)^2)^0.5</f>
        <v>397.5577422299466</v>
      </c>
    </row>
    <row r="14" spans="1:49" x14ac:dyDescent="0.2">
      <c r="F14">
        <v>18</v>
      </c>
      <c r="G14">
        <v>6412</v>
      </c>
      <c r="H14">
        <f>$N$24</f>
        <v>5792.2604623361931</v>
      </c>
      <c r="I14">
        <v>5862.6670437858256</v>
      </c>
      <c r="J14">
        <v>5491.8862156161513</v>
      </c>
      <c r="M14">
        <v>8</v>
      </c>
      <c r="N14">
        <f t="shared" si="4"/>
        <v>6435.5887949391417</v>
      </c>
      <c r="O14">
        <f t="shared" si="6"/>
        <v>1087.1720063305943</v>
      </c>
      <c r="P14">
        <f t="shared" si="9"/>
        <v>6367.5951285068822</v>
      </c>
      <c r="AJ14">
        <v>18</v>
      </c>
      <c r="AK14">
        <v>6412</v>
      </c>
      <c r="AL14">
        <f>$AR$24</f>
        <v>5491.8862156161513</v>
      </c>
      <c r="AM14">
        <v>5862.6670437858256</v>
      </c>
      <c r="AQ14">
        <v>8</v>
      </c>
      <c r="AR14">
        <f t="shared" si="5"/>
        <v>5719.3761788665115</v>
      </c>
      <c r="AS14">
        <f t="shared" si="7"/>
        <v>1064.0326761633639</v>
      </c>
      <c r="AT14">
        <f t="shared" si="2"/>
        <v>5668.6579131280541</v>
      </c>
    </row>
    <row r="15" spans="1:49" x14ac:dyDescent="0.2">
      <c r="D15">
        <f>(G6-G15)/G6</f>
        <v>0.18252570449352631</v>
      </c>
      <c r="F15">
        <v>21</v>
      </c>
      <c r="G15">
        <v>5724.5</v>
      </c>
      <c r="H15">
        <f>$N$27</f>
        <v>5618.5884246769301</v>
      </c>
      <c r="I15">
        <v>5795.7140214904502</v>
      </c>
      <c r="J15">
        <v>5478.2074381203884</v>
      </c>
      <c r="M15">
        <v>9</v>
      </c>
      <c r="N15">
        <f t="shared" si="4"/>
        <v>6367.5951285068822</v>
      </c>
      <c r="O15">
        <f t="shared" si="6"/>
        <v>871.6356144718942</v>
      </c>
      <c r="P15">
        <f t="shared" si="9"/>
        <v>6300.3789435613826</v>
      </c>
      <c r="R15">
        <f>G10</f>
        <v>6380.833333333333</v>
      </c>
      <c r="S15">
        <f t="shared" si="0"/>
        <v>13.238204826450783</v>
      </c>
      <c r="V15" t="s">
        <v>94</v>
      </c>
      <c r="AJ15">
        <v>21</v>
      </c>
      <c r="AK15">
        <v>5724.5</v>
      </c>
      <c r="AL15">
        <f>$AR$27</f>
        <v>5478.2074381203884</v>
      </c>
      <c r="AM15">
        <v>5795.7140214904502</v>
      </c>
      <c r="AQ15">
        <v>9</v>
      </c>
      <c r="AR15">
        <f t="shared" si="5"/>
        <v>5668.6579131280541</v>
      </c>
      <c r="AS15">
        <f t="shared" si="7"/>
        <v>854.66657576615228</v>
      </c>
      <c r="AT15">
        <f t="shared" si="2"/>
        <v>5628.0527323446358</v>
      </c>
      <c r="AV15">
        <f>AK10</f>
        <v>6380.833333333333</v>
      </c>
      <c r="AW15">
        <f t="shared" ref="AW15" si="11">((AV15-AR15)^2)^0.5</f>
        <v>712.1754202052789</v>
      </c>
    </row>
    <row r="16" spans="1:49" x14ac:dyDescent="0.2">
      <c r="F16">
        <v>23</v>
      </c>
      <c r="G16">
        <v>5284.9333333333334</v>
      </c>
      <c r="H16">
        <f>$N$29</f>
        <v>5512.199715828945</v>
      </c>
      <c r="I16">
        <v>5751.5040027652012</v>
      </c>
      <c r="J16">
        <v>5472.9891318001546</v>
      </c>
      <c r="M16">
        <v>10</v>
      </c>
      <c r="N16">
        <f t="shared" si="4"/>
        <v>6300.3789435613826</v>
      </c>
      <c r="O16">
        <f t="shared" si="6"/>
        <v>697.55995799874063</v>
      </c>
      <c r="P16">
        <f t="shared" si="9"/>
        <v>6233.9450224484635</v>
      </c>
      <c r="W16">
        <v>7306.7658748915419</v>
      </c>
      <c r="AJ16">
        <v>23</v>
      </c>
      <c r="AK16">
        <v>5284.9333333333334</v>
      </c>
      <c r="AL16">
        <f>$AR$29</f>
        <v>5472.9891318001546</v>
      </c>
      <c r="AM16">
        <v>5751.5040027652012</v>
      </c>
      <c r="AQ16">
        <v>10</v>
      </c>
      <c r="AR16">
        <f>AT15</f>
        <v>5628.0527323446358</v>
      </c>
      <c r="AS16">
        <f t="shared" si="7"/>
        <v>686.5100751407092</v>
      </c>
      <c r="AT16">
        <f>AR16-$AF$2*AS16*(AR16/($AF$3+AR16))</f>
        <v>5595.5233397380516</v>
      </c>
    </row>
    <row r="17" spans="6:49" x14ac:dyDescent="0.2">
      <c r="F17">
        <v>25</v>
      </c>
      <c r="G17">
        <v>5509.8</v>
      </c>
      <c r="H17">
        <f>$N$31</f>
        <v>5424.3660609160397</v>
      </c>
      <c r="I17">
        <v>5707.6312204440319</v>
      </c>
      <c r="J17">
        <v>5469.6228269874209</v>
      </c>
      <c r="M17">
        <v>11</v>
      </c>
      <c r="N17">
        <f t="shared" si="4"/>
        <v>6233.9450224484635</v>
      </c>
      <c r="O17">
        <f t="shared" si="6"/>
        <v>556.98505395169059</v>
      </c>
      <c r="P17">
        <f t="shared" si="9"/>
        <v>6168.3014236528252</v>
      </c>
      <c r="R17">
        <f>G11</f>
        <v>6355</v>
      </c>
      <c r="S17">
        <f t="shared" si="0"/>
        <v>121.05497755153647</v>
      </c>
      <c r="AJ17">
        <v>25</v>
      </c>
      <c r="AK17">
        <v>5509.8</v>
      </c>
      <c r="AL17">
        <f>$AR$31</f>
        <v>5469.6228269874209</v>
      </c>
      <c r="AM17">
        <v>5707.6312204440319</v>
      </c>
      <c r="AQ17">
        <v>11</v>
      </c>
      <c r="AR17">
        <f t="shared" ref="AR17:AR29" si="12">AT16</f>
        <v>5595.5233397380516</v>
      </c>
      <c r="AS17">
        <f t="shared" ref="AS17:AS30" si="13">AS16+$B$4*(AR17-AR16)-$B$5*AS16</f>
        <v>551.44720145303461</v>
      </c>
      <c r="AT17">
        <f t="shared" ref="AT17:AT29" si="14">AR17-$AF$2*AS17*(AR17/($AF$3+AR17))</f>
        <v>5569.4499623278334</v>
      </c>
      <c r="AV17">
        <f>AK11</f>
        <v>6355</v>
      </c>
      <c r="AW17">
        <f t="shared" ref="AW17" si="15">((AV17-AR17)^2)^0.5</f>
        <v>759.47666026194838</v>
      </c>
    </row>
    <row r="18" spans="6:49" x14ac:dyDescent="0.2">
      <c r="F18">
        <v>28</v>
      </c>
      <c r="G18">
        <v>4618</v>
      </c>
      <c r="H18">
        <f>$N$34</f>
        <v>5402.6021438057942</v>
      </c>
      <c r="I18">
        <v>5642.4487433389704</v>
      </c>
      <c r="J18">
        <v>5466.6738775555868</v>
      </c>
      <c r="M18">
        <v>12</v>
      </c>
      <c r="N18">
        <f t="shared" si="4"/>
        <v>6168.3014236528252</v>
      </c>
      <c r="O18">
        <f t="shared" si="6"/>
        <v>443.47956371340211</v>
      </c>
      <c r="P18">
        <f t="shared" si="9"/>
        <v>6103.460462682041</v>
      </c>
      <c r="AJ18">
        <v>28</v>
      </c>
      <c r="AK18">
        <v>4618</v>
      </c>
      <c r="AL18">
        <f>$AR$34</f>
        <v>5466.6738775555868</v>
      </c>
      <c r="AM18">
        <v>5642.4487433389704</v>
      </c>
      <c r="AQ18">
        <v>12</v>
      </c>
      <c r="AR18">
        <f t="shared" si="12"/>
        <v>5569.4499623278334</v>
      </c>
      <c r="AS18">
        <f t="shared" si="13"/>
        <v>442.96200103303011</v>
      </c>
      <c r="AT18">
        <f t="shared" si="14"/>
        <v>5548.5423986737514</v>
      </c>
    </row>
    <row r="19" spans="6:49" x14ac:dyDescent="0.2">
      <c r="F19">
        <v>42</v>
      </c>
      <c r="G19">
        <v>5175.666666666667</v>
      </c>
      <c r="H19">
        <f>$N$47</f>
        <v>5406.0224793246261</v>
      </c>
      <c r="I19">
        <v>5347.9701182221279</v>
      </c>
      <c r="J19">
        <v>5463.6845652978373</v>
      </c>
      <c r="M19">
        <v>13</v>
      </c>
      <c r="N19">
        <f t="shared" si="4"/>
        <v>6103.460462682041</v>
      </c>
      <c r="O19">
        <f t="shared" si="6"/>
        <v>351.8473913833505</v>
      </c>
      <c r="P19">
        <f t="shared" si="9"/>
        <v>6039.4400808374985</v>
      </c>
      <c r="AJ19">
        <v>42</v>
      </c>
      <c r="AK19">
        <v>5175.666666666667</v>
      </c>
      <c r="AL19">
        <f>$AR$47</f>
        <v>5463.6845652978373</v>
      </c>
      <c r="AM19">
        <v>5347.9701182221279</v>
      </c>
      <c r="AQ19">
        <v>13</v>
      </c>
      <c r="AR19">
        <f t="shared" si="12"/>
        <v>5548.5423986737514</v>
      </c>
      <c r="AS19">
        <f t="shared" si="13"/>
        <v>355.82254046928011</v>
      </c>
      <c r="AT19">
        <f t="shared" si="14"/>
        <v>5531.7713700109771</v>
      </c>
    </row>
    <row r="20" spans="6:49" x14ac:dyDescent="0.2">
      <c r="F20">
        <v>49</v>
      </c>
      <c r="G20">
        <v>4810.666666666667</v>
      </c>
      <c r="H20">
        <f>$N$54</f>
        <v>5405.4962646243193</v>
      </c>
      <c r="I20">
        <v>5206.5452437932245</v>
      </c>
      <c r="J20">
        <v>5463.5402316326363</v>
      </c>
      <c r="M20">
        <v>14</v>
      </c>
      <c r="N20">
        <f t="shared" si="4"/>
        <v>6039.4400808374985</v>
      </c>
      <c r="O20">
        <f t="shared" si="6"/>
        <v>277.89065405329296</v>
      </c>
      <c r="P20">
        <f t="shared" si="9"/>
        <v>5976.2658021603847</v>
      </c>
      <c r="AJ20">
        <v>49</v>
      </c>
      <c r="AK20">
        <v>4810.666666666667</v>
      </c>
      <c r="AL20">
        <f>$AR$54</f>
        <v>5463.5402316326363</v>
      </c>
      <c r="AM20">
        <v>5206.5452437932245</v>
      </c>
      <c r="AQ20">
        <v>14</v>
      </c>
      <c r="AR20">
        <f t="shared" si="12"/>
        <v>5531.7713700109771</v>
      </c>
      <c r="AS20">
        <f t="shared" si="13"/>
        <v>285.82750983290089</v>
      </c>
      <c r="AT20">
        <f t="shared" si="14"/>
        <v>5518.3146976594935</v>
      </c>
    </row>
    <row r="21" spans="6:49" x14ac:dyDescent="0.2">
      <c r="F21">
        <v>56</v>
      </c>
      <c r="G21">
        <v>5463.5</v>
      </c>
      <c r="H21">
        <f>$N$61</f>
        <v>5405.6739275664868</v>
      </c>
      <c r="I21">
        <v>5068.8602921135307</v>
      </c>
      <c r="J21">
        <v>5463.5090741797876</v>
      </c>
      <c r="M21">
        <v>15</v>
      </c>
      <c r="N21">
        <f t="shared" si="4"/>
        <v>5976.2658021603847</v>
      </c>
      <c r="O21">
        <f t="shared" si="6"/>
        <v>218.21822060734934</v>
      </c>
      <c r="P21">
        <f t="shared" si="9"/>
        <v>5913.9736106453693</v>
      </c>
      <c r="R21">
        <f>G12</f>
        <v>5876.833333333333</v>
      </c>
      <c r="S21">
        <f t="shared" si="0"/>
        <v>99.432468827051707</v>
      </c>
      <c r="AJ21">
        <v>56</v>
      </c>
      <c r="AK21">
        <v>5463.5</v>
      </c>
      <c r="AL21">
        <f>$AR$61</f>
        <v>5463.5090741797876</v>
      </c>
      <c r="AM21">
        <v>5068.8602921135307</v>
      </c>
      <c r="AQ21">
        <v>15</v>
      </c>
      <c r="AR21">
        <f t="shared" si="12"/>
        <v>5518.3146976594935</v>
      </c>
      <c r="AS21">
        <f t="shared" si="13"/>
        <v>229.60296070983554</v>
      </c>
      <c r="AT21">
        <f t="shared" si="14"/>
        <v>5507.514936931897</v>
      </c>
      <c r="AV21">
        <f>AK12</f>
        <v>5876.833333333333</v>
      </c>
      <c r="AW21">
        <f t="shared" ref="AW21:AW22" si="16">((AV21-AR21)^2)^0.5</f>
        <v>358.51863567383953</v>
      </c>
    </row>
    <row r="22" spans="6:49" x14ac:dyDescent="0.2">
      <c r="F22">
        <v>63</v>
      </c>
      <c r="G22">
        <v>4773.333333333333</v>
      </c>
      <c r="H22">
        <f>$N$69</f>
        <v>5405.6419626471325</v>
      </c>
      <c r="I22">
        <v>4934.8163624611861</v>
      </c>
      <c r="J22">
        <v>5463.5019839504603</v>
      </c>
      <c r="M22">
        <v>16</v>
      </c>
      <c r="N22">
        <f t="shared" si="4"/>
        <v>5913.9736106453693</v>
      </c>
      <c r="O22">
        <f t="shared" si="6"/>
        <v>170.0911030992367</v>
      </c>
      <c r="P22">
        <f t="shared" si="9"/>
        <v>5852.6143196296352</v>
      </c>
      <c r="R22">
        <f>G13</f>
        <v>6112</v>
      </c>
      <c r="S22">
        <f t="shared" si="0"/>
        <v>198.02638935463074</v>
      </c>
      <c r="AJ22">
        <v>63</v>
      </c>
      <c r="AK22">
        <v>4773.333333333333</v>
      </c>
      <c r="AL22">
        <f>$AR$69</f>
        <v>5463.5019839504603</v>
      </c>
      <c r="AM22">
        <v>4934.8163624611861</v>
      </c>
      <c r="AQ22">
        <v>16</v>
      </c>
      <c r="AR22">
        <f t="shared" si="12"/>
        <v>5507.514936931897</v>
      </c>
      <c r="AS22">
        <f t="shared" si="13"/>
        <v>184.43921618078747</v>
      </c>
      <c r="AT22">
        <f t="shared" si="14"/>
        <v>5498.8459138250746</v>
      </c>
      <c r="AV22">
        <f>AK13</f>
        <v>6112</v>
      </c>
      <c r="AW22">
        <f t="shared" si="16"/>
        <v>604.48506306810305</v>
      </c>
    </row>
    <row r="23" spans="6:49" x14ac:dyDescent="0.2">
      <c r="F23">
        <v>70</v>
      </c>
      <c r="G23">
        <v>4931.333333333333</v>
      </c>
      <c r="H23">
        <f>$N$75</f>
        <v>5405.6340543790457</v>
      </c>
      <c r="I23">
        <v>4804.3171695033207</v>
      </c>
      <c r="J23">
        <v>5463.500896188878</v>
      </c>
      <c r="M23">
        <v>17</v>
      </c>
      <c r="N23">
        <f t="shared" si="4"/>
        <v>5852.6143196296352</v>
      </c>
      <c r="O23">
        <f t="shared" si="6"/>
        <v>131.29768220260985</v>
      </c>
      <c r="P23">
        <f>N23-$B$2*O23*(N23/($B$3*O23+N23))</f>
        <v>5792.2604623361931</v>
      </c>
      <c r="AJ23">
        <v>70</v>
      </c>
      <c r="AK23">
        <v>4931.333333333333</v>
      </c>
      <c r="AL23">
        <f>$AR$75</f>
        <v>5463.500896188878</v>
      </c>
      <c r="AM23">
        <v>4804.3171695033207</v>
      </c>
      <c r="AQ23">
        <v>17</v>
      </c>
      <c r="AR23">
        <f t="shared" si="12"/>
        <v>5498.8459138250746</v>
      </c>
      <c r="AS23">
        <f t="shared" si="13"/>
        <v>148.15998436339405</v>
      </c>
      <c r="AT23">
        <f t="shared" si="14"/>
        <v>5491.8862156161513</v>
      </c>
    </row>
    <row r="24" spans="6:49" x14ac:dyDescent="0.2">
      <c r="F24">
        <v>77</v>
      </c>
      <c r="G24">
        <v>5069.333333333333</v>
      </c>
      <c r="H24">
        <f>$N$83</f>
        <v>5405.6303797221644</v>
      </c>
      <c r="I24">
        <v>4677.2689741331669</v>
      </c>
      <c r="J24">
        <v>5463.5005657776865</v>
      </c>
      <c r="M24">
        <v>18</v>
      </c>
      <c r="N24">
        <f t="shared" si="4"/>
        <v>5792.2604623361931</v>
      </c>
      <c r="O24">
        <f t="shared" si="6"/>
        <v>100.05314149036454</v>
      </c>
      <c r="P24">
        <f t="shared" si="9"/>
        <v>5733.0176522561742</v>
      </c>
      <c r="R24">
        <f>G14</f>
        <v>6412</v>
      </c>
      <c r="S24">
        <f t="shared" si="0"/>
        <v>619.73953766380691</v>
      </c>
      <c r="AJ24">
        <v>77</v>
      </c>
      <c r="AK24">
        <v>5069.333333333333</v>
      </c>
      <c r="AL24">
        <f>$AR$83</f>
        <v>5463.5005657776865</v>
      </c>
      <c r="AM24">
        <v>4677.2689741331669</v>
      </c>
      <c r="AQ24">
        <v>18</v>
      </c>
      <c r="AR24">
        <f t="shared" si="12"/>
        <v>5491.8862156161513</v>
      </c>
      <c r="AS24">
        <f t="shared" si="13"/>
        <v>119.01729754473004</v>
      </c>
      <c r="AT24">
        <f t="shared" si="14"/>
        <v>5486.2981378883342</v>
      </c>
      <c r="AV24">
        <f>AK14</f>
        <v>6412</v>
      </c>
      <c r="AW24">
        <f t="shared" ref="AW24" si="17">((AV24-AR24)^2)^0.5</f>
        <v>920.11378438384872</v>
      </c>
    </row>
    <row r="25" spans="6:49" x14ac:dyDescent="0.2">
      <c r="F25">
        <v>84</v>
      </c>
      <c r="G25">
        <v>4624.0666666666666</v>
      </c>
      <c r="H25">
        <f>$N$90</f>
        <v>5405.6283639522571</v>
      </c>
      <c r="I25">
        <v>4553.5805161361559</v>
      </c>
      <c r="J25">
        <v>5463.5005114231617</v>
      </c>
      <c r="M25">
        <v>19</v>
      </c>
      <c r="N25">
        <f t="shared" si="4"/>
        <v>5733.0176522561742</v>
      </c>
      <c r="O25">
        <f t="shared" si="6"/>
        <v>74.918657316212659</v>
      </c>
      <c r="P25">
        <f t="shared" si="9"/>
        <v>5675.0443351538197</v>
      </c>
      <c r="AJ25">
        <v>84</v>
      </c>
      <c r="AK25">
        <v>4624.0666666666666</v>
      </c>
      <c r="AL25">
        <f>$AR$90</f>
        <v>5463.5005114231617</v>
      </c>
      <c r="AM25">
        <v>4553.5805161361559</v>
      </c>
      <c r="AQ25">
        <v>19</v>
      </c>
      <c r="AR25">
        <f t="shared" si="12"/>
        <v>5486.2981378883342</v>
      </c>
      <c r="AS25">
        <f t="shared" si="13"/>
        <v>95.607168643360168</v>
      </c>
      <c r="AT25">
        <f t="shared" si="14"/>
        <v>5481.8109299787639</v>
      </c>
    </row>
    <row r="26" spans="6:49" x14ac:dyDescent="0.2">
      <c r="M26">
        <v>20</v>
      </c>
      <c r="N26">
        <f t="shared" si="4"/>
        <v>5675.0443351538197</v>
      </c>
      <c r="O26">
        <f t="shared" si="6"/>
        <v>54.736943401264377</v>
      </c>
      <c r="P26">
        <f t="shared" si="9"/>
        <v>5618.5884246769301</v>
      </c>
      <c r="AQ26">
        <v>20</v>
      </c>
      <c r="AR26">
        <f t="shared" si="12"/>
        <v>5481.8109299787639</v>
      </c>
      <c r="AS26">
        <f t="shared" si="13"/>
        <v>76.801871472877991</v>
      </c>
      <c r="AT26">
        <f t="shared" si="14"/>
        <v>5478.2074381203884</v>
      </c>
    </row>
    <row r="27" spans="6:49" x14ac:dyDescent="0.2">
      <c r="M27">
        <v>21</v>
      </c>
      <c r="N27">
        <f t="shared" si="4"/>
        <v>5618.5884246769301</v>
      </c>
      <c r="O27">
        <f t="shared" si="6"/>
        <v>38.581859220532657</v>
      </c>
      <c r="P27">
        <f t="shared" si="9"/>
        <v>5564.0609279858318</v>
      </c>
      <c r="R27">
        <f>G15</f>
        <v>5724.5</v>
      </c>
      <c r="S27">
        <f t="shared" si="0"/>
        <v>105.91157532306988</v>
      </c>
      <c r="AQ27">
        <v>21</v>
      </c>
      <c r="AR27">
        <f t="shared" si="12"/>
        <v>5478.2074381203884</v>
      </c>
      <c r="AS27">
        <f t="shared" si="13"/>
        <v>61.69556296424787</v>
      </c>
      <c r="AT27">
        <f t="shared" si="14"/>
        <v>5475.3134420278811</v>
      </c>
      <c r="AV27">
        <f>AK15</f>
        <v>5724.5</v>
      </c>
      <c r="AW27">
        <f t="shared" ref="AW27" si="18">((AV27-AR27)^2)^0.5</f>
        <v>246.29256187961164</v>
      </c>
    </row>
    <row r="28" spans="6:49" x14ac:dyDescent="0.2">
      <c r="M28">
        <v>22</v>
      </c>
      <c r="N28">
        <f t="shared" si="4"/>
        <v>5564.0609279858318</v>
      </c>
      <c r="O28">
        <f t="shared" si="6"/>
        <v>25.721392581080551</v>
      </c>
      <c r="P28">
        <f t="shared" si="9"/>
        <v>5512.199715828945</v>
      </c>
      <c r="AQ28">
        <v>22</v>
      </c>
      <c r="AR28">
        <f t="shared" si="12"/>
        <v>5475.3134420278811</v>
      </c>
      <c r="AS28">
        <f t="shared" si="13"/>
        <v>49.560615265861557</v>
      </c>
      <c r="AT28">
        <f t="shared" si="14"/>
        <v>5472.9891318001546</v>
      </c>
    </row>
    <row r="29" spans="6:49" x14ac:dyDescent="0.2">
      <c r="M29">
        <v>23</v>
      </c>
      <c r="N29">
        <f t="shared" si="4"/>
        <v>5512.199715828945</v>
      </c>
      <c r="O29">
        <f t="shared" si="6"/>
        <v>15.596763989824414</v>
      </c>
      <c r="P29">
        <f t="shared" si="9"/>
        <v>5464.4842800613169</v>
      </c>
      <c r="R29">
        <f>G16</f>
        <v>5284.9333333333334</v>
      </c>
      <c r="S29">
        <f t="shared" si="0"/>
        <v>227.26638249561165</v>
      </c>
      <c r="AQ29">
        <v>23</v>
      </c>
      <c r="AR29">
        <f t="shared" si="12"/>
        <v>5472.9891318001546</v>
      </c>
      <c r="AS29">
        <f t="shared" si="13"/>
        <v>39.812546112043485</v>
      </c>
      <c r="AT29">
        <f t="shared" si="14"/>
        <v>5471.1222890126473</v>
      </c>
      <c r="AV29">
        <f>AK16</f>
        <v>5284.9333333333334</v>
      </c>
      <c r="AW29">
        <f t="shared" ref="AW29" si="19">((AV29-AR29)^2)^0.5</f>
        <v>188.05579846682122</v>
      </c>
    </row>
    <row r="30" spans="6:49" x14ac:dyDescent="0.2">
      <c r="M30">
        <v>24</v>
      </c>
      <c r="N30">
        <f t="shared" ref="N30:N90" si="20">P29</f>
        <v>5464.4842800613169</v>
      </c>
      <c r="O30">
        <f t="shared" ref="O30:O90" si="21">O29+$B$4*(N30-N29)-$B$5*O29</f>
        <v>7.8306417270153101</v>
      </c>
      <c r="P30">
        <f t="shared" ref="P30:P90" si="22">N30-$B$2*O30*(N30/($B$3*O30+N30))</f>
        <v>5424.3660609160397</v>
      </c>
      <c r="AQ30">
        <v>24</v>
      </c>
      <c r="AR30">
        <f>AT29</f>
        <v>5471.1222890126473</v>
      </c>
      <c r="AS30">
        <f t="shared" si="13"/>
        <v>31.98185297978041</v>
      </c>
      <c r="AT30">
        <f>AR30-$AF$2*AS30*(AR30/($AF$3+AR30))</f>
        <v>5469.6228269874209</v>
      </c>
    </row>
    <row r="31" spans="6:49" x14ac:dyDescent="0.2">
      <c r="M31">
        <v>25</v>
      </c>
      <c r="N31">
        <f t="shared" si="20"/>
        <v>5424.3660609160397</v>
      </c>
      <c r="O31">
        <f t="shared" si="21"/>
        <v>2.3153366009006526</v>
      </c>
      <c r="P31">
        <f t="shared" si="22"/>
        <v>5401.2850377651002</v>
      </c>
      <c r="R31">
        <f>G17</f>
        <v>5509.8</v>
      </c>
      <c r="S31">
        <f t="shared" si="0"/>
        <v>85.433939083960468</v>
      </c>
      <c r="AQ31">
        <v>25</v>
      </c>
      <c r="AR31">
        <f t="shared" ref="AR31:AR53" si="23">AT30</f>
        <v>5469.6228269874209</v>
      </c>
      <c r="AS31">
        <f t="shared" ref="AS31:AS53" si="24">AS30+$B$4*(AR31-AR30)-$B$5*AS30</f>
        <v>25.691391005139927</v>
      </c>
      <c r="AT31">
        <f t="shared" ref="AT31:AT53" si="25">AR31-$AF$2*AS31*(AR31/($AF$3+AR31))</f>
        <v>5468.4184165504748</v>
      </c>
      <c r="AV31">
        <f>AK17</f>
        <v>5509.8</v>
      </c>
      <c r="AW31">
        <f t="shared" ref="AW31" si="26">((AV31-AR31)^2)^0.5</f>
        <v>40.17717301257926</v>
      </c>
    </row>
    <row r="32" spans="6:49" x14ac:dyDescent="0.2">
      <c r="M32">
        <v>26</v>
      </c>
      <c r="N32">
        <f t="shared" si="20"/>
        <v>5401.2850377651002</v>
      </c>
      <c r="O32">
        <f t="shared" si="21"/>
        <v>-0.43731034156621995</v>
      </c>
      <c r="P32">
        <f t="shared" si="22"/>
        <v>5409.6258148834977</v>
      </c>
      <c r="AQ32">
        <v>26</v>
      </c>
      <c r="AR32">
        <f t="shared" si="23"/>
        <v>5468.4184165504748</v>
      </c>
      <c r="AS32">
        <f t="shared" si="24"/>
        <v>20.638202888458451</v>
      </c>
      <c r="AT32">
        <f t="shared" si="25"/>
        <v>5467.4509796613456</v>
      </c>
    </row>
    <row r="33" spans="13:49" x14ac:dyDescent="0.2">
      <c r="M33">
        <v>27</v>
      </c>
      <c r="N33">
        <f t="shared" si="20"/>
        <v>5409.6258148834977</v>
      </c>
      <c r="O33">
        <f t="shared" si="21"/>
        <v>0.48073095585423986</v>
      </c>
      <c r="P33">
        <f t="shared" si="22"/>
        <v>5402.6021438057942</v>
      </c>
      <c r="AQ33">
        <v>27</v>
      </c>
      <c r="AR33">
        <f t="shared" si="23"/>
        <v>5467.4509796613456</v>
      </c>
      <c r="AS33">
        <f t="shared" si="24"/>
        <v>16.57892424496151</v>
      </c>
      <c r="AT33">
        <f t="shared" si="25"/>
        <v>5466.6738775555868</v>
      </c>
    </row>
    <row r="34" spans="13:49" x14ac:dyDescent="0.2">
      <c r="M34">
        <v>28</v>
      </c>
      <c r="N34">
        <f t="shared" si="20"/>
        <v>5402.6021438057942</v>
      </c>
      <c r="O34">
        <f t="shared" si="21"/>
        <v>-0.31393649544012536</v>
      </c>
      <c r="P34">
        <f t="shared" si="22"/>
        <v>5408.353416146876</v>
      </c>
      <c r="R34">
        <f>G18</f>
        <v>4618</v>
      </c>
      <c r="S34">
        <f t="shared" ref="S34" si="27">((R34-N34)^2)^0.5</f>
        <v>784.60214380579419</v>
      </c>
      <c r="AQ34">
        <v>28</v>
      </c>
      <c r="AR34">
        <f t="shared" si="23"/>
        <v>5466.6738775555868</v>
      </c>
      <c r="AS34">
        <f t="shared" si="24"/>
        <v>13.31806057935302</v>
      </c>
      <c r="AT34">
        <f t="shared" si="25"/>
        <v>5466.0496550789921</v>
      </c>
      <c r="AV34">
        <f>AK18</f>
        <v>4618</v>
      </c>
      <c r="AW34">
        <f t="shared" ref="AW34" si="28">((AV34-AR34)^2)^0.5</f>
        <v>848.67387755558684</v>
      </c>
    </row>
    <row r="35" spans="13:49" x14ac:dyDescent="0.2">
      <c r="M35">
        <v>29</v>
      </c>
      <c r="N35">
        <f t="shared" si="20"/>
        <v>5408.353416146876</v>
      </c>
      <c r="O35">
        <f t="shared" si="21"/>
        <v>0.32146654579256451</v>
      </c>
      <c r="P35">
        <f t="shared" si="22"/>
        <v>5403.458205769326</v>
      </c>
      <c r="AQ35">
        <v>29</v>
      </c>
      <c r="AR35">
        <f t="shared" si="23"/>
        <v>5466.0496550789921</v>
      </c>
      <c r="AS35">
        <f t="shared" si="24"/>
        <v>10.69857070045777</v>
      </c>
      <c r="AT35">
        <f t="shared" si="25"/>
        <v>5465.548230706816</v>
      </c>
    </row>
    <row r="36" spans="13:49" x14ac:dyDescent="0.2">
      <c r="M36">
        <v>30</v>
      </c>
      <c r="N36">
        <f t="shared" si="20"/>
        <v>5403.458205769326</v>
      </c>
      <c r="O36">
        <f t="shared" si="21"/>
        <v>-0.22977606875461082</v>
      </c>
      <c r="P36">
        <f t="shared" si="22"/>
        <v>5407.5573165123196</v>
      </c>
      <c r="AQ36">
        <v>30</v>
      </c>
      <c r="AR36">
        <f t="shared" si="23"/>
        <v>5465.548230706816</v>
      </c>
      <c r="AS36">
        <f t="shared" si="24"/>
        <v>8.5943026887522578</v>
      </c>
      <c r="AT36">
        <f t="shared" si="25"/>
        <v>5465.1454438698738</v>
      </c>
    </row>
    <row r="37" spans="13:49" x14ac:dyDescent="0.2">
      <c r="M37">
        <v>31</v>
      </c>
      <c r="N37">
        <f t="shared" si="20"/>
        <v>5407.5573165123196</v>
      </c>
      <c r="O37">
        <f t="shared" si="21"/>
        <v>0.22425201074563617</v>
      </c>
      <c r="P37">
        <f t="shared" si="22"/>
        <v>5404.0520235403692</v>
      </c>
      <c r="AQ37">
        <v>31</v>
      </c>
      <c r="AR37">
        <f t="shared" si="23"/>
        <v>5465.1454438698738</v>
      </c>
      <c r="AS37">
        <f t="shared" si="24"/>
        <v>6.9039178888176096</v>
      </c>
      <c r="AT37">
        <f t="shared" si="25"/>
        <v>5464.8218888464171</v>
      </c>
    </row>
    <row r="38" spans="13:49" x14ac:dyDescent="0.2">
      <c r="M38">
        <v>32</v>
      </c>
      <c r="N38">
        <f t="shared" si="20"/>
        <v>5404.0520235403692</v>
      </c>
      <c r="O38">
        <f t="shared" si="21"/>
        <v>-0.16933367251256992</v>
      </c>
      <c r="P38">
        <f t="shared" si="22"/>
        <v>5407.0170578500065</v>
      </c>
      <c r="AQ38">
        <v>32</v>
      </c>
      <c r="AR38">
        <f t="shared" si="23"/>
        <v>5464.8218888464171</v>
      </c>
      <c r="AS38">
        <f t="shared" si="24"/>
        <v>5.5460101518189564</v>
      </c>
      <c r="AT38">
        <f t="shared" si="25"/>
        <v>5464.5619785567769</v>
      </c>
    </row>
    <row r="39" spans="13:49" x14ac:dyDescent="0.2">
      <c r="M39">
        <v>33</v>
      </c>
      <c r="N39">
        <f t="shared" si="20"/>
        <v>5407.0170578500065</v>
      </c>
      <c r="O39">
        <f t="shared" si="21"/>
        <v>0.15968182357357388</v>
      </c>
      <c r="P39">
        <f t="shared" si="22"/>
        <v>5404.4763599317648</v>
      </c>
      <c r="AQ39">
        <v>33</v>
      </c>
      <c r="AR39">
        <f t="shared" si="23"/>
        <v>5464.5619785567769</v>
      </c>
      <c r="AS39">
        <f t="shared" si="24"/>
        <v>4.4551851737056998</v>
      </c>
      <c r="AT39">
        <f t="shared" si="25"/>
        <v>5464.35319284872</v>
      </c>
    </row>
    <row r="40" spans="13:49" x14ac:dyDescent="0.2">
      <c r="M40">
        <v>34</v>
      </c>
      <c r="N40">
        <f t="shared" si="20"/>
        <v>5404.4763599317648</v>
      </c>
      <c r="O40">
        <f t="shared" si="21"/>
        <v>-0.12504687837671991</v>
      </c>
      <c r="P40">
        <f t="shared" si="22"/>
        <v>5406.6366942996765</v>
      </c>
      <c r="AQ40">
        <v>34</v>
      </c>
      <c r="AR40">
        <f t="shared" si="23"/>
        <v>5464.35319284872</v>
      </c>
      <c r="AS40">
        <f t="shared" si="24"/>
        <v>3.5789110495485157</v>
      </c>
      <c r="AT40">
        <f t="shared" si="25"/>
        <v>5464.1854748619035</v>
      </c>
    </row>
    <row r="41" spans="13:49" x14ac:dyDescent="0.2">
      <c r="M41">
        <v>35</v>
      </c>
      <c r="N41">
        <f t="shared" si="20"/>
        <v>5406.6366942996765</v>
      </c>
      <c r="O41">
        <f t="shared" si="21"/>
        <v>0.11499555906277767</v>
      </c>
      <c r="P41">
        <f t="shared" si="22"/>
        <v>5404.7840319922643</v>
      </c>
      <c r="AQ41">
        <v>35</v>
      </c>
      <c r="AR41">
        <f t="shared" si="23"/>
        <v>5464.1854748619035</v>
      </c>
      <c r="AS41">
        <f t="shared" si="24"/>
        <v>2.8749883293535436</v>
      </c>
      <c r="AT41">
        <f t="shared" si="25"/>
        <v>5464.0507462657397</v>
      </c>
    </row>
    <row r="42" spans="13:49" x14ac:dyDescent="0.2">
      <c r="M42">
        <v>36</v>
      </c>
      <c r="N42">
        <f t="shared" si="20"/>
        <v>5404.7840319922643</v>
      </c>
      <c r="O42">
        <f t="shared" si="21"/>
        <v>-9.2349819018493096E-2</v>
      </c>
      <c r="P42">
        <f t="shared" si="22"/>
        <v>5406.3639121919241</v>
      </c>
      <c r="AQ42">
        <v>36</v>
      </c>
      <c r="AR42">
        <f t="shared" si="23"/>
        <v>5464.0507462657397</v>
      </c>
      <c r="AS42">
        <f t="shared" si="24"/>
        <v>2.3095177105012863</v>
      </c>
      <c r="AT42">
        <f t="shared" si="25"/>
        <v>5463.9425179379077</v>
      </c>
    </row>
    <row r="43" spans="13:49" x14ac:dyDescent="0.2">
      <c r="M43">
        <v>37</v>
      </c>
      <c r="N43">
        <f t="shared" si="20"/>
        <v>5406.3639121919241</v>
      </c>
      <c r="O43">
        <f t="shared" si="21"/>
        <v>8.3369366199035913E-2</v>
      </c>
      <c r="P43">
        <f t="shared" si="22"/>
        <v>5405.0087299790375</v>
      </c>
      <c r="AQ43">
        <v>37</v>
      </c>
      <c r="AR43">
        <f t="shared" si="23"/>
        <v>5463.9425179379077</v>
      </c>
      <c r="AS43">
        <f t="shared" si="24"/>
        <v>1.8552674773018425</v>
      </c>
      <c r="AT43">
        <f t="shared" si="25"/>
        <v>5463.8555772780783</v>
      </c>
    </row>
    <row r="44" spans="13:49" x14ac:dyDescent="0.2">
      <c r="M44">
        <v>38</v>
      </c>
      <c r="N44">
        <f t="shared" si="20"/>
        <v>5405.0087299790375</v>
      </c>
      <c r="O44">
        <f t="shared" si="21"/>
        <v>-6.81557733998365E-2</v>
      </c>
      <c r="P44">
        <f t="shared" si="22"/>
        <v>5406.1663487936185</v>
      </c>
      <c r="AQ44">
        <v>38</v>
      </c>
      <c r="AR44">
        <f t="shared" si="23"/>
        <v>5463.8555772780783</v>
      </c>
      <c r="AS44">
        <f t="shared" si="24"/>
        <v>1.4903620556769437</v>
      </c>
      <c r="AT44">
        <f t="shared" si="25"/>
        <v>5463.7857370621086</v>
      </c>
    </row>
    <row r="45" spans="13:49" x14ac:dyDescent="0.2">
      <c r="M45">
        <v>39</v>
      </c>
      <c r="N45">
        <f t="shared" si="20"/>
        <v>5406.1663487936185</v>
      </c>
      <c r="O45">
        <f t="shared" si="21"/>
        <v>6.0692016551024949E-2</v>
      </c>
      <c r="P45">
        <f t="shared" si="22"/>
        <v>5405.1734071878809</v>
      </c>
      <c r="AQ45">
        <v>39</v>
      </c>
      <c r="AR45">
        <f t="shared" si="23"/>
        <v>5463.7857370621086</v>
      </c>
      <c r="AS45">
        <f t="shared" si="24"/>
        <v>1.197228519390007</v>
      </c>
      <c r="AT45">
        <f t="shared" si="25"/>
        <v>5463.7296337185599</v>
      </c>
    </row>
    <row r="46" spans="13:49" x14ac:dyDescent="0.2">
      <c r="M46">
        <v>40</v>
      </c>
      <c r="N46">
        <f t="shared" si="20"/>
        <v>5405.1734071878809</v>
      </c>
      <c r="O46">
        <f t="shared" si="21"/>
        <v>-5.0255011200526042E-2</v>
      </c>
      <c r="P46">
        <f t="shared" si="22"/>
        <v>5406.0224793246261</v>
      </c>
      <c r="AQ46">
        <v>40</v>
      </c>
      <c r="AR46">
        <f t="shared" si="23"/>
        <v>5463.7296337185599</v>
      </c>
      <c r="AS46">
        <f t="shared" si="24"/>
        <v>0.96175030931224725</v>
      </c>
      <c r="AT46">
        <f t="shared" si="25"/>
        <v>5463.6845652978373</v>
      </c>
    </row>
    <row r="47" spans="13:49" x14ac:dyDescent="0.2">
      <c r="M47">
        <v>41</v>
      </c>
      <c r="N47">
        <f t="shared" si="20"/>
        <v>5406.0224793246261</v>
      </c>
      <c r="O47">
        <f t="shared" si="21"/>
        <v>4.4301164624498485E-2</v>
      </c>
      <c r="P47">
        <f t="shared" si="22"/>
        <v>5405.294291853922</v>
      </c>
      <c r="R47">
        <f>G19</f>
        <v>5175.666666666667</v>
      </c>
      <c r="S47">
        <f t="shared" ref="S47" si="29">((R47-N47)^2)^0.5</f>
        <v>230.35581265795918</v>
      </c>
      <c r="AQ47">
        <v>41</v>
      </c>
      <c r="AR47">
        <f t="shared" si="23"/>
        <v>5463.6845652978373</v>
      </c>
      <c r="AS47">
        <f t="shared" si="24"/>
        <v>0.77258740785203572</v>
      </c>
      <c r="AT47">
        <f t="shared" si="25"/>
        <v>5463.6483613211358</v>
      </c>
      <c r="AV47">
        <f>AK19</f>
        <v>5175.666666666667</v>
      </c>
      <c r="AW47">
        <f t="shared" ref="AW47" si="30">((AV47-AR47)^2)^0.5</f>
        <v>288.01789863117028</v>
      </c>
    </row>
    <row r="48" spans="13:49" x14ac:dyDescent="0.2">
      <c r="M48">
        <v>42</v>
      </c>
      <c r="N48">
        <f t="shared" si="20"/>
        <v>5405.294291853922</v>
      </c>
      <c r="O48">
        <f t="shared" si="21"/>
        <v>-3.7023406053819471E-2</v>
      </c>
      <c r="P48">
        <f t="shared" si="22"/>
        <v>5405.9173822666689</v>
      </c>
      <c r="AQ48">
        <v>42</v>
      </c>
      <c r="AR48">
        <f t="shared" si="23"/>
        <v>5463.6483613211358</v>
      </c>
      <c r="AS48">
        <f t="shared" si="24"/>
        <v>0.62063022787429767</v>
      </c>
      <c r="AT48">
        <f t="shared" si="25"/>
        <v>5463.6192782351181</v>
      </c>
    </row>
    <row r="49" spans="13:49" x14ac:dyDescent="0.2">
      <c r="M49">
        <v>43</v>
      </c>
      <c r="N49">
        <f t="shared" si="20"/>
        <v>5405.9173822666689</v>
      </c>
      <c r="O49">
        <f t="shared" si="21"/>
        <v>3.2394129183207172E-2</v>
      </c>
      <c r="P49">
        <f t="shared" si="22"/>
        <v>5405.3830893404347</v>
      </c>
      <c r="AQ49">
        <v>43</v>
      </c>
      <c r="AR49">
        <f t="shared" si="23"/>
        <v>5463.6192782351181</v>
      </c>
      <c r="AS49">
        <f t="shared" si="24"/>
        <v>0.49856091552066889</v>
      </c>
      <c r="AT49">
        <f t="shared" si="25"/>
        <v>5463.595915433616</v>
      </c>
    </row>
    <row r="50" spans="13:49" x14ac:dyDescent="0.2">
      <c r="M50">
        <v>44</v>
      </c>
      <c r="N50">
        <f t="shared" si="20"/>
        <v>5405.3830893404347</v>
      </c>
      <c r="O50">
        <f t="shared" si="21"/>
        <v>-2.7254836243391561E-2</v>
      </c>
      <c r="P50">
        <f t="shared" si="22"/>
        <v>5405.8404664930476</v>
      </c>
      <c r="AQ50">
        <v>44</v>
      </c>
      <c r="AR50">
        <f t="shared" si="23"/>
        <v>5463.595915433616</v>
      </c>
      <c r="AS50">
        <f t="shared" si="24"/>
        <v>0.40050093959048877</v>
      </c>
      <c r="AT50">
        <f t="shared" si="25"/>
        <v>5463.5771477995322</v>
      </c>
    </row>
    <row r="51" spans="13:49" x14ac:dyDescent="0.2">
      <c r="M51">
        <v>45</v>
      </c>
      <c r="N51">
        <f t="shared" si="20"/>
        <v>5405.8404664930476</v>
      </c>
      <c r="O51">
        <f t="shared" si="21"/>
        <v>2.3715807576633111E-2</v>
      </c>
      <c r="P51">
        <f t="shared" si="22"/>
        <v>5405.4483305556541</v>
      </c>
      <c r="AQ51">
        <v>45</v>
      </c>
      <c r="AR51">
        <f t="shared" si="23"/>
        <v>5463.5771477995322</v>
      </c>
      <c r="AS51">
        <f t="shared" si="24"/>
        <v>0.32172799578073341</v>
      </c>
      <c r="AT51">
        <f t="shared" si="25"/>
        <v>5463.5620715166488</v>
      </c>
    </row>
    <row r="52" spans="13:49" x14ac:dyDescent="0.2">
      <c r="M52">
        <v>46</v>
      </c>
      <c r="N52">
        <f t="shared" si="20"/>
        <v>5405.4483305556541</v>
      </c>
      <c r="O52">
        <f t="shared" si="21"/>
        <v>-2.0051221217430922E-2</v>
      </c>
      <c r="P52">
        <f t="shared" si="22"/>
        <v>5405.7841120837456</v>
      </c>
      <c r="AQ52">
        <v>46</v>
      </c>
      <c r="AR52">
        <f t="shared" si="23"/>
        <v>5463.5620715166488</v>
      </c>
      <c r="AS52">
        <f t="shared" si="24"/>
        <v>0.25844859230248696</v>
      </c>
      <c r="AT52">
        <f t="shared" si="25"/>
        <v>5463.5499605406822</v>
      </c>
    </row>
    <row r="53" spans="13:49" x14ac:dyDescent="0.2">
      <c r="M53">
        <v>47</v>
      </c>
      <c r="N53">
        <f t="shared" si="20"/>
        <v>5405.7841120837456</v>
      </c>
      <c r="O53">
        <f t="shared" si="21"/>
        <v>1.7376766065466013E-2</v>
      </c>
      <c r="P53">
        <f t="shared" si="22"/>
        <v>5405.4962646243193</v>
      </c>
      <c r="AQ53">
        <v>47</v>
      </c>
      <c r="AR53">
        <f t="shared" si="23"/>
        <v>5463.5499605406822</v>
      </c>
      <c r="AS53">
        <f t="shared" si="24"/>
        <v>0.20761536498374875</v>
      </c>
      <c r="AT53">
        <f t="shared" si="25"/>
        <v>5463.5402316326363</v>
      </c>
    </row>
    <row r="54" spans="13:49" x14ac:dyDescent="0.2">
      <c r="M54">
        <v>48</v>
      </c>
      <c r="N54">
        <f t="shared" si="20"/>
        <v>5405.4962646243193</v>
      </c>
      <c r="O54">
        <f t="shared" si="21"/>
        <v>-1.4744318961733713E-2</v>
      </c>
      <c r="P54">
        <f t="shared" si="22"/>
        <v>5405.7427935686892</v>
      </c>
      <c r="R54">
        <f>G20</f>
        <v>4810.666666666667</v>
      </c>
      <c r="S54">
        <f t="shared" ref="S54" si="31">((R54-N54)^2)^0.5</f>
        <v>594.82959795765237</v>
      </c>
      <c r="AQ54">
        <v>48</v>
      </c>
      <c r="AR54">
        <f t="shared" ref="AR54:AR90" si="32">AT53</f>
        <v>5463.5402316326363</v>
      </c>
      <c r="AS54">
        <f t="shared" ref="AS54:AS90" si="33">AS53+$B$4*(AR54-AR53)-$B$5*AS53</f>
        <v>0.16678032410228175</v>
      </c>
      <c r="AT54">
        <f t="shared" ref="AT54:AT90" si="34">AR54-$AF$2*AS54*(AR54/($AF$3+AR54))</f>
        <v>5463.5324162701027</v>
      </c>
      <c r="AV54">
        <f>AK20</f>
        <v>4810.666666666667</v>
      </c>
      <c r="AW54">
        <f t="shared" ref="AW54" si="35">((AV54-AR54)^2)^0.5</f>
        <v>652.87356496596931</v>
      </c>
    </row>
    <row r="55" spans="13:49" x14ac:dyDescent="0.2">
      <c r="M55">
        <v>49</v>
      </c>
      <c r="N55">
        <f t="shared" si="20"/>
        <v>5405.7427935686892</v>
      </c>
      <c r="O55">
        <f t="shared" si="21"/>
        <v>1.2739484715904824E-2</v>
      </c>
      <c r="P55">
        <f t="shared" si="22"/>
        <v>5405.5314798891368</v>
      </c>
      <c r="AQ55">
        <v>49</v>
      </c>
      <c r="AR55">
        <f t="shared" si="32"/>
        <v>5463.5324162701027</v>
      </c>
      <c r="AS55">
        <f t="shared" si="33"/>
        <v>0.13397696562128164</v>
      </c>
      <c r="AT55">
        <f t="shared" si="34"/>
        <v>5463.52613808353</v>
      </c>
    </row>
    <row r="56" spans="13:49" x14ac:dyDescent="0.2">
      <c r="M56">
        <v>50</v>
      </c>
      <c r="N56">
        <f t="shared" si="20"/>
        <v>5405.5314798891368</v>
      </c>
      <c r="O56">
        <f t="shared" si="21"/>
        <v>-1.0837864304789325E-2</v>
      </c>
      <c r="P56">
        <f t="shared" si="22"/>
        <v>5405.7124856286209</v>
      </c>
      <c r="AQ56">
        <v>50</v>
      </c>
      <c r="AR56">
        <f t="shared" si="32"/>
        <v>5463.52613808353</v>
      </c>
      <c r="AS56">
        <f t="shared" si="33"/>
        <v>0.10762556956472838</v>
      </c>
      <c r="AT56">
        <f t="shared" si="34"/>
        <v>5463.5210947306732</v>
      </c>
    </row>
    <row r="57" spans="13:49" x14ac:dyDescent="0.2">
      <c r="M57">
        <v>51</v>
      </c>
      <c r="N57">
        <f t="shared" si="20"/>
        <v>5405.7124856286209</v>
      </c>
      <c r="O57">
        <f t="shared" si="21"/>
        <v>9.3435795901437389E-3</v>
      </c>
      <c r="P57">
        <f t="shared" si="22"/>
        <v>5405.5573484227389</v>
      </c>
      <c r="AQ57">
        <v>51</v>
      </c>
      <c r="AR57">
        <f t="shared" si="32"/>
        <v>5463.5210947306732</v>
      </c>
      <c r="AS57">
        <f t="shared" si="33"/>
        <v>8.6457124922623169E-2</v>
      </c>
      <c r="AT57">
        <f t="shared" si="34"/>
        <v>5463.5170433362173</v>
      </c>
    </row>
    <row r="58" spans="13:49" x14ac:dyDescent="0.2">
      <c r="M58">
        <v>52</v>
      </c>
      <c r="N58">
        <f t="shared" si="20"/>
        <v>5405.5573484227389</v>
      </c>
      <c r="O58">
        <f t="shared" si="21"/>
        <v>-7.9641082793694747E-3</v>
      </c>
      <c r="P58">
        <f t="shared" si="22"/>
        <v>5405.6902476131554</v>
      </c>
      <c r="AQ58">
        <v>52</v>
      </c>
      <c r="AR58">
        <f t="shared" si="32"/>
        <v>5463.5170433362173</v>
      </c>
      <c r="AS58">
        <f t="shared" si="33"/>
        <v>6.9452217491886722E-2</v>
      </c>
      <c r="AT58">
        <f t="shared" si="34"/>
        <v>5463.5137887953069</v>
      </c>
    </row>
    <row r="59" spans="13:49" x14ac:dyDescent="0.2">
      <c r="M59">
        <v>53</v>
      </c>
      <c r="N59">
        <f t="shared" si="20"/>
        <v>5405.6902476131554</v>
      </c>
      <c r="O59">
        <f t="shared" si="21"/>
        <v>6.854919551923239E-3</v>
      </c>
      <c r="P59">
        <f t="shared" si="22"/>
        <v>5405.5763490679874</v>
      </c>
      <c r="AQ59">
        <v>53</v>
      </c>
      <c r="AR59">
        <f t="shared" si="32"/>
        <v>5463.5137887953069</v>
      </c>
      <c r="AS59">
        <f t="shared" si="33"/>
        <v>5.5791937642409709E-2</v>
      </c>
      <c r="AT59">
        <f t="shared" si="34"/>
        <v>5463.5111743776661</v>
      </c>
    </row>
    <row r="60" spans="13:49" x14ac:dyDescent="0.2">
      <c r="M60">
        <v>54</v>
      </c>
      <c r="N60">
        <f t="shared" si="20"/>
        <v>5405.5763490679874</v>
      </c>
      <c r="O60">
        <f t="shared" si="21"/>
        <v>-5.8510795188473031E-3</v>
      </c>
      <c r="P60">
        <f t="shared" si="22"/>
        <v>5405.6739275664868</v>
      </c>
      <c r="AQ60">
        <v>54</v>
      </c>
      <c r="AR60">
        <f t="shared" si="32"/>
        <v>5463.5111743776661</v>
      </c>
      <c r="AS60">
        <f t="shared" si="33"/>
        <v>4.481844385097998E-2</v>
      </c>
      <c r="AT60">
        <f t="shared" si="34"/>
        <v>5463.5090741797876</v>
      </c>
    </row>
    <row r="61" spans="13:49" x14ac:dyDescent="0.2">
      <c r="M61">
        <v>55</v>
      </c>
      <c r="N61">
        <f t="shared" si="20"/>
        <v>5405.6739275664868</v>
      </c>
      <c r="O61">
        <f t="shared" si="21"/>
        <v>5.0301775987101728E-3</v>
      </c>
      <c r="P61">
        <f t="shared" si="22"/>
        <v>5405.5903039628729</v>
      </c>
      <c r="R61">
        <f>G21</f>
        <v>5463.5</v>
      </c>
      <c r="S61">
        <f t="shared" ref="S61" si="36">((R61-N61)^2)^0.5</f>
        <v>57.826072433513218</v>
      </c>
      <c r="AQ61">
        <v>55</v>
      </c>
      <c r="AR61">
        <f t="shared" si="32"/>
        <v>5463.5090741797876</v>
      </c>
      <c r="AS61">
        <f t="shared" si="33"/>
        <v>3.6003282843745571E-2</v>
      </c>
      <c r="AT61">
        <f t="shared" si="34"/>
        <v>5463.5073870617007</v>
      </c>
      <c r="AV61">
        <f>AK21</f>
        <v>5463.5</v>
      </c>
      <c r="AW61">
        <f t="shared" ref="AW61" si="37">((AV61-AR61)^2)^0.5</f>
        <v>9.074179787603498E-3</v>
      </c>
    </row>
    <row r="62" spans="13:49" x14ac:dyDescent="0.2">
      <c r="M62">
        <v>56</v>
      </c>
      <c r="N62">
        <f t="shared" si="20"/>
        <v>5405.5903039628729</v>
      </c>
      <c r="O62">
        <f t="shared" si="21"/>
        <v>-4.2979768616308901E-3</v>
      </c>
      <c r="P62">
        <f t="shared" si="22"/>
        <v>5405.6619489857194</v>
      </c>
      <c r="AQ62">
        <v>56</v>
      </c>
      <c r="AR62">
        <f t="shared" si="32"/>
        <v>5463.5073870617007</v>
      </c>
      <c r="AS62">
        <f t="shared" si="33"/>
        <v>2.8921940729054397E-2</v>
      </c>
      <c r="AT62">
        <f t="shared" si="34"/>
        <v>5463.5060317763</v>
      </c>
    </row>
    <row r="63" spans="13:49" x14ac:dyDescent="0.2">
      <c r="M63">
        <v>57</v>
      </c>
      <c r="N63">
        <f t="shared" si="20"/>
        <v>5405.6619489857194</v>
      </c>
      <c r="O63">
        <f t="shared" si="21"/>
        <v>3.6917369804518848E-3</v>
      </c>
      <c r="P63">
        <f t="shared" si="22"/>
        <v>5405.6005523028962</v>
      </c>
      <c r="AQ63">
        <v>57</v>
      </c>
      <c r="AR63">
        <f t="shared" si="32"/>
        <v>5463.5060317763</v>
      </c>
      <c r="AS63">
        <f t="shared" si="33"/>
        <v>2.32333995690082E-2</v>
      </c>
      <c r="AT63">
        <f t="shared" si="34"/>
        <v>5463.5049430566805</v>
      </c>
    </row>
    <row r="64" spans="13:49" x14ac:dyDescent="0.2">
      <c r="M64">
        <v>58</v>
      </c>
      <c r="N64">
        <f t="shared" si="20"/>
        <v>5405.6005523028962</v>
      </c>
      <c r="O64">
        <f t="shared" si="21"/>
        <v>-3.1567448021163863E-3</v>
      </c>
      <c r="P64">
        <f t="shared" si="22"/>
        <v>5405.6531561286083</v>
      </c>
      <c r="AQ64">
        <v>58</v>
      </c>
      <c r="AR64">
        <f t="shared" si="32"/>
        <v>5463.5049430566805</v>
      </c>
      <c r="AS64">
        <f t="shared" si="33"/>
        <v>1.8663714889811184E-2</v>
      </c>
      <c r="AT64">
        <f t="shared" si="34"/>
        <v>5463.5040684730457</v>
      </c>
    </row>
    <row r="65" spans="13:49" x14ac:dyDescent="0.2">
      <c r="M65">
        <v>59</v>
      </c>
      <c r="N65">
        <f t="shared" si="20"/>
        <v>5405.6531561286083</v>
      </c>
      <c r="O65">
        <f t="shared" si="21"/>
        <v>2.7097327711039553E-3</v>
      </c>
      <c r="P65">
        <f t="shared" si="22"/>
        <v>5405.6080781577348</v>
      </c>
      <c r="AQ65">
        <v>59</v>
      </c>
      <c r="AR65">
        <f t="shared" si="32"/>
        <v>5463.5040684730457</v>
      </c>
      <c r="AS65">
        <f t="shared" si="33"/>
        <v>1.4992823267480635E-2</v>
      </c>
      <c r="AT65">
        <f t="shared" si="34"/>
        <v>5463.5033659078199</v>
      </c>
    </row>
    <row r="66" spans="13:49" x14ac:dyDescent="0.2">
      <c r="M66">
        <v>60</v>
      </c>
      <c r="N66">
        <f t="shared" si="20"/>
        <v>5405.6080781577348</v>
      </c>
      <c r="O66">
        <f t="shared" si="21"/>
        <v>-2.3183330083015419E-3</v>
      </c>
      <c r="P66">
        <f t="shared" si="22"/>
        <v>5405.6467013214206</v>
      </c>
      <c r="AQ66">
        <v>60</v>
      </c>
      <c r="AR66">
        <f t="shared" si="32"/>
        <v>5463.5033659078199</v>
      </c>
      <c r="AS66">
        <f t="shared" si="33"/>
        <v>1.2043944677547824E-2</v>
      </c>
      <c r="AT66">
        <f t="shared" si="34"/>
        <v>5463.5028015273729</v>
      </c>
    </row>
    <row r="67" spans="13:49" x14ac:dyDescent="0.2">
      <c r="M67">
        <v>61</v>
      </c>
      <c r="N67">
        <f t="shared" si="20"/>
        <v>5405.6467013214206</v>
      </c>
      <c r="O67">
        <f t="shared" si="21"/>
        <v>1.9891032978693666E-3</v>
      </c>
      <c r="P67">
        <f t="shared" si="22"/>
        <v>5405.6136045173134</v>
      </c>
      <c r="AQ67">
        <v>61</v>
      </c>
      <c r="AR67">
        <f t="shared" si="32"/>
        <v>5463.5028015273729</v>
      </c>
      <c r="AS67">
        <f t="shared" si="33"/>
        <v>9.6750692547555427E-3</v>
      </c>
      <c r="AT67">
        <f t="shared" si="34"/>
        <v>5463.5023481526814</v>
      </c>
    </row>
    <row r="68" spans="13:49" x14ac:dyDescent="0.2">
      <c r="M68">
        <v>62</v>
      </c>
      <c r="N68">
        <f t="shared" si="20"/>
        <v>5405.6136045173134</v>
      </c>
      <c r="O68">
        <f t="shared" si="21"/>
        <v>-1.7024849460332871E-3</v>
      </c>
      <c r="P68">
        <f t="shared" si="22"/>
        <v>5405.6419626471325</v>
      </c>
      <c r="AQ68">
        <v>62</v>
      </c>
      <c r="AR68">
        <f t="shared" si="32"/>
        <v>5463.5023481526814</v>
      </c>
      <c r="AS68">
        <f t="shared" si="33"/>
        <v>7.7721184886964442E-3</v>
      </c>
      <c r="AT68">
        <f t="shared" si="34"/>
        <v>5463.5019839504603</v>
      </c>
    </row>
    <row r="69" spans="13:49" x14ac:dyDescent="0.2">
      <c r="M69">
        <v>63</v>
      </c>
      <c r="N69">
        <f t="shared" si="20"/>
        <v>5405.6419626471325</v>
      </c>
      <c r="O69">
        <f t="shared" si="21"/>
        <v>1.4602051455076678E-3</v>
      </c>
      <c r="P69">
        <f t="shared" si="22"/>
        <v>5405.6176624794589</v>
      </c>
      <c r="R69">
        <f>G22</f>
        <v>4773.333333333333</v>
      </c>
      <c r="S69">
        <f>((R69-N69)^2)^0.5</f>
        <v>632.30862931379943</v>
      </c>
      <c r="AQ69">
        <v>63</v>
      </c>
      <c r="AR69">
        <f t="shared" si="32"/>
        <v>5463.5019839504603</v>
      </c>
      <c r="AS69">
        <f t="shared" si="33"/>
        <v>6.2434515167532068E-3</v>
      </c>
      <c r="AT69">
        <f t="shared" si="34"/>
        <v>5463.5016913817281</v>
      </c>
      <c r="AV69">
        <f>AK22</f>
        <v>4773.333333333333</v>
      </c>
      <c r="AW69">
        <f>((AV69-AR69)^2)^0.5</f>
        <v>690.16865061712724</v>
      </c>
    </row>
    <row r="70" spans="13:49" x14ac:dyDescent="0.2">
      <c r="M70">
        <v>64</v>
      </c>
      <c r="N70">
        <f t="shared" si="20"/>
        <v>5405.6176624794589</v>
      </c>
      <c r="O70">
        <f t="shared" si="21"/>
        <v>-1.250171009787106E-3</v>
      </c>
      <c r="P70">
        <f t="shared" si="22"/>
        <v>5405.6384837226469</v>
      </c>
      <c r="AQ70">
        <v>64</v>
      </c>
      <c r="AR70">
        <f t="shared" si="32"/>
        <v>5463.5016913817281</v>
      </c>
      <c r="AS70">
        <f t="shared" si="33"/>
        <v>5.0154519523145525E-3</v>
      </c>
      <c r="AT70">
        <f t="shared" si="34"/>
        <v>5463.5014563571767</v>
      </c>
    </row>
    <row r="71" spans="13:49" x14ac:dyDescent="0.2">
      <c r="M71">
        <v>65</v>
      </c>
      <c r="N71">
        <f t="shared" si="20"/>
        <v>5405.6384837226469</v>
      </c>
      <c r="O71">
        <f t="shared" si="21"/>
        <v>1.0719861428958536E-3</v>
      </c>
      <c r="P71">
        <f t="shared" si="22"/>
        <v>5405.6206421343595</v>
      </c>
      <c r="AQ71">
        <v>65</v>
      </c>
      <c r="AR71">
        <f t="shared" si="32"/>
        <v>5463.5014563571767</v>
      </c>
      <c r="AS71">
        <f t="shared" si="33"/>
        <v>4.028982722337174E-3</v>
      </c>
      <c r="AT71">
        <f t="shared" si="34"/>
        <v>5463.5012675586695</v>
      </c>
    </row>
    <row r="72" spans="13:49" x14ac:dyDescent="0.2">
      <c r="M72">
        <v>66</v>
      </c>
      <c r="N72">
        <f t="shared" si="20"/>
        <v>5405.6206421343595</v>
      </c>
      <c r="O72">
        <f t="shared" si="21"/>
        <v>-9.1799402528120627E-4</v>
      </c>
      <c r="P72">
        <f t="shared" si="22"/>
        <v>5405.6359295888824</v>
      </c>
      <c r="AQ72">
        <v>66</v>
      </c>
      <c r="AR72">
        <f t="shared" si="32"/>
        <v>5463.5012675586695</v>
      </c>
      <c r="AS72">
        <f t="shared" si="33"/>
        <v>3.2365381889259952E-3</v>
      </c>
      <c r="AT72">
        <f t="shared" si="34"/>
        <v>5463.5011158941898</v>
      </c>
    </row>
    <row r="73" spans="13:49" x14ac:dyDescent="0.2">
      <c r="M73">
        <v>67</v>
      </c>
      <c r="N73">
        <f t="shared" si="20"/>
        <v>5405.6359295888824</v>
      </c>
      <c r="O73">
        <f t="shared" si="21"/>
        <v>7.8700627986047955E-4</v>
      </c>
      <c r="P73">
        <f t="shared" si="22"/>
        <v>5405.622829975654</v>
      </c>
      <c r="AQ73">
        <v>67</v>
      </c>
      <c r="AR73">
        <f t="shared" si="32"/>
        <v>5463.5011158941898</v>
      </c>
      <c r="AS73">
        <f t="shared" si="33"/>
        <v>2.5999564086777245E-3</v>
      </c>
      <c r="AT73">
        <f t="shared" si="34"/>
        <v>5463.5009940599921</v>
      </c>
    </row>
    <row r="74" spans="13:49" x14ac:dyDescent="0.2">
      <c r="M74">
        <v>68</v>
      </c>
      <c r="N74">
        <f t="shared" si="20"/>
        <v>5405.622829975654</v>
      </c>
      <c r="O74">
        <f t="shared" si="21"/>
        <v>-6.740602487132686E-4</v>
      </c>
      <c r="P74">
        <f t="shared" si="22"/>
        <v>5405.6340543790457</v>
      </c>
      <c r="AQ74">
        <v>68</v>
      </c>
      <c r="AR74">
        <f t="shared" si="32"/>
        <v>5463.5009940599921</v>
      </c>
      <c r="AS74">
        <f t="shared" si="33"/>
        <v>2.0885813584445036E-3</v>
      </c>
      <c r="AT74">
        <f t="shared" si="34"/>
        <v>5463.500896188878</v>
      </c>
    </row>
    <row r="75" spans="13:49" x14ac:dyDescent="0.2">
      <c r="M75">
        <v>69</v>
      </c>
      <c r="N75">
        <f t="shared" si="20"/>
        <v>5405.6340543790457</v>
      </c>
      <c r="O75">
        <f t="shared" si="21"/>
        <v>5.7779965820763069E-4</v>
      </c>
      <c r="P75">
        <f t="shared" si="22"/>
        <v>5405.6244363975557</v>
      </c>
      <c r="R75">
        <f>G23</f>
        <v>4931.333333333333</v>
      </c>
      <c r="S75">
        <f>((R75-N75)^2)^0.5</f>
        <v>474.30072104571263</v>
      </c>
      <c r="AQ75">
        <v>69</v>
      </c>
      <c r="AR75">
        <f t="shared" si="32"/>
        <v>5463.500896188878</v>
      </c>
      <c r="AS75">
        <f t="shared" si="33"/>
        <v>1.677786626211007E-3</v>
      </c>
      <c r="AT75">
        <f t="shared" si="34"/>
        <v>5463.500817567643</v>
      </c>
      <c r="AV75">
        <f>AK23</f>
        <v>4931.333333333333</v>
      </c>
      <c r="AW75">
        <f>((AV75-AR75)^2)^0.5</f>
        <v>532.16756285554493</v>
      </c>
    </row>
    <row r="76" spans="13:49" x14ac:dyDescent="0.2">
      <c r="M76">
        <v>70</v>
      </c>
      <c r="N76">
        <f t="shared" si="20"/>
        <v>5405.6244363975557</v>
      </c>
      <c r="O76">
        <f t="shared" si="21"/>
        <v>-4.9493602516920425E-4</v>
      </c>
      <c r="P76">
        <f t="shared" si="22"/>
        <v>5405.6326776083024</v>
      </c>
      <c r="AQ76">
        <v>70</v>
      </c>
      <c r="AR76">
        <f t="shared" si="32"/>
        <v>5463.500817567643</v>
      </c>
      <c r="AS76">
        <f t="shared" si="33"/>
        <v>1.3477894704850973E-3</v>
      </c>
      <c r="AT76">
        <f t="shared" si="34"/>
        <v>5463.5007544101054</v>
      </c>
    </row>
    <row r="77" spans="13:49" x14ac:dyDescent="0.2">
      <c r="M77">
        <v>71</v>
      </c>
      <c r="N77">
        <f t="shared" si="20"/>
        <v>5405.6326776083024</v>
      </c>
      <c r="O77">
        <f t="shared" si="21"/>
        <v>4.2421276633790496E-4</v>
      </c>
      <c r="P77">
        <f t="shared" si="22"/>
        <v>5405.6256159002505</v>
      </c>
      <c r="AQ77">
        <v>71</v>
      </c>
      <c r="AR77">
        <f t="shared" si="32"/>
        <v>5463.5007544101054</v>
      </c>
      <c r="AS77">
        <f t="shared" si="33"/>
        <v>1.0826981383894939E-3</v>
      </c>
      <c r="AT77">
        <f t="shared" si="34"/>
        <v>5463.500703674772</v>
      </c>
    </row>
    <row r="78" spans="13:49" x14ac:dyDescent="0.2">
      <c r="M78">
        <v>72</v>
      </c>
      <c r="N78">
        <f t="shared" si="20"/>
        <v>5405.6256159002505</v>
      </c>
      <c r="O78">
        <f t="shared" si="21"/>
        <v>-3.6340688998683958E-4</v>
      </c>
      <c r="P78">
        <f t="shared" si="22"/>
        <v>5405.6316667799665</v>
      </c>
      <c r="AQ78">
        <v>72</v>
      </c>
      <c r="AR78">
        <f t="shared" si="32"/>
        <v>5463.500703674772</v>
      </c>
      <c r="AS78">
        <f t="shared" si="33"/>
        <v>8.6974656247983801E-4</v>
      </c>
      <c r="AT78">
        <f t="shared" si="34"/>
        <v>5463.500662918369</v>
      </c>
    </row>
    <row r="79" spans="13:49" x14ac:dyDescent="0.2">
      <c r="M79">
        <v>73</v>
      </c>
      <c r="N79">
        <f t="shared" si="20"/>
        <v>5405.6316667799665</v>
      </c>
      <c r="O79">
        <f t="shared" si="21"/>
        <v>3.1145520448918387E-4</v>
      </c>
      <c r="P79">
        <f t="shared" si="22"/>
        <v>5405.6264819342568</v>
      </c>
      <c r="AQ79">
        <v>73</v>
      </c>
      <c r="AR79">
        <f t="shared" si="32"/>
        <v>5463.500662918369</v>
      </c>
      <c r="AS79">
        <f t="shared" si="33"/>
        <v>6.9867958218414791E-4</v>
      </c>
      <c r="AT79">
        <f t="shared" si="34"/>
        <v>5463.5006301781805</v>
      </c>
    </row>
    <row r="80" spans="13:49" x14ac:dyDescent="0.2">
      <c r="M80">
        <v>74</v>
      </c>
      <c r="N80">
        <f t="shared" si="20"/>
        <v>5405.6264819342568</v>
      </c>
      <c r="O80">
        <f t="shared" si="21"/>
        <v>-2.6682876573913268E-4</v>
      </c>
      <c r="P80">
        <f t="shared" si="22"/>
        <v>5405.6309246223918</v>
      </c>
      <c r="AQ80">
        <v>74</v>
      </c>
      <c r="AR80">
        <f t="shared" si="32"/>
        <v>5463.5006301781805</v>
      </c>
      <c r="AS80">
        <f t="shared" si="33"/>
        <v>5.6125908355036491E-4</v>
      </c>
      <c r="AT80">
        <f t="shared" si="34"/>
        <v>5463.5006038775291</v>
      </c>
    </row>
    <row r="81" spans="13:49" x14ac:dyDescent="0.2">
      <c r="M81">
        <v>75</v>
      </c>
      <c r="N81">
        <f t="shared" si="20"/>
        <v>5405.6309246223918</v>
      </c>
      <c r="O81">
        <f t="shared" si="21"/>
        <v>2.2867117078141915E-4</v>
      </c>
      <c r="P81">
        <f t="shared" si="22"/>
        <v>5405.6271178045117</v>
      </c>
      <c r="AQ81">
        <v>75</v>
      </c>
      <c r="AR81">
        <f t="shared" si="32"/>
        <v>5463.5006038775291</v>
      </c>
      <c r="AS81">
        <f t="shared" si="33"/>
        <v>4.5086727437164002E-4</v>
      </c>
      <c r="AT81">
        <f t="shared" si="34"/>
        <v>5463.500582749848</v>
      </c>
    </row>
    <row r="82" spans="13:49" x14ac:dyDescent="0.2">
      <c r="M82">
        <v>76</v>
      </c>
      <c r="N82">
        <f t="shared" si="20"/>
        <v>5405.6271178045117</v>
      </c>
      <c r="O82">
        <f t="shared" si="21"/>
        <v>-1.9591548201901965E-4</v>
      </c>
      <c r="P82">
        <f t="shared" si="22"/>
        <v>5405.6303797221644</v>
      </c>
      <c r="AQ82">
        <v>76</v>
      </c>
      <c r="AR82">
        <f t="shared" si="32"/>
        <v>5463.500582749848</v>
      </c>
      <c r="AS82">
        <f t="shared" si="33"/>
        <v>3.62187989585686E-4</v>
      </c>
      <c r="AT82">
        <f t="shared" si="34"/>
        <v>5463.5005657776865</v>
      </c>
    </row>
    <row r="83" spans="13:49" x14ac:dyDescent="0.2">
      <c r="M83">
        <v>77</v>
      </c>
      <c r="N83">
        <f t="shared" si="20"/>
        <v>5405.6303797221644</v>
      </c>
      <c r="O83">
        <f t="shared" si="21"/>
        <v>1.6789205579941012E-4</v>
      </c>
      <c r="P83">
        <f t="shared" si="22"/>
        <v>5405.6275846791395</v>
      </c>
      <c r="R83">
        <f>G24</f>
        <v>5069.333333333333</v>
      </c>
      <c r="S83">
        <f>((R83-N83)^2)^0.5</f>
        <v>336.2970463888314</v>
      </c>
      <c r="AQ83">
        <v>77</v>
      </c>
      <c r="AR83">
        <f t="shared" si="32"/>
        <v>5463.5005657776865</v>
      </c>
      <c r="AS83">
        <f t="shared" si="33"/>
        <v>2.9095067942775299E-4</v>
      </c>
      <c r="AT83">
        <f t="shared" si="34"/>
        <v>5463.5005521437115</v>
      </c>
      <c r="AV83">
        <f>AK24</f>
        <v>5069.333333333333</v>
      </c>
      <c r="AW83">
        <f>((AV83-AR83)^2)^0.5</f>
        <v>394.16723244435343</v>
      </c>
    </row>
    <row r="84" spans="13:49" x14ac:dyDescent="0.2">
      <c r="M84">
        <v>78</v>
      </c>
      <c r="N84">
        <f t="shared" si="20"/>
        <v>5405.6275846791395</v>
      </c>
      <c r="O84">
        <f t="shared" si="21"/>
        <v>-1.4384752140300764E-4</v>
      </c>
      <c r="P84">
        <f t="shared" si="22"/>
        <v>5405.6299796489966</v>
      </c>
      <c r="AQ84">
        <v>78</v>
      </c>
      <c r="AR84">
        <f t="shared" si="32"/>
        <v>5463.5005521437115</v>
      </c>
      <c r="AS84">
        <f t="shared" si="33"/>
        <v>2.3372475148174512E-4</v>
      </c>
      <c r="AT84">
        <f t="shared" si="34"/>
        <v>5463.5005411913489</v>
      </c>
    </row>
    <row r="85" spans="13:49" x14ac:dyDescent="0.2">
      <c r="M85">
        <v>79</v>
      </c>
      <c r="N85">
        <f t="shared" si="20"/>
        <v>5405.6299796489966</v>
      </c>
      <c r="O85">
        <f t="shared" si="21"/>
        <v>1.2326818841141538E-4</v>
      </c>
      <c r="P85">
        <f t="shared" si="22"/>
        <v>5405.6279274711651</v>
      </c>
      <c r="AQ85">
        <v>79</v>
      </c>
      <c r="AR85">
        <f t="shared" si="32"/>
        <v>5463.5005411913489</v>
      </c>
      <c r="AS85">
        <f t="shared" si="33"/>
        <v>1.8775436294000755E-4</v>
      </c>
      <c r="AT85">
        <f t="shared" si="34"/>
        <v>5463.5005323931628</v>
      </c>
    </row>
    <row r="86" spans="13:49" x14ac:dyDescent="0.2">
      <c r="M86">
        <v>80</v>
      </c>
      <c r="N86">
        <f t="shared" si="20"/>
        <v>5405.6279274711651</v>
      </c>
      <c r="O86">
        <f t="shared" si="21"/>
        <v>-1.056170869137231E-4</v>
      </c>
      <c r="P86">
        <f t="shared" si="22"/>
        <v>5405.629685909048</v>
      </c>
      <c r="AQ86">
        <v>80</v>
      </c>
      <c r="AR86">
        <f t="shared" si="32"/>
        <v>5463.5005323931628</v>
      </c>
      <c r="AS86">
        <f t="shared" si="33"/>
        <v>1.5082570663827626E-4</v>
      </c>
      <c r="AT86">
        <f t="shared" si="34"/>
        <v>5463.5005253254567</v>
      </c>
    </row>
    <row r="87" spans="13:49" x14ac:dyDescent="0.2">
      <c r="M87">
        <v>81</v>
      </c>
      <c r="N87">
        <f t="shared" si="20"/>
        <v>5405.629685909048</v>
      </c>
      <c r="O87">
        <f t="shared" si="21"/>
        <v>9.0505182066407281E-5</v>
      </c>
      <c r="P87">
        <f t="shared" si="22"/>
        <v>5405.6281791578103</v>
      </c>
      <c r="AQ87">
        <v>81</v>
      </c>
      <c r="AR87">
        <f t="shared" si="32"/>
        <v>5463.5005253254567</v>
      </c>
      <c r="AS87">
        <f t="shared" si="33"/>
        <v>1.2116040035724272E-4</v>
      </c>
      <c r="AT87">
        <f t="shared" si="34"/>
        <v>5463.5005196478696</v>
      </c>
    </row>
    <row r="88" spans="13:49" x14ac:dyDescent="0.2">
      <c r="M88">
        <v>82</v>
      </c>
      <c r="N88">
        <f t="shared" si="20"/>
        <v>5405.6281791578103</v>
      </c>
      <c r="O88">
        <f t="shared" si="21"/>
        <v>-7.7546936658794098E-5</v>
      </c>
      <c r="P88">
        <f t="shared" si="22"/>
        <v>5405.6294702401865</v>
      </c>
      <c r="AQ88">
        <v>82</v>
      </c>
      <c r="AR88">
        <f t="shared" si="32"/>
        <v>5463.5005196478696</v>
      </c>
      <c r="AS88">
        <f t="shared" si="33"/>
        <v>9.7329844781759048E-5</v>
      </c>
      <c r="AT88">
        <f t="shared" si="34"/>
        <v>5463.5005150869847</v>
      </c>
    </row>
    <row r="89" spans="13:49" x14ac:dyDescent="0.2">
      <c r="M89">
        <v>83</v>
      </c>
      <c r="N89">
        <f t="shared" si="20"/>
        <v>5405.6294702401865</v>
      </c>
      <c r="O89">
        <f t="shared" si="21"/>
        <v>6.6450312795277136E-5</v>
      </c>
      <c r="P89">
        <f t="shared" si="22"/>
        <v>5405.6283639522571</v>
      </c>
      <c r="AQ89">
        <v>83</v>
      </c>
      <c r="AR89">
        <f t="shared" si="32"/>
        <v>5463.5005150869847</v>
      </c>
      <c r="AS89">
        <f t="shared" si="33"/>
        <v>7.8186426091887617E-5</v>
      </c>
      <c r="AT89">
        <f t="shared" si="34"/>
        <v>5463.5005114231617</v>
      </c>
    </row>
    <row r="90" spans="13:49" x14ac:dyDescent="0.2">
      <c r="M90">
        <v>84</v>
      </c>
      <c r="N90">
        <f t="shared" si="20"/>
        <v>5405.6283639522571</v>
      </c>
      <c r="O90">
        <f t="shared" si="21"/>
        <v>-5.6936940197456631E-5</v>
      </c>
      <c r="P90">
        <f t="shared" si="22"/>
        <v>5405.6293118922167</v>
      </c>
      <c r="R90">
        <f>G25</f>
        <v>4624.0666666666666</v>
      </c>
      <c r="S90">
        <f>((R90-N90)^2)^0.5</f>
        <v>781.56169728559053</v>
      </c>
      <c r="AQ90">
        <v>84</v>
      </c>
      <c r="AR90">
        <f t="shared" si="32"/>
        <v>5463.5005114231617</v>
      </c>
      <c r="AS90">
        <f t="shared" si="33"/>
        <v>6.2808249981391475E-5</v>
      </c>
      <c r="AT90">
        <f t="shared" si="34"/>
        <v>5463.5005084799614</v>
      </c>
      <c r="AV90">
        <f>AK25</f>
        <v>4624.0666666666666</v>
      </c>
      <c r="AW90">
        <f>((AV90-AR90)^2)^0.5</f>
        <v>839.43384475649509</v>
      </c>
    </row>
    <row r="92" spans="13:49" x14ac:dyDescent="0.2">
      <c r="S92">
        <f>SUM(S6:S90)</f>
        <v>7306.006599235353</v>
      </c>
      <c r="AW92">
        <f>SUM(AW6:AW90)</f>
        <v>9398.3697152289205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BE63-EF23-4379-A31B-9194E95379F3}">
  <dimension ref="A1:AD48"/>
  <sheetViews>
    <sheetView workbookViewId="0">
      <selection activeCell="K39" sqref="K39"/>
    </sheetView>
  </sheetViews>
  <sheetFormatPr defaultRowHeight="14.25" x14ac:dyDescent="0.2"/>
  <cols>
    <col min="2" max="2" width="13.75" bestFit="1" customWidth="1"/>
  </cols>
  <sheetData>
    <row r="1" spans="1:30" x14ac:dyDescent="0.2">
      <c r="A1" t="s">
        <v>22</v>
      </c>
    </row>
    <row r="2" spans="1:30" x14ac:dyDescent="0.2">
      <c r="A2">
        <v>190812</v>
      </c>
      <c r="C2" s="1">
        <v>0.4375</v>
      </c>
    </row>
    <row r="4" spans="1:30" x14ac:dyDescent="0.2">
      <c r="C4" t="s">
        <v>0</v>
      </c>
      <c r="D4" s="9" t="s">
        <v>1</v>
      </c>
      <c r="E4" s="9"/>
      <c r="F4" s="9"/>
      <c r="G4" s="9"/>
      <c r="H4" s="9"/>
      <c r="I4" s="9" t="s">
        <v>2</v>
      </c>
      <c r="J4" s="9"/>
      <c r="K4" s="9"/>
      <c r="L4" s="9"/>
      <c r="M4" s="9" t="s">
        <v>3</v>
      </c>
      <c r="N4" s="9"/>
      <c r="O4" s="9"/>
      <c r="P4" s="9" t="s">
        <v>4</v>
      </c>
      <c r="Q4" s="9"/>
      <c r="R4" s="9"/>
      <c r="S4" s="9" t="s">
        <v>5</v>
      </c>
      <c r="T4" s="9"/>
      <c r="U4" s="9"/>
      <c r="V4" s="9" t="s">
        <v>23</v>
      </c>
      <c r="W4" s="9"/>
      <c r="X4" s="9"/>
      <c r="Y4" s="9" t="s">
        <v>24</v>
      </c>
      <c r="Z4" s="9"/>
      <c r="AA4" s="9"/>
      <c r="AB4" s="9"/>
      <c r="AC4" s="9"/>
      <c r="AD4" s="9" t="s">
        <v>25</v>
      </c>
    </row>
    <row r="5" spans="1:30" x14ac:dyDescent="0.2">
      <c r="A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17</v>
      </c>
      <c r="Q5" t="s">
        <v>18</v>
      </c>
      <c r="R5" t="s">
        <v>20</v>
      </c>
      <c r="S5" t="s">
        <v>21</v>
      </c>
      <c r="T5" t="s">
        <v>18</v>
      </c>
      <c r="U5" t="s">
        <v>19</v>
      </c>
      <c r="V5" t="s">
        <v>34</v>
      </c>
      <c r="W5" t="s">
        <v>18</v>
      </c>
      <c r="X5" t="s">
        <v>35</v>
      </c>
      <c r="Y5" t="s">
        <v>30</v>
      </c>
      <c r="Z5" t="s">
        <v>31</v>
      </c>
      <c r="AA5" t="s">
        <v>32</v>
      </c>
      <c r="AD5" s="9"/>
    </row>
    <row r="6" spans="1:30" x14ac:dyDescent="0.2">
      <c r="A6">
        <v>190812</v>
      </c>
      <c r="B6" s="5">
        <v>43668</v>
      </c>
      <c r="C6">
        <v>0</v>
      </c>
      <c r="D6">
        <v>0.12590000000000001</v>
      </c>
      <c r="E6">
        <v>3</v>
      </c>
      <c r="F6">
        <v>0.1394</v>
      </c>
      <c r="G6">
        <f>F6-D6</f>
        <v>1.3499999999999984E-2</v>
      </c>
      <c r="H6">
        <f>(G6*1000)/(E6/1000)</f>
        <v>4499.9999999999945</v>
      </c>
      <c r="I6">
        <v>0.1275</v>
      </c>
      <c r="J6">
        <f>I6-D6</f>
        <v>1.5999999999999903E-3</v>
      </c>
      <c r="K6">
        <f>G6-J6</f>
        <v>1.1899999999999994E-2</v>
      </c>
      <c r="L6">
        <f>(K6*1000)/(E6/1000)</f>
        <v>3966.6666666666642</v>
      </c>
      <c r="M6">
        <v>6550</v>
      </c>
      <c r="O6">
        <f>M6</f>
        <v>6550</v>
      </c>
      <c r="P6">
        <v>383</v>
      </c>
      <c r="R6">
        <f>P6</f>
        <v>383</v>
      </c>
      <c r="S6">
        <v>33.799999999999997</v>
      </c>
      <c r="T6" s="1">
        <v>4.2361111111111106E-2</v>
      </c>
      <c r="U6">
        <f>S6*2</f>
        <v>67.599999999999994</v>
      </c>
      <c r="AD6">
        <v>6.78</v>
      </c>
    </row>
    <row r="7" spans="1:30" x14ac:dyDescent="0.2">
      <c r="A7">
        <v>190814</v>
      </c>
      <c r="C7">
        <v>2</v>
      </c>
      <c r="D7">
        <v>0.1237</v>
      </c>
      <c r="E7">
        <v>3</v>
      </c>
      <c r="F7" s="8">
        <v>0.1424</v>
      </c>
      <c r="G7">
        <f t="shared" ref="G7:G14" si="0">F7-D7</f>
        <v>1.8699999999999994E-2</v>
      </c>
      <c r="H7">
        <f t="shared" ref="H7" si="1">(G7*1000)/(E7/1000)</f>
        <v>6233.3333333333321</v>
      </c>
      <c r="I7">
        <v>0.12620000000000001</v>
      </c>
      <c r="J7">
        <f>I7-D7</f>
        <v>2.5000000000000022E-3</v>
      </c>
      <c r="K7">
        <f>G7-J7</f>
        <v>1.6199999999999992E-2</v>
      </c>
      <c r="L7">
        <f>(K7*1000)/(E7/1000)</f>
        <v>5399.9999999999973</v>
      </c>
      <c r="M7">
        <v>5785</v>
      </c>
      <c r="O7">
        <f>M7</f>
        <v>5785</v>
      </c>
      <c r="P7">
        <v>195</v>
      </c>
      <c r="Q7" s="1">
        <v>8.4027777777777771E-2</v>
      </c>
      <c r="R7">
        <f>P7/(2/3)</f>
        <v>292.5</v>
      </c>
      <c r="AD7">
        <v>6.65</v>
      </c>
    </row>
    <row r="8" spans="1:30" x14ac:dyDescent="0.2">
      <c r="A8">
        <f>A7+2</f>
        <v>190816</v>
      </c>
      <c r="B8" s="5"/>
      <c r="C8">
        <v>4</v>
      </c>
      <c r="D8">
        <v>0.1235</v>
      </c>
      <c r="E8">
        <v>3</v>
      </c>
      <c r="F8">
        <v>0.13769999999999999</v>
      </c>
      <c r="G8">
        <f t="shared" si="0"/>
        <v>1.419999999999999E-2</v>
      </c>
      <c r="H8">
        <f>(G8*1000)/(E8/1000)</f>
        <v>4733.3333333333303</v>
      </c>
      <c r="I8">
        <v>0.12759999999999999</v>
      </c>
      <c r="J8">
        <f t="shared" ref="J8:J15" si="2">I8-D8</f>
        <v>4.0999999999999925E-3</v>
      </c>
      <c r="K8">
        <f t="shared" ref="K8:K15" si="3">G8-J8</f>
        <v>1.0099999999999998E-2</v>
      </c>
      <c r="L8">
        <f t="shared" ref="L8:L15" si="4">(K8*1000)/(E8/1000)</f>
        <v>3366.6666666666661</v>
      </c>
      <c r="M8">
        <v>6210</v>
      </c>
      <c r="O8">
        <f>M8</f>
        <v>6210</v>
      </c>
      <c r="P8">
        <v>143</v>
      </c>
      <c r="Q8" s="1">
        <v>4.2361111111111106E-2</v>
      </c>
      <c r="R8">
        <f>P8*3</f>
        <v>429</v>
      </c>
    </row>
    <row r="9" spans="1:30" x14ac:dyDescent="0.2">
      <c r="A9">
        <v>190819</v>
      </c>
      <c r="C9">
        <f>7</f>
        <v>7</v>
      </c>
      <c r="D9">
        <v>0.12470000000000001</v>
      </c>
      <c r="E9">
        <v>3</v>
      </c>
      <c r="F9">
        <v>0.13600000000000001</v>
      </c>
      <c r="G9">
        <f t="shared" si="0"/>
        <v>1.1300000000000004E-2</v>
      </c>
      <c r="H9">
        <f>(G9*1000)/(E9/1000)</f>
        <v>3766.6666666666679</v>
      </c>
      <c r="I9">
        <v>0.12529999999999999</v>
      </c>
      <c r="J9">
        <f t="shared" si="2"/>
        <v>5.9999999999998943E-4</v>
      </c>
      <c r="K9">
        <f t="shared" si="3"/>
        <v>1.0700000000000015E-2</v>
      </c>
      <c r="L9">
        <f t="shared" si="4"/>
        <v>3566.6666666666715</v>
      </c>
      <c r="M9">
        <v>5985</v>
      </c>
      <c r="O9">
        <f>M9</f>
        <v>5985</v>
      </c>
      <c r="P9" t="s">
        <v>33</v>
      </c>
      <c r="R9" t="s">
        <v>33</v>
      </c>
    </row>
    <row r="10" spans="1:30" x14ac:dyDescent="0.2">
      <c r="A10">
        <v>190821</v>
      </c>
      <c r="B10" s="5"/>
      <c r="C10">
        <f>C9+(A10-A9)</f>
        <v>9</v>
      </c>
      <c r="D10">
        <v>0.123</v>
      </c>
      <c r="E10">
        <v>3</v>
      </c>
      <c r="F10">
        <v>0.13589999999999999</v>
      </c>
      <c r="G10">
        <f t="shared" si="0"/>
        <v>1.2899999999999995E-2</v>
      </c>
      <c r="H10">
        <f t="shared" ref="H10:H14" si="5">(G10*1000)/(E10/1000)</f>
        <v>4299.9999999999982</v>
      </c>
      <c r="I10">
        <v>0.1242</v>
      </c>
      <c r="J10">
        <f t="shared" si="2"/>
        <v>1.2000000000000066E-3</v>
      </c>
      <c r="K10">
        <f t="shared" si="3"/>
        <v>1.1699999999999988E-2</v>
      </c>
      <c r="L10">
        <f t="shared" si="4"/>
        <v>3899.9999999999959</v>
      </c>
      <c r="M10">
        <v>6115</v>
      </c>
      <c r="O10">
        <f t="shared" ref="O10:O17" si="6">M10</f>
        <v>6115</v>
      </c>
      <c r="P10">
        <v>287</v>
      </c>
      <c r="R10">
        <f>P10</f>
        <v>287</v>
      </c>
    </row>
    <row r="11" spans="1:30" x14ac:dyDescent="0.2">
      <c r="A11">
        <v>190823</v>
      </c>
      <c r="B11" s="5"/>
      <c r="C11">
        <f>C10+(A11-A10)</f>
        <v>11</v>
      </c>
      <c r="D11">
        <v>0.1215</v>
      </c>
      <c r="E11">
        <v>3</v>
      </c>
      <c r="F11">
        <v>0.13539999999999999</v>
      </c>
      <c r="G11">
        <f t="shared" si="0"/>
        <v>1.3899999999999996E-2</v>
      </c>
      <c r="H11">
        <f t="shared" si="5"/>
        <v>4633.3333333333312</v>
      </c>
      <c r="I11">
        <v>0.12379999999999999</v>
      </c>
      <c r="J11">
        <f t="shared" si="2"/>
        <v>2.2999999999999965E-3</v>
      </c>
      <c r="K11">
        <f t="shared" si="3"/>
        <v>1.1599999999999999E-2</v>
      </c>
      <c r="L11">
        <f t="shared" si="4"/>
        <v>3866.6666666666665</v>
      </c>
      <c r="M11">
        <v>5610</v>
      </c>
      <c r="O11">
        <f t="shared" si="6"/>
        <v>5610</v>
      </c>
      <c r="P11">
        <v>199</v>
      </c>
      <c r="Q11" s="1">
        <v>8.4027777777777771E-2</v>
      </c>
      <c r="R11">
        <f>P11/(2/3)</f>
        <v>298.5</v>
      </c>
    </row>
    <row r="12" spans="1:30" x14ac:dyDescent="0.2">
      <c r="A12">
        <v>190827</v>
      </c>
      <c r="B12" s="5"/>
      <c r="C12">
        <f>C11+(A12-A11)</f>
        <v>15</v>
      </c>
      <c r="D12">
        <v>0.123</v>
      </c>
      <c r="E12">
        <v>3</v>
      </c>
      <c r="F12">
        <v>0.13270000000000001</v>
      </c>
      <c r="G12">
        <f t="shared" si="0"/>
        <v>9.7000000000000142E-3</v>
      </c>
      <c r="H12">
        <f t="shared" si="5"/>
        <v>3233.3333333333376</v>
      </c>
      <c r="I12">
        <v>0.124</v>
      </c>
      <c r="J12">
        <f t="shared" si="2"/>
        <v>1.0000000000000009E-3</v>
      </c>
      <c r="K12">
        <f t="shared" si="3"/>
        <v>8.7000000000000133E-3</v>
      </c>
      <c r="L12">
        <f t="shared" si="4"/>
        <v>2900.0000000000045</v>
      </c>
      <c r="M12">
        <v>6335</v>
      </c>
      <c r="O12">
        <f t="shared" si="6"/>
        <v>6335</v>
      </c>
      <c r="P12">
        <v>129</v>
      </c>
      <c r="Q12" s="1">
        <v>4.2361111111111106E-2</v>
      </c>
      <c r="R12">
        <f>P12*3</f>
        <v>387</v>
      </c>
    </row>
    <row r="13" spans="1:30" x14ac:dyDescent="0.2">
      <c r="A13">
        <v>190910</v>
      </c>
      <c r="B13" s="5"/>
      <c r="C13">
        <f>C12+14</f>
        <v>29</v>
      </c>
      <c r="D13">
        <v>0.122</v>
      </c>
      <c r="E13">
        <v>3</v>
      </c>
      <c r="F13">
        <v>0.1323</v>
      </c>
      <c r="G13">
        <f t="shared" si="0"/>
        <v>1.0300000000000004E-2</v>
      </c>
      <c r="H13" s="4">
        <f t="shared" si="5"/>
        <v>3433.3333333333348</v>
      </c>
      <c r="I13">
        <v>0.12280000000000001</v>
      </c>
      <c r="J13">
        <f t="shared" si="2"/>
        <v>8.0000000000000904E-4</v>
      </c>
      <c r="K13">
        <f t="shared" si="3"/>
        <v>9.4999999999999946E-3</v>
      </c>
      <c r="L13">
        <f t="shared" si="4"/>
        <v>3166.6666666666647</v>
      </c>
      <c r="M13">
        <v>5405</v>
      </c>
      <c r="O13">
        <f t="shared" si="6"/>
        <v>5405</v>
      </c>
      <c r="P13">
        <v>203</v>
      </c>
      <c r="R13">
        <f>P13</f>
        <v>203</v>
      </c>
      <c r="S13">
        <v>47.5</v>
      </c>
      <c r="T13" s="1">
        <v>4.2361111111111106E-2</v>
      </c>
      <c r="U13">
        <f>S13*2</f>
        <v>95</v>
      </c>
      <c r="AD13">
        <v>6.51</v>
      </c>
    </row>
    <row r="14" spans="1:30" x14ac:dyDescent="0.2">
      <c r="A14">
        <f>A13+2</f>
        <v>190912</v>
      </c>
      <c r="C14">
        <f>C13+(A14-A13)</f>
        <v>31</v>
      </c>
      <c r="D14">
        <v>0.12379999999999999</v>
      </c>
      <c r="E14">
        <v>3</v>
      </c>
      <c r="F14">
        <v>0.13600000000000001</v>
      </c>
      <c r="G14">
        <f t="shared" si="0"/>
        <v>1.2200000000000016E-2</v>
      </c>
      <c r="H14">
        <f t="shared" si="5"/>
        <v>4066.6666666666724</v>
      </c>
      <c r="I14">
        <v>0.12540000000000001</v>
      </c>
      <c r="J14">
        <f t="shared" si="2"/>
        <v>1.6000000000000181E-3</v>
      </c>
      <c r="K14">
        <f t="shared" si="3"/>
        <v>1.0599999999999998E-2</v>
      </c>
      <c r="L14">
        <f t="shared" si="4"/>
        <v>3533.3333333333326</v>
      </c>
      <c r="M14">
        <v>5015</v>
      </c>
      <c r="O14">
        <f t="shared" si="6"/>
        <v>5015</v>
      </c>
      <c r="P14">
        <v>20</v>
      </c>
      <c r="R14">
        <f>P14*2</f>
        <v>40</v>
      </c>
      <c r="AD14">
        <v>6.37</v>
      </c>
    </row>
    <row r="15" spans="1:30" x14ac:dyDescent="0.2">
      <c r="A15">
        <f>A13+6</f>
        <v>190916</v>
      </c>
      <c r="B15" s="5"/>
      <c r="C15">
        <f>C14+(A15-A14)</f>
        <v>35</v>
      </c>
      <c r="D15">
        <v>0.1229</v>
      </c>
      <c r="E15">
        <v>3</v>
      </c>
      <c r="F15">
        <v>0.13320000000000001</v>
      </c>
      <c r="G15">
        <f>F15-D15</f>
        <v>1.0300000000000017E-2</v>
      </c>
      <c r="H15">
        <f>(G15*1000)/(E15/1000)</f>
        <v>3433.3333333333389</v>
      </c>
      <c r="I15">
        <v>0.1244</v>
      </c>
      <c r="J15">
        <f t="shared" si="2"/>
        <v>1.5000000000000013E-3</v>
      </c>
      <c r="K15">
        <f t="shared" si="3"/>
        <v>8.8000000000000161E-3</v>
      </c>
      <c r="L15">
        <f t="shared" si="4"/>
        <v>2933.3333333333389</v>
      </c>
      <c r="M15">
        <v>5080</v>
      </c>
      <c r="O15">
        <f t="shared" si="6"/>
        <v>5080</v>
      </c>
      <c r="AD15">
        <v>6.5</v>
      </c>
    </row>
    <row r="16" spans="1:30" x14ac:dyDescent="0.2">
      <c r="A16">
        <v>190926</v>
      </c>
      <c r="B16" s="5">
        <v>43734</v>
      </c>
      <c r="C16">
        <f>C15+10</f>
        <v>45</v>
      </c>
      <c r="M16">
        <v>4480</v>
      </c>
      <c r="N16">
        <v>0</v>
      </c>
      <c r="O16">
        <f t="shared" si="6"/>
        <v>4480</v>
      </c>
    </row>
    <row r="17" spans="1:29" x14ac:dyDescent="0.2">
      <c r="A17">
        <v>191007</v>
      </c>
      <c r="B17" s="5">
        <v>43757</v>
      </c>
      <c r="C17">
        <f>B17-B16+C16</f>
        <v>68</v>
      </c>
      <c r="M17">
        <v>4435</v>
      </c>
      <c r="O17">
        <f t="shared" si="6"/>
        <v>4435</v>
      </c>
      <c r="P17">
        <v>46</v>
      </c>
      <c r="Q17">
        <v>0</v>
      </c>
      <c r="R17">
        <f>P17</f>
        <v>46</v>
      </c>
    </row>
    <row r="20" spans="1:29" x14ac:dyDescent="0.2">
      <c r="B20" t="s">
        <v>0</v>
      </c>
      <c r="C20" s="9" t="s">
        <v>1</v>
      </c>
      <c r="D20" s="9"/>
      <c r="E20" s="9"/>
      <c r="F20" s="9"/>
      <c r="G20" s="9"/>
      <c r="H20" s="9" t="s">
        <v>2</v>
      </c>
      <c r="I20" s="9"/>
      <c r="J20" s="9"/>
      <c r="K20" s="9"/>
      <c r="L20" s="9" t="s">
        <v>3</v>
      </c>
      <c r="M20" s="9"/>
      <c r="N20" s="9"/>
      <c r="O20" s="9" t="s">
        <v>4</v>
      </c>
      <c r="P20" s="9"/>
      <c r="Q20" s="9"/>
      <c r="R20" s="9" t="s">
        <v>5</v>
      </c>
      <c r="S20" s="9"/>
      <c r="T20" s="9"/>
      <c r="U20" s="9" t="s">
        <v>23</v>
      </c>
      <c r="V20" s="9"/>
      <c r="W20" s="9"/>
      <c r="X20" s="9" t="s">
        <v>24</v>
      </c>
      <c r="Y20" s="9"/>
      <c r="Z20" s="9"/>
      <c r="AA20" s="9"/>
      <c r="AB20" s="9"/>
      <c r="AC20" s="9" t="s">
        <v>25</v>
      </c>
    </row>
    <row r="21" spans="1:29" x14ac:dyDescent="0.2">
      <c r="A21" t="s">
        <v>6</v>
      </c>
      <c r="B21" t="s">
        <v>7</v>
      </c>
      <c r="C21" t="s">
        <v>8</v>
      </c>
      <c r="D21" t="s">
        <v>9</v>
      </c>
      <c r="E21" t="s">
        <v>10</v>
      </c>
      <c r="F21" t="s">
        <v>11</v>
      </c>
      <c r="G21" t="s">
        <v>12</v>
      </c>
      <c r="H21" t="s">
        <v>13</v>
      </c>
      <c r="I21" t="s">
        <v>14</v>
      </c>
      <c r="J21" t="s">
        <v>15</v>
      </c>
      <c r="K21" t="s">
        <v>16</v>
      </c>
      <c r="L21" t="s">
        <v>17</v>
      </c>
      <c r="M21" t="s">
        <v>18</v>
      </c>
      <c r="N21" t="s">
        <v>19</v>
      </c>
      <c r="O21" t="s">
        <v>17</v>
      </c>
      <c r="P21" t="s">
        <v>18</v>
      </c>
      <c r="Q21" t="s">
        <v>20</v>
      </c>
      <c r="R21" t="s">
        <v>21</v>
      </c>
      <c r="S21" t="s">
        <v>18</v>
      </c>
      <c r="T21" t="s">
        <v>19</v>
      </c>
      <c r="U21" t="s">
        <v>21</v>
      </c>
      <c r="V21" t="s">
        <v>18</v>
      </c>
      <c r="W21" t="s">
        <v>19</v>
      </c>
      <c r="X21" t="s">
        <v>30</v>
      </c>
      <c r="Y21" t="s">
        <v>31</v>
      </c>
      <c r="Z21" t="s">
        <v>32</v>
      </c>
      <c r="AC21" s="9"/>
    </row>
    <row r="22" spans="1:29" x14ac:dyDescent="0.2">
      <c r="A22">
        <f>'[2]T15-1'!A22</f>
        <v>0</v>
      </c>
      <c r="B22">
        <f>'[2]T15-1'!C22</f>
        <v>0</v>
      </c>
      <c r="C22">
        <v>0.125</v>
      </c>
      <c r="D22">
        <v>3</v>
      </c>
      <c r="E22">
        <v>0.1384</v>
      </c>
      <c r="F22">
        <f t="shared" ref="F22:F31" si="7">E22-C22</f>
        <v>1.3399999999999995E-2</v>
      </c>
      <c r="G22">
        <f t="shared" ref="G22:G31" si="8">(F22*1000)/(D22/1000)</f>
        <v>4466.6666666666652</v>
      </c>
      <c r="H22">
        <v>0.1255</v>
      </c>
      <c r="I22">
        <f>H22-C22</f>
        <v>5.0000000000000044E-4</v>
      </c>
      <c r="J22">
        <f>F22-I22</f>
        <v>1.2899999999999995E-2</v>
      </c>
      <c r="K22">
        <f>(J22*1000)/(D22/1000)</f>
        <v>4299.9999999999982</v>
      </c>
      <c r="L22">
        <v>6130</v>
      </c>
      <c r="M22" s="3"/>
      <c r="N22">
        <f>L22</f>
        <v>6130</v>
      </c>
      <c r="O22">
        <v>405</v>
      </c>
      <c r="Q22">
        <f>O22</f>
        <v>405</v>
      </c>
      <c r="R22">
        <v>34.200000000000003</v>
      </c>
      <c r="S22" s="1">
        <v>4.2361111111111106E-2</v>
      </c>
      <c r="T22">
        <f>R22*2</f>
        <v>68.400000000000006</v>
      </c>
      <c r="AC22">
        <v>6.78</v>
      </c>
    </row>
    <row r="23" spans="1:29" x14ac:dyDescent="0.2">
      <c r="A23">
        <v>190814</v>
      </c>
      <c r="B23">
        <v>2</v>
      </c>
      <c r="C23">
        <v>0.1258</v>
      </c>
      <c r="D23">
        <v>3</v>
      </c>
      <c r="E23">
        <v>0.13969999999999999</v>
      </c>
      <c r="F23">
        <f t="shared" si="7"/>
        <v>1.3899999999999996E-2</v>
      </c>
      <c r="G23">
        <f t="shared" si="8"/>
        <v>4633.3333333333312</v>
      </c>
      <c r="H23">
        <v>0.1275</v>
      </c>
      <c r="I23">
        <f>H23-C23</f>
        <v>1.7000000000000071E-3</v>
      </c>
      <c r="J23">
        <f>F23-I23</f>
        <v>1.2199999999999989E-2</v>
      </c>
      <c r="K23">
        <f>(J23*1000)/(D23/1000)</f>
        <v>4066.6666666666629</v>
      </c>
      <c r="L23">
        <v>6640</v>
      </c>
      <c r="N23">
        <f>L23</f>
        <v>6640</v>
      </c>
      <c r="O23">
        <v>205</v>
      </c>
      <c r="P23" s="1">
        <v>8.4027777777777771E-2</v>
      </c>
      <c r="Q23">
        <f>O23/(2/3)</f>
        <v>307.5</v>
      </c>
      <c r="AC23">
        <v>6.64</v>
      </c>
    </row>
    <row r="24" spans="1:29" x14ac:dyDescent="0.2">
      <c r="A24">
        <v>190816</v>
      </c>
      <c r="B24">
        <v>4</v>
      </c>
      <c r="C24">
        <v>0.1244</v>
      </c>
      <c r="D24">
        <v>3</v>
      </c>
      <c r="E24">
        <v>0.14399999999999999</v>
      </c>
      <c r="F24">
        <f t="shared" si="7"/>
        <v>1.9599999999999992E-2</v>
      </c>
      <c r="G24">
        <f t="shared" si="8"/>
        <v>6533.3333333333303</v>
      </c>
      <c r="H24">
        <v>0.12620000000000001</v>
      </c>
      <c r="I24">
        <f t="shared" ref="I24:I31" si="9">H24-C24</f>
        <v>1.8000000000000099E-3</v>
      </c>
      <c r="J24">
        <f t="shared" ref="J24:J31" si="10">F24-I24</f>
        <v>1.7799999999999983E-2</v>
      </c>
      <c r="K24">
        <f t="shared" ref="K24:K31" si="11">(J24*1000)/(D24/1000)</f>
        <v>5933.3333333333276</v>
      </c>
      <c r="L24">
        <v>6555</v>
      </c>
      <c r="N24">
        <f>L24</f>
        <v>6555</v>
      </c>
      <c r="O24">
        <v>139</v>
      </c>
      <c r="P24" s="1">
        <v>4.2361111111111106E-2</v>
      </c>
      <c r="Q24">
        <f>O24*3</f>
        <v>417</v>
      </c>
    </row>
    <row r="25" spans="1:29" x14ac:dyDescent="0.2">
      <c r="A25">
        <v>190819</v>
      </c>
      <c r="B25">
        <v>7</v>
      </c>
      <c r="C25">
        <v>0.12479999999999999</v>
      </c>
      <c r="D25">
        <v>3</v>
      </c>
      <c r="E25">
        <v>0.13600000000000001</v>
      </c>
      <c r="F25">
        <f t="shared" si="7"/>
        <v>1.1200000000000015E-2</v>
      </c>
      <c r="G25">
        <f t="shared" si="8"/>
        <v>3733.3333333333385</v>
      </c>
      <c r="H25">
        <v>0.1258</v>
      </c>
      <c r="I25">
        <f t="shared" si="9"/>
        <v>1.0000000000000009E-3</v>
      </c>
      <c r="J25">
        <f t="shared" si="10"/>
        <v>1.0200000000000015E-2</v>
      </c>
      <c r="K25">
        <f t="shared" si="11"/>
        <v>3400.000000000005</v>
      </c>
      <c r="L25">
        <v>5855</v>
      </c>
      <c r="N25">
        <f>L25</f>
        <v>5855</v>
      </c>
      <c r="O25" s="8">
        <v>38</v>
      </c>
      <c r="P25" s="1">
        <v>8.4027777777777771E-2</v>
      </c>
      <c r="Q25" s="8">
        <f>O25/(2/3)</f>
        <v>57</v>
      </c>
    </row>
    <row r="26" spans="1:29" x14ac:dyDescent="0.2">
      <c r="A26">
        <v>190821</v>
      </c>
      <c r="B26">
        <v>9</v>
      </c>
      <c r="C26">
        <v>0.12620000000000001</v>
      </c>
      <c r="D26">
        <v>3</v>
      </c>
      <c r="E26">
        <v>0.14460000000000001</v>
      </c>
      <c r="F26">
        <f t="shared" si="7"/>
        <v>1.84E-2</v>
      </c>
      <c r="G26">
        <f t="shared" si="8"/>
        <v>6133.333333333333</v>
      </c>
      <c r="H26">
        <v>0.1285</v>
      </c>
      <c r="I26">
        <f t="shared" si="9"/>
        <v>2.2999999999999965E-3</v>
      </c>
      <c r="J26">
        <f t="shared" si="10"/>
        <v>1.6100000000000003E-2</v>
      </c>
      <c r="K26">
        <f t="shared" si="11"/>
        <v>5366.666666666667</v>
      </c>
      <c r="L26">
        <v>6230</v>
      </c>
      <c r="N26">
        <f t="shared" ref="N26:N33" si="12">L26</f>
        <v>6230</v>
      </c>
      <c r="O26">
        <v>189</v>
      </c>
      <c r="P26" s="1">
        <v>8.4027777777777771E-2</v>
      </c>
      <c r="Q26">
        <f>O26/(2/3)</f>
        <v>283.5</v>
      </c>
    </row>
    <row r="27" spans="1:29" x14ac:dyDescent="0.2">
      <c r="A27">
        <v>190823</v>
      </c>
      <c r="B27">
        <v>11</v>
      </c>
      <c r="C27">
        <v>0.1226</v>
      </c>
      <c r="D27">
        <v>3</v>
      </c>
      <c r="E27">
        <v>0.14080000000000001</v>
      </c>
      <c r="F27">
        <f t="shared" si="7"/>
        <v>1.8200000000000008E-2</v>
      </c>
      <c r="G27">
        <f t="shared" si="8"/>
        <v>6066.6666666666688</v>
      </c>
      <c r="H27">
        <v>0.12509999999999999</v>
      </c>
      <c r="I27">
        <f t="shared" si="9"/>
        <v>2.4999999999999883E-3</v>
      </c>
      <c r="J27">
        <f t="shared" si="10"/>
        <v>1.5700000000000019E-2</v>
      </c>
      <c r="K27">
        <f t="shared" si="11"/>
        <v>5233.3333333333394</v>
      </c>
      <c r="L27">
        <v>6160</v>
      </c>
      <c r="N27">
        <f t="shared" si="12"/>
        <v>6160</v>
      </c>
      <c r="O27">
        <v>237</v>
      </c>
      <c r="P27" s="1">
        <v>0.125694444444444</v>
      </c>
      <c r="Q27">
        <f>O27/(2/3)</f>
        <v>355.5</v>
      </c>
    </row>
    <row r="28" spans="1:29" x14ac:dyDescent="0.2">
      <c r="A28">
        <v>190827</v>
      </c>
      <c r="B28">
        <v>15</v>
      </c>
      <c r="C28">
        <v>0.12429999999999999</v>
      </c>
      <c r="D28">
        <v>3</v>
      </c>
      <c r="E28">
        <v>0.13400000000000001</v>
      </c>
      <c r="F28">
        <f t="shared" si="7"/>
        <v>9.7000000000000142E-3</v>
      </c>
      <c r="G28">
        <f t="shared" si="8"/>
        <v>3233.3333333333376</v>
      </c>
      <c r="H28">
        <v>0.126</v>
      </c>
      <c r="I28">
        <f t="shared" si="9"/>
        <v>1.7000000000000071E-3</v>
      </c>
      <c r="J28">
        <f t="shared" si="10"/>
        <v>8.0000000000000071E-3</v>
      </c>
      <c r="K28">
        <f t="shared" si="11"/>
        <v>2666.6666666666688</v>
      </c>
      <c r="L28">
        <v>6215</v>
      </c>
      <c r="N28">
        <f t="shared" si="12"/>
        <v>6215</v>
      </c>
      <c r="O28">
        <v>246</v>
      </c>
      <c r="P28" s="1">
        <v>8.4027777777777771E-2</v>
      </c>
      <c r="Q28">
        <f>O28/(2/3)</f>
        <v>369</v>
      </c>
    </row>
    <row r="29" spans="1:29" x14ac:dyDescent="0.2">
      <c r="A29">
        <v>190910</v>
      </c>
      <c r="B29">
        <v>29</v>
      </c>
      <c r="C29">
        <v>0.12130000000000001</v>
      </c>
      <c r="D29">
        <v>3</v>
      </c>
      <c r="E29">
        <v>0.13289999999999999</v>
      </c>
      <c r="F29">
        <f t="shared" si="7"/>
        <v>1.1599999999999985E-2</v>
      </c>
      <c r="G29">
        <f t="shared" si="8"/>
        <v>3866.6666666666615</v>
      </c>
      <c r="H29">
        <v>0.1225</v>
      </c>
      <c r="I29">
        <f t="shared" si="9"/>
        <v>1.1999999999999927E-3</v>
      </c>
      <c r="J29">
        <f t="shared" si="10"/>
        <v>1.0399999999999993E-2</v>
      </c>
      <c r="K29">
        <f t="shared" si="11"/>
        <v>3466.6666666666642</v>
      </c>
      <c r="L29">
        <v>5115</v>
      </c>
      <c r="N29">
        <f t="shared" si="12"/>
        <v>5115</v>
      </c>
      <c r="O29">
        <v>287</v>
      </c>
      <c r="Q29">
        <f>O29</f>
        <v>287</v>
      </c>
      <c r="R29">
        <v>48.1</v>
      </c>
      <c r="S29" s="1">
        <v>4.2361111111111106E-2</v>
      </c>
      <c r="T29">
        <f>R29*2</f>
        <v>96.2</v>
      </c>
      <c r="AC29">
        <v>6.49</v>
      </c>
    </row>
    <row r="30" spans="1:29" x14ac:dyDescent="0.2">
      <c r="A30">
        <v>190912</v>
      </c>
      <c r="B30">
        <v>31</v>
      </c>
      <c r="C30">
        <v>0.12280000000000001</v>
      </c>
      <c r="D30">
        <v>3</v>
      </c>
      <c r="E30">
        <v>0.1343</v>
      </c>
      <c r="F30">
        <f t="shared" si="7"/>
        <v>1.1499999999999996E-2</v>
      </c>
      <c r="G30">
        <f t="shared" si="8"/>
        <v>3833.3333333333321</v>
      </c>
      <c r="H30">
        <v>0.1239</v>
      </c>
      <c r="I30">
        <f t="shared" si="9"/>
        <v>1.0999999999999899E-3</v>
      </c>
      <c r="J30">
        <f t="shared" si="10"/>
        <v>1.0400000000000006E-2</v>
      </c>
      <c r="K30">
        <f t="shared" si="11"/>
        <v>3466.6666666666683</v>
      </c>
      <c r="L30">
        <v>5340</v>
      </c>
      <c r="N30">
        <f t="shared" si="12"/>
        <v>5340</v>
      </c>
      <c r="O30">
        <v>23</v>
      </c>
      <c r="Q30">
        <f>O30*2</f>
        <v>46</v>
      </c>
      <c r="AC30">
        <v>6.45</v>
      </c>
    </row>
    <row r="31" spans="1:29" x14ac:dyDescent="0.2">
      <c r="A31">
        <v>190916</v>
      </c>
      <c r="B31">
        <v>35</v>
      </c>
      <c r="C31">
        <v>0.1216</v>
      </c>
      <c r="D31">
        <v>3</v>
      </c>
      <c r="E31">
        <v>0.13109999999999999</v>
      </c>
      <c r="F31">
        <f t="shared" si="7"/>
        <v>9.4999999999999946E-3</v>
      </c>
      <c r="G31">
        <f t="shared" si="8"/>
        <v>3166.6666666666647</v>
      </c>
      <c r="H31">
        <v>0.1225</v>
      </c>
      <c r="I31">
        <f t="shared" si="9"/>
        <v>8.9999999999999802E-4</v>
      </c>
      <c r="J31">
        <f t="shared" si="10"/>
        <v>8.5999999999999965E-3</v>
      </c>
      <c r="K31">
        <f t="shared" si="11"/>
        <v>2866.6666666666652</v>
      </c>
      <c r="L31">
        <v>4795</v>
      </c>
      <c r="N31">
        <f t="shared" si="12"/>
        <v>4795</v>
      </c>
      <c r="AC31">
        <v>6.46</v>
      </c>
    </row>
    <row r="32" spans="1:29" x14ac:dyDescent="0.2">
      <c r="A32">
        <v>190926</v>
      </c>
      <c r="B32">
        <v>45</v>
      </c>
      <c r="L32">
        <v>3985</v>
      </c>
      <c r="N32">
        <f t="shared" si="12"/>
        <v>3985</v>
      </c>
    </row>
    <row r="33" spans="1:29" x14ac:dyDescent="0.2">
      <c r="A33">
        <v>191007</v>
      </c>
      <c r="B33">
        <v>68</v>
      </c>
      <c r="L33">
        <v>4235</v>
      </c>
      <c r="N33">
        <f t="shared" si="12"/>
        <v>4235</v>
      </c>
      <c r="O33">
        <v>49</v>
      </c>
      <c r="Q33">
        <f>O33</f>
        <v>49</v>
      </c>
    </row>
    <row r="35" spans="1:29" x14ac:dyDescent="0.2">
      <c r="B35" t="s">
        <v>0</v>
      </c>
      <c r="C35" s="9" t="s">
        <v>1</v>
      </c>
      <c r="D35" s="9"/>
      <c r="E35" s="9"/>
      <c r="F35" s="9"/>
      <c r="G35" s="9"/>
      <c r="H35" s="9" t="s">
        <v>2</v>
      </c>
      <c r="I35" s="9"/>
      <c r="J35" s="9"/>
      <c r="K35" s="9"/>
      <c r="L35" s="9" t="s">
        <v>3</v>
      </c>
      <c r="M35" s="9"/>
      <c r="N35" s="9"/>
      <c r="O35" s="9" t="s">
        <v>4</v>
      </c>
      <c r="P35" s="9"/>
      <c r="Q35" s="9"/>
      <c r="R35" s="9" t="s">
        <v>5</v>
      </c>
      <c r="S35" s="9"/>
      <c r="T35" s="9"/>
      <c r="U35" s="9" t="s">
        <v>23</v>
      </c>
      <c r="V35" s="9"/>
      <c r="W35" s="9"/>
      <c r="X35" s="9" t="s">
        <v>24</v>
      </c>
      <c r="Y35" s="9"/>
      <c r="Z35" s="9"/>
      <c r="AA35" s="9"/>
      <c r="AB35" s="9"/>
      <c r="AC35" s="9" t="s">
        <v>25</v>
      </c>
    </row>
    <row r="36" spans="1:29" x14ac:dyDescent="0.2">
      <c r="A36" t="s">
        <v>6</v>
      </c>
      <c r="B36" t="s">
        <v>7</v>
      </c>
      <c r="C36" t="s">
        <v>8</v>
      </c>
      <c r="D36" t="s">
        <v>9</v>
      </c>
      <c r="E36" t="s">
        <v>10</v>
      </c>
      <c r="F36" t="s">
        <v>11</v>
      </c>
      <c r="G36" t="s">
        <v>12</v>
      </c>
      <c r="H36" t="s">
        <v>13</v>
      </c>
      <c r="I36" t="s">
        <v>14</v>
      </c>
      <c r="J36" t="s">
        <v>15</v>
      </c>
      <c r="K36" t="s">
        <v>16</v>
      </c>
      <c r="L36" t="s">
        <v>17</v>
      </c>
      <c r="M36" t="s">
        <v>18</v>
      </c>
      <c r="N36" t="s">
        <v>19</v>
      </c>
      <c r="O36" t="s">
        <v>17</v>
      </c>
      <c r="P36" t="s">
        <v>18</v>
      </c>
      <c r="Q36" t="s">
        <v>20</v>
      </c>
      <c r="R36" t="s">
        <v>21</v>
      </c>
      <c r="S36" t="s">
        <v>18</v>
      </c>
      <c r="T36" t="s">
        <v>19</v>
      </c>
      <c r="U36" t="s">
        <v>21</v>
      </c>
      <c r="V36" t="s">
        <v>18</v>
      </c>
      <c r="W36" t="s">
        <v>19</v>
      </c>
      <c r="X36" t="s">
        <v>30</v>
      </c>
      <c r="Y36" t="s">
        <v>31</v>
      </c>
      <c r="Z36" t="s">
        <v>32</v>
      </c>
      <c r="AC36" s="9"/>
    </row>
    <row r="37" spans="1:29" x14ac:dyDescent="0.2">
      <c r="A37">
        <f>'[2]T15-1'!A37</f>
        <v>0</v>
      </c>
      <c r="B37">
        <f>'[2]T15-1'!C37</f>
        <v>0</v>
      </c>
      <c r="C37">
        <v>0.1249</v>
      </c>
      <c r="D37">
        <v>3</v>
      </c>
      <c r="E37">
        <v>0.13800000000000001</v>
      </c>
      <c r="F37">
        <f t="shared" ref="F37:F46" si="13">E37-C37</f>
        <v>1.3100000000000014E-2</v>
      </c>
      <c r="G37">
        <f t="shared" ref="G37:G46" si="14">(F37*1000)/(D37/1000)</f>
        <v>4366.6666666666715</v>
      </c>
      <c r="H37">
        <v>0.12609999999999999</v>
      </c>
      <c r="I37">
        <f>H37-C37</f>
        <v>1.1999999999999927E-3</v>
      </c>
      <c r="J37">
        <f>F37-I37</f>
        <v>1.1900000000000022E-2</v>
      </c>
      <c r="K37">
        <f t="shared" ref="K37" si="15">(J37*1000)/(D37/1000)</f>
        <v>3966.6666666666738</v>
      </c>
      <c r="L37">
        <v>6785</v>
      </c>
      <c r="M37" s="3"/>
      <c r="N37">
        <f>L37</f>
        <v>6785</v>
      </c>
      <c r="O37">
        <v>384</v>
      </c>
      <c r="Q37">
        <f>O37</f>
        <v>384</v>
      </c>
      <c r="R37">
        <v>32.6</v>
      </c>
      <c r="S37" s="1">
        <v>4.2361111111111106E-2</v>
      </c>
      <c r="T37">
        <f>R37*2</f>
        <v>65.2</v>
      </c>
      <c r="AC37">
        <v>6.8</v>
      </c>
    </row>
    <row r="38" spans="1:29" x14ac:dyDescent="0.2">
      <c r="A38">
        <v>190814</v>
      </c>
      <c r="B38">
        <v>2</v>
      </c>
      <c r="C38">
        <v>0.1242</v>
      </c>
      <c r="D38">
        <v>3</v>
      </c>
      <c r="E38" s="11">
        <v>0.13769999999999999</v>
      </c>
      <c r="F38">
        <f t="shared" si="13"/>
        <v>1.3499999999999984E-2</v>
      </c>
      <c r="G38">
        <f t="shared" si="14"/>
        <v>4499.9999999999945</v>
      </c>
      <c r="H38">
        <v>0.1265</v>
      </c>
      <c r="I38">
        <f t="shared" ref="I38:I46" si="16">H38-C38</f>
        <v>2.2999999999999965E-3</v>
      </c>
      <c r="J38">
        <f t="shared" ref="J38:J46" si="17">F38-I38</f>
        <v>1.1199999999999988E-2</v>
      </c>
      <c r="K38">
        <f>(J38*1000)/(D38/1000)</f>
        <v>3733.3333333333294</v>
      </c>
      <c r="L38">
        <v>6530</v>
      </c>
      <c r="N38">
        <f>L38</f>
        <v>6530</v>
      </c>
      <c r="O38">
        <v>200</v>
      </c>
      <c r="P38" s="1">
        <v>8.4027777777777771E-2</v>
      </c>
      <c r="Q38">
        <f>O38/(2/3)</f>
        <v>300</v>
      </c>
      <c r="AC38">
        <v>6.67</v>
      </c>
    </row>
    <row r="39" spans="1:29" x14ac:dyDescent="0.2">
      <c r="A39">
        <v>190816</v>
      </c>
      <c r="B39">
        <v>4</v>
      </c>
      <c r="C39">
        <v>0.1246</v>
      </c>
      <c r="D39">
        <v>3</v>
      </c>
      <c r="E39">
        <v>0.13855000000000001</v>
      </c>
      <c r="F39">
        <f t="shared" si="13"/>
        <v>1.3950000000000004E-2</v>
      </c>
      <c r="G39">
        <f t="shared" si="14"/>
        <v>4650.0000000000018</v>
      </c>
      <c r="H39">
        <v>0.12529999999999999</v>
      </c>
      <c r="I39">
        <f t="shared" si="16"/>
        <v>6.999999999999923E-4</v>
      </c>
      <c r="J39">
        <f t="shared" si="17"/>
        <v>1.3250000000000012E-2</v>
      </c>
      <c r="K39">
        <f t="shared" ref="K39:K46" si="18">(J39*1000)/(D39/1000)</f>
        <v>4416.6666666666706</v>
      </c>
      <c r="L39">
        <v>6310</v>
      </c>
      <c r="N39">
        <f>L39</f>
        <v>6310</v>
      </c>
      <c r="O39">
        <v>146</v>
      </c>
      <c r="P39" s="1">
        <v>4.2361111111111106E-2</v>
      </c>
      <c r="Q39">
        <f>O39*2</f>
        <v>292</v>
      </c>
    </row>
    <row r="40" spans="1:29" x14ac:dyDescent="0.2">
      <c r="A40">
        <v>190819</v>
      </c>
      <c r="B40">
        <v>7</v>
      </c>
      <c r="C40">
        <v>0.1263</v>
      </c>
      <c r="D40">
        <v>3</v>
      </c>
      <c r="E40">
        <v>0.13689999999999999</v>
      </c>
      <c r="F40">
        <f t="shared" si="13"/>
        <v>1.0599999999999998E-2</v>
      </c>
      <c r="G40">
        <f t="shared" si="14"/>
        <v>3533.3333333333326</v>
      </c>
      <c r="H40">
        <v>0.12670000000000001</v>
      </c>
      <c r="I40">
        <f t="shared" si="16"/>
        <v>4.0000000000001146E-4</v>
      </c>
      <c r="J40">
        <f t="shared" si="17"/>
        <v>1.0199999999999987E-2</v>
      </c>
      <c r="K40">
        <f t="shared" si="18"/>
        <v>3399.9999999999955</v>
      </c>
      <c r="L40">
        <v>5875</v>
      </c>
      <c r="N40">
        <f t="shared" ref="N40:N48" si="19">L40</f>
        <v>5875</v>
      </c>
      <c r="O40">
        <v>31</v>
      </c>
      <c r="P40" s="1">
        <v>8.4027777777777771E-2</v>
      </c>
      <c r="Q40">
        <f>O40/(2/3)</f>
        <v>46.5</v>
      </c>
    </row>
    <row r="41" spans="1:29" x14ac:dyDescent="0.2">
      <c r="A41">
        <v>190821</v>
      </c>
      <c r="B41">
        <v>9</v>
      </c>
      <c r="C41">
        <v>0.122</v>
      </c>
      <c r="D41">
        <v>3</v>
      </c>
      <c r="E41">
        <v>0.13350000000000001</v>
      </c>
      <c r="F41">
        <f t="shared" si="13"/>
        <v>1.150000000000001E-2</v>
      </c>
      <c r="G41">
        <f t="shared" si="14"/>
        <v>3833.3333333333367</v>
      </c>
      <c r="H41">
        <v>0.123</v>
      </c>
      <c r="I41">
        <f t="shared" si="16"/>
        <v>1.0000000000000009E-3</v>
      </c>
      <c r="J41">
        <f t="shared" si="17"/>
        <v>1.0500000000000009E-2</v>
      </c>
      <c r="K41">
        <f t="shared" si="18"/>
        <v>3500.0000000000027</v>
      </c>
      <c r="L41">
        <v>7195</v>
      </c>
      <c r="N41">
        <f t="shared" si="19"/>
        <v>7195</v>
      </c>
      <c r="O41">
        <v>197</v>
      </c>
      <c r="P41" s="1">
        <v>8.4027777777777771E-2</v>
      </c>
      <c r="Q41">
        <f t="shared" ref="Q41:Q42" si="20">O41/(2/3)</f>
        <v>295.5</v>
      </c>
    </row>
    <row r="42" spans="1:29" x14ac:dyDescent="0.2">
      <c r="A42">
        <v>190823</v>
      </c>
      <c r="B42">
        <v>11</v>
      </c>
      <c r="C42">
        <v>0.1222</v>
      </c>
      <c r="D42">
        <v>3</v>
      </c>
      <c r="E42">
        <v>0.13289999999999999</v>
      </c>
      <c r="F42">
        <f t="shared" si="13"/>
        <v>1.0699999999999987E-2</v>
      </c>
      <c r="G42">
        <f t="shared" si="14"/>
        <v>3566.6666666666624</v>
      </c>
      <c r="H42">
        <v>0.12330000000000001</v>
      </c>
      <c r="I42">
        <f t="shared" si="16"/>
        <v>1.1000000000000038E-3</v>
      </c>
      <c r="J42">
        <f t="shared" si="17"/>
        <v>9.5999999999999835E-3</v>
      </c>
      <c r="K42">
        <f t="shared" si="18"/>
        <v>3199.9999999999945</v>
      </c>
      <c r="L42">
        <v>5860</v>
      </c>
      <c r="N42">
        <f t="shared" si="19"/>
        <v>5860</v>
      </c>
      <c r="O42">
        <v>241</v>
      </c>
      <c r="P42" s="1">
        <v>8.4027777777777771E-2</v>
      </c>
      <c r="Q42">
        <f t="shared" si="20"/>
        <v>361.5</v>
      </c>
    </row>
    <row r="43" spans="1:29" x14ac:dyDescent="0.2">
      <c r="A43">
        <v>190827</v>
      </c>
      <c r="B43">
        <v>15</v>
      </c>
      <c r="C43">
        <v>0.1232</v>
      </c>
      <c r="D43">
        <v>3</v>
      </c>
      <c r="E43">
        <v>0.13450000000000001</v>
      </c>
      <c r="F43">
        <f t="shared" si="13"/>
        <v>1.1300000000000004E-2</v>
      </c>
      <c r="G43">
        <f t="shared" si="14"/>
        <v>3766.6666666666679</v>
      </c>
      <c r="H43">
        <v>0.12470000000000001</v>
      </c>
      <c r="I43">
        <f t="shared" si="16"/>
        <v>1.5000000000000013E-3</v>
      </c>
      <c r="J43">
        <f t="shared" si="17"/>
        <v>9.8000000000000032E-3</v>
      </c>
      <c r="K43">
        <f t="shared" si="18"/>
        <v>3266.6666666666674</v>
      </c>
      <c r="L43">
        <v>5150</v>
      </c>
      <c r="N43">
        <f t="shared" si="19"/>
        <v>5150</v>
      </c>
      <c r="O43">
        <v>118</v>
      </c>
      <c r="P43" s="1">
        <v>4.2361111111111106E-2</v>
      </c>
      <c r="Q43">
        <f>O43*2</f>
        <v>236</v>
      </c>
    </row>
    <row r="44" spans="1:29" x14ac:dyDescent="0.2">
      <c r="A44">
        <v>190910</v>
      </c>
      <c r="B44">
        <v>29</v>
      </c>
      <c r="C44">
        <v>0.1239</v>
      </c>
      <c r="D44">
        <v>3</v>
      </c>
      <c r="E44">
        <v>0.13420000000000001</v>
      </c>
      <c r="F44">
        <f t="shared" si="13"/>
        <v>1.0300000000000017E-2</v>
      </c>
      <c r="G44">
        <f t="shared" si="14"/>
        <v>3433.3333333333389</v>
      </c>
      <c r="H44">
        <v>0.12479999999999999</v>
      </c>
      <c r="I44">
        <f t="shared" si="16"/>
        <v>8.9999999999999802E-4</v>
      </c>
      <c r="J44">
        <f t="shared" si="17"/>
        <v>9.4000000000000195E-3</v>
      </c>
      <c r="K44">
        <f t="shared" si="18"/>
        <v>3133.3333333333399</v>
      </c>
      <c r="L44">
        <v>5110</v>
      </c>
      <c r="N44">
        <f t="shared" si="19"/>
        <v>5110</v>
      </c>
      <c r="O44">
        <v>136</v>
      </c>
      <c r="Q44">
        <f>O44</f>
        <v>136</v>
      </c>
      <c r="R44">
        <v>44.2</v>
      </c>
      <c r="S44" s="1">
        <v>4.2361111111111106E-2</v>
      </c>
      <c r="T44">
        <f>R44*2</f>
        <v>88.4</v>
      </c>
      <c r="AC44">
        <v>6.49</v>
      </c>
    </row>
    <row r="45" spans="1:29" x14ac:dyDescent="0.2">
      <c r="A45">
        <v>190912</v>
      </c>
      <c r="B45">
        <v>31</v>
      </c>
      <c r="C45">
        <v>0.12239999999999999</v>
      </c>
      <c r="D45">
        <v>3</v>
      </c>
      <c r="E45">
        <v>0.13239999999999999</v>
      </c>
      <c r="F45">
        <f t="shared" si="13"/>
        <v>9.999999999999995E-3</v>
      </c>
      <c r="G45">
        <f t="shared" si="14"/>
        <v>3333.3333333333317</v>
      </c>
      <c r="H45">
        <v>0.1234</v>
      </c>
      <c r="I45">
        <f t="shared" si="16"/>
        <v>1.0000000000000009E-3</v>
      </c>
      <c r="J45">
        <f t="shared" si="17"/>
        <v>8.9999999999999941E-3</v>
      </c>
      <c r="K45">
        <f t="shared" si="18"/>
        <v>2999.9999999999982</v>
      </c>
      <c r="L45">
        <v>4305</v>
      </c>
      <c r="N45">
        <f t="shared" si="19"/>
        <v>4305</v>
      </c>
      <c r="AC45">
        <v>6.42</v>
      </c>
    </row>
    <row r="46" spans="1:29" x14ac:dyDescent="0.2">
      <c r="A46">
        <v>190916</v>
      </c>
      <c r="B46">
        <v>35</v>
      </c>
      <c r="C46">
        <v>0.122</v>
      </c>
      <c r="D46">
        <v>3</v>
      </c>
      <c r="E46">
        <v>0.13150000000000001</v>
      </c>
      <c r="F46">
        <f t="shared" si="13"/>
        <v>9.5000000000000084E-3</v>
      </c>
      <c r="G46">
        <f t="shared" si="14"/>
        <v>3166.6666666666697</v>
      </c>
      <c r="H46">
        <v>0.1231</v>
      </c>
      <c r="I46">
        <f t="shared" si="16"/>
        <v>1.1000000000000038E-3</v>
      </c>
      <c r="J46">
        <f t="shared" si="17"/>
        <v>8.4000000000000047E-3</v>
      </c>
      <c r="K46">
        <f t="shared" si="18"/>
        <v>2800.0000000000014</v>
      </c>
      <c r="L46">
        <v>4625</v>
      </c>
      <c r="N46">
        <f t="shared" si="19"/>
        <v>4625</v>
      </c>
      <c r="AC46">
        <v>6.43</v>
      </c>
    </row>
    <row r="47" spans="1:29" x14ac:dyDescent="0.2">
      <c r="A47">
        <v>190926</v>
      </c>
      <c r="B47">
        <v>45</v>
      </c>
      <c r="L47">
        <v>4380</v>
      </c>
      <c r="N47">
        <f t="shared" si="19"/>
        <v>4380</v>
      </c>
    </row>
    <row r="48" spans="1:29" x14ac:dyDescent="0.2">
      <c r="A48">
        <v>191007</v>
      </c>
      <c r="B48">
        <v>68</v>
      </c>
      <c r="L48">
        <v>4140</v>
      </c>
      <c r="N48">
        <f t="shared" si="19"/>
        <v>4140</v>
      </c>
      <c r="O48">
        <v>16</v>
      </c>
      <c r="Q48">
        <f>O48</f>
        <v>16</v>
      </c>
    </row>
  </sheetData>
  <mergeCells count="24">
    <mergeCell ref="X35:AB35"/>
    <mergeCell ref="AC35:AC36"/>
    <mergeCell ref="C35:G35"/>
    <mergeCell ref="H35:K35"/>
    <mergeCell ref="L35:N35"/>
    <mergeCell ref="O35:Q35"/>
    <mergeCell ref="R35:T35"/>
    <mergeCell ref="U35:W35"/>
    <mergeCell ref="Y4:AC4"/>
    <mergeCell ref="AD4:AD5"/>
    <mergeCell ref="C20:G20"/>
    <mergeCell ref="H20:K20"/>
    <mergeCell ref="L20:N20"/>
    <mergeCell ref="O20:Q20"/>
    <mergeCell ref="R20:T20"/>
    <mergeCell ref="U20:W20"/>
    <mergeCell ref="X20:AB20"/>
    <mergeCell ref="AC20:AC21"/>
    <mergeCell ref="D4:H4"/>
    <mergeCell ref="I4:L4"/>
    <mergeCell ref="M4:O4"/>
    <mergeCell ref="P4:R4"/>
    <mergeCell ref="S4:U4"/>
    <mergeCell ref="V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91E6-3C1B-4701-8C61-FB7EF40DF9C0}">
  <dimension ref="A1:Z31"/>
  <sheetViews>
    <sheetView workbookViewId="0">
      <selection activeCell="B26" sqref="B26:H27"/>
    </sheetView>
  </sheetViews>
  <sheetFormatPr defaultRowHeight="14.25" x14ac:dyDescent="0.2"/>
  <sheetData>
    <row r="1" spans="1:26" x14ac:dyDescent="0.2">
      <c r="B1" t="s">
        <v>1</v>
      </c>
      <c r="G1" t="s">
        <v>2</v>
      </c>
      <c r="L1" t="s">
        <v>40</v>
      </c>
      <c r="Q1" t="s">
        <v>41</v>
      </c>
      <c r="V1" t="s">
        <v>42</v>
      </c>
    </row>
    <row r="2" spans="1:26" x14ac:dyDescent="0.2">
      <c r="A2" t="s">
        <v>7</v>
      </c>
      <c r="B2" t="s">
        <v>97</v>
      </c>
      <c r="C2" t="s">
        <v>98</v>
      </c>
      <c r="D2" t="s">
        <v>99</v>
      </c>
      <c r="E2" t="s">
        <v>39</v>
      </c>
      <c r="F2" t="s">
        <v>44</v>
      </c>
      <c r="G2" t="s">
        <v>97</v>
      </c>
      <c r="H2" t="s">
        <v>98</v>
      </c>
      <c r="I2" t="s">
        <v>99</v>
      </c>
      <c r="J2" t="s">
        <v>39</v>
      </c>
      <c r="K2" t="s">
        <v>44</v>
      </c>
      <c r="L2" t="s">
        <v>97</v>
      </c>
      <c r="M2" t="s">
        <v>98</v>
      </c>
      <c r="N2" t="s">
        <v>99</v>
      </c>
      <c r="O2" t="s">
        <v>39</v>
      </c>
      <c r="P2" t="s">
        <v>44</v>
      </c>
      <c r="Q2" t="s">
        <v>97</v>
      </c>
      <c r="R2" t="s">
        <v>98</v>
      </c>
      <c r="S2" t="s">
        <v>99</v>
      </c>
      <c r="T2" t="s">
        <v>39</v>
      </c>
      <c r="U2" t="s">
        <v>44</v>
      </c>
      <c r="V2" t="s">
        <v>97</v>
      </c>
      <c r="W2" t="s">
        <v>98</v>
      </c>
      <c r="X2" t="s">
        <v>99</v>
      </c>
      <c r="Y2" t="s">
        <v>39</v>
      </c>
      <c r="Z2" t="s">
        <v>44</v>
      </c>
    </row>
    <row r="3" spans="1:26" x14ac:dyDescent="0.2">
      <c r="A3">
        <v>0</v>
      </c>
      <c r="B3">
        <v>4499.9999999999945</v>
      </c>
      <c r="C3">
        <v>4466.6666666666652</v>
      </c>
      <c r="D3">
        <v>4366.6666666666715</v>
      </c>
      <c r="E3">
        <v>4444.4444444444443</v>
      </c>
      <c r="F3">
        <v>69.388866648865942</v>
      </c>
      <c r="G3">
        <v>3966.6666666666642</v>
      </c>
      <c r="H3">
        <v>4299.9999999999982</v>
      </c>
      <c r="I3">
        <v>3966.6666666666738</v>
      </c>
      <c r="J3">
        <v>4077.7777777777787</v>
      </c>
      <c r="K3">
        <v>192.45008972987284</v>
      </c>
      <c r="L3">
        <v>6550</v>
      </c>
      <c r="M3">
        <v>6130</v>
      </c>
      <c r="N3">
        <v>6785</v>
      </c>
      <c r="O3">
        <v>6488.333333333333</v>
      </c>
      <c r="P3">
        <v>331.82575748927832</v>
      </c>
      <c r="Q3">
        <v>383</v>
      </c>
      <c r="R3">
        <v>405</v>
      </c>
      <c r="S3">
        <v>384</v>
      </c>
      <c r="T3">
        <v>390.66666666666669</v>
      </c>
      <c r="U3">
        <v>12.423096769056148</v>
      </c>
      <c r="V3">
        <v>6167</v>
      </c>
      <c r="W3">
        <v>5725</v>
      </c>
      <c r="X3">
        <v>6401</v>
      </c>
      <c r="Y3">
        <v>6097.666666666667</v>
      </c>
      <c r="Z3">
        <v>343.29190688586488</v>
      </c>
    </row>
    <row r="4" spans="1:26" x14ac:dyDescent="0.2">
      <c r="A4">
        <v>2</v>
      </c>
      <c r="B4">
        <v>6233.3333333333321</v>
      </c>
      <c r="C4">
        <v>4633.3333333333312</v>
      </c>
      <c r="D4">
        <v>4499.9999999999945</v>
      </c>
      <c r="E4">
        <v>4566.6666666666624</v>
      </c>
      <c r="F4">
        <v>964.55708507603276</v>
      </c>
      <c r="G4">
        <v>5399.9999999999973</v>
      </c>
      <c r="H4">
        <v>4066.6666666666629</v>
      </c>
      <c r="I4">
        <v>3733.3333333333294</v>
      </c>
      <c r="J4">
        <v>3899.9999999999964</v>
      </c>
      <c r="K4">
        <v>235.70226039551594</v>
      </c>
      <c r="L4">
        <v>5785</v>
      </c>
      <c r="M4">
        <v>6640</v>
      </c>
      <c r="N4">
        <v>6530</v>
      </c>
      <c r="O4">
        <v>6318.333333333333</v>
      </c>
      <c r="P4">
        <v>465.14334708058908</v>
      </c>
      <c r="Q4">
        <v>292.5</v>
      </c>
      <c r="R4">
        <v>307.5</v>
      </c>
      <c r="S4">
        <v>300</v>
      </c>
      <c r="T4">
        <v>300</v>
      </c>
      <c r="U4">
        <v>7.5</v>
      </c>
      <c r="V4">
        <v>5492.5</v>
      </c>
      <c r="W4">
        <v>6332.5</v>
      </c>
      <c r="X4">
        <v>6230</v>
      </c>
      <c r="Y4">
        <v>6018.333333333333</v>
      </c>
      <c r="Z4">
        <v>458.25984259296968</v>
      </c>
    </row>
    <row r="5" spans="1:26" x14ac:dyDescent="0.2">
      <c r="A5">
        <v>4</v>
      </c>
      <c r="B5">
        <v>4733.3333333333303</v>
      </c>
      <c r="C5">
        <v>6533.3333333333303</v>
      </c>
      <c r="D5">
        <v>4650.0000000000018</v>
      </c>
      <c r="E5">
        <v>4691.6666666666661</v>
      </c>
      <c r="F5">
        <v>1064.1028215425488</v>
      </c>
      <c r="G5">
        <v>3366.6666666666661</v>
      </c>
      <c r="H5">
        <v>5933.3333333333276</v>
      </c>
      <c r="I5">
        <v>4416.6666666666706</v>
      </c>
      <c r="J5">
        <v>3891.6666666666683</v>
      </c>
      <c r="K5">
        <v>742.46212024587737</v>
      </c>
      <c r="L5">
        <v>6210</v>
      </c>
      <c r="M5">
        <v>6555</v>
      </c>
      <c r="N5">
        <v>6310</v>
      </c>
      <c r="O5">
        <v>6358.333333333333</v>
      </c>
      <c r="P5">
        <v>177.50586844759059</v>
      </c>
      <c r="Q5">
        <v>429</v>
      </c>
      <c r="R5">
        <v>417</v>
      </c>
      <c r="S5">
        <v>292</v>
      </c>
      <c r="T5">
        <v>379.33333333333331</v>
      </c>
      <c r="U5">
        <v>75.870503710818625</v>
      </c>
      <c r="V5">
        <v>5781</v>
      </c>
      <c r="W5">
        <v>6138</v>
      </c>
      <c r="X5">
        <v>6018</v>
      </c>
      <c r="Y5">
        <v>5979</v>
      </c>
      <c r="Z5">
        <v>181.66727828643221</v>
      </c>
    </row>
    <row r="6" spans="1:26" x14ac:dyDescent="0.2">
      <c r="A6">
        <v>7</v>
      </c>
      <c r="B6">
        <v>3766.6666666666679</v>
      </c>
      <c r="C6">
        <v>3733.3333333333385</v>
      </c>
      <c r="D6">
        <v>3533.3333333333326</v>
      </c>
      <c r="E6">
        <v>3650</v>
      </c>
      <c r="F6">
        <v>126.19796324000808</v>
      </c>
      <c r="G6">
        <v>3566.6666666666715</v>
      </c>
      <c r="H6">
        <v>3400.000000000005</v>
      </c>
      <c r="I6">
        <v>3399.9999999999955</v>
      </c>
      <c r="J6">
        <v>3455.555555555557</v>
      </c>
      <c r="K6">
        <v>96.225044864940287</v>
      </c>
      <c r="L6">
        <v>5985</v>
      </c>
      <c r="M6">
        <v>5855</v>
      </c>
      <c r="N6">
        <v>5875</v>
      </c>
      <c r="O6">
        <v>5905</v>
      </c>
      <c r="P6">
        <v>70</v>
      </c>
      <c r="Q6" t="s">
        <v>33</v>
      </c>
      <c r="R6">
        <v>57</v>
      </c>
      <c r="S6">
        <v>46.5</v>
      </c>
      <c r="T6">
        <v>51.75</v>
      </c>
      <c r="U6">
        <v>7.4246212024587486</v>
      </c>
      <c r="W6">
        <v>5798</v>
      </c>
      <c r="X6">
        <v>5828.5</v>
      </c>
      <c r="Y6">
        <v>5813.25</v>
      </c>
      <c r="Z6">
        <v>21.5667568261897</v>
      </c>
    </row>
    <row r="7" spans="1:26" x14ac:dyDescent="0.2">
      <c r="A7">
        <v>9</v>
      </c>
      <c r="B7">
        <v>4299.9999999999982</v>
      </c>
      <c r="C7">
        <v>6133.333333333333</v>
      </c>
      <c r="D7">
        <v>3833.3333333333367</v>
      </c>
      <c r="E7">
        <v>4066.6666666666674</v>
      </c>
      <c r="F7">
        <v>1215.7911614040256</v>
      </c>
      <c r="G7">
        <v>3899.9999999999959</v>
      </c>
      <c r="H7">
        <v>5366.666666666667</v>
      </c>
      <c r="I7">
        <v>3500.0000000000027</v>
      </c>
      <c r="J7">
        <v>3699.9999999999991</v>
      </c>
      <c r="K7">
        <v>282.84271247461419</v>
      </c>
      <c r="L7">
        <v>6115</v>
      </c>
      <c r="M7">
        <v>6230</v>
      </c>
      <c r="N7">
        <v>7195</v>
      </c>
      <c r="O7">
        <v>6513.333333333333</v>
      </c>
      <c r="P7">
        <v>593.13432992310709</v>
      </c>
      <c r="Q7">
        <v>287</v>
      </c>
      <c r="R7">
        <v>283.5</v>
      </c>
      <c r="S7">
        <v>295.5</v>
      </c>
      <c r="T7">
        <v>288.66666666666669</v>
      </c>
      <c r="U7">
        <v>6.1711695271912062</v>
      </c>
      <c r="V7">
        <v>5828</v>
      </c>
      <c r="W7">
        <v>5946.5</v>
      </c>
      <c r="X7">
        <v>6899.5</v>
      </c>
      <c r="Y7">
        <v>6224.666666666667</v>
      </c>
      <c r="Z7">
        <v>587.41857591783162</v>
      </c>
    </row>
    <row r="8" spans="1:26" x14ac:dyDescent="0.2">
      <c r="A8">
        <v>11</v>
      </c>
      <c r="B8">
        <v>4633.3333333333312</v>
      </c>
      <c r="C8">
        <v>6066.6666666666688</v>
      </c>
      <c r="D8">
        <v>3566.6666666666624</v>
      </c>
      <c r="E8">
        <v>4099.9999999999964</v>
      </c>
      <c r="F8">
        <v>1254.4734766840265</v>
      </c>
      <c r="G8">
        <v>3866.6666666666665</v>
      </c>
      <c r="H8">
        <v>5233.3333333333394</v>
      </c>
      <c r="I8">
        <v>3199.9999999999945</v>
      </c>
      <c r="J8">
        <v>3533.3333333333303</v>
      </c>
      <c r="K8">
        <v>471.4045207910354</v>
      </c>
      <c r="L8">
        <v>5610</v>
      </c>
      <c r="M8">
        <v>6160</v>
      </c>
      <c r="N8">
        <v>5860</v>
      </c>
      <c r="O8">
        <v>5876.666666666667</v>
      </c>
      <c r="P8">
        <v>275.37852736430511</v>
      </c>
      <c r="Q8">
        <v>298.5</v>
      </c>
      <c r="R8">
        <v>355.5</v>
      </c>
      <c r="S8">
        <v>361.5</v>
      </c>
      <c r="T8">
        <v>338.5</v>
      </c>
      <c r="U8">
        <v>34.770677301427419</v>
      </c>
      <c r="V8">
        <v>5311.5</v>
      </c>
      <c r="W8">
        <v>5804.5</v>
      </c>
      <c r="X8">
        <v>5498.5</v>
      </c>
      <c r="Y8">
        <v>5538.166666666667</v>
      </c>
      <c r="Z8">
        <v>248.88216756797448</v>
      </c>
    </row>
    <row r="9" spans="1:26" x14ac:dyDescent="0.2">
      <c r="A9">
        <v>15</v>
      </c>
      <c r="B9">
        <v>3233.3333333333376</v>
      </c>
      <c r="C9">
        <v>3233.3333333333376</v>
      </c>
      <c r="D9">
        <v>3766.6666666666679</v>
      </c>
      <c r="E9">
        <v>3500.0000000000027</v>
      </c>
      <c r="F9">
        <v>307.92014356779862</v>
      </c>
      <c r="G9">
        <v>2900.0000000000045</v>
      </c>
      <c r="H9">
        <v>2666.6666666666688</v>
      </c>
      <c r="I9">
        <v>3266.6666666666674</v>
      </c>
      <c r="J9">
        <v>3083.3333333333358</v>
      </c>
      <c r="K9">
        <v>259.27248643506471</v>
      </c>
      <c r="L9">
        <v>6335</v>
      </c>
      <c r="M9">
        <v>6215</v>
      </c>
      <c r="N9">
        <v>5150</v>
      </c>
      <c r="O9">
        <v>5900</v>
      </c>
      <c r="P9">
        <v>652.28444715476701</v>
      </c>
      <c r="Q9">
        <v>387</v>
      </c>
      <c r="R9">
        <v>369</v>
      </c>
      <c r="S9">
        <v>236</v>
      </c>
      <c r="T9">
        <v>330.66666666666669</v>
      </c>
      <c r="U9">
        <v>82.476259210353035</v>
      </c>
      <c r="V9">
        <v>5948</v>
      </c>
      <c r="W9">
        <v>5846</v>
      </c>
      <c r="X9">
        <v>4914</v>
      </c>
      <c r="Y9">
        <v>5569.333333333333</v>
      </c>
      <c r="Z9">
        <v>569.82219448994204</v>
      </c>
    </row>
    <row r="10" spans="1:26" x14ac:dyDescent="0.2">
      <c r="A10">
        <v>29</v>
      </c>
      <c r="B10">
        <v>3433.3333333333348</v>
      </c>
      <c r="C10">
        <v>3866.6666666666615</v>
      </c>
      <c r="D10">
        <v>3433.3333333333389</v>
      </c>
      <c r="E10">
        <v>3433.3333333333367</v>
      </c>
      <c r="F10">
        <v>250.1851166488328</v>
      </c>
      <c r="G10">
        <v>3166.6666666666647</v>
      </c>
      <c r="H10">
        <v>3466.6666666666642</v>
      </c>
      <c r="I10">
        <v>3133.3333333333399</v>
      </c>
      <c r="J10">
        <v>3150.0000000000023</v>
      </c>
      <c r="K10">
        <v>23.570226039545581</v>
      </c>
      <c r="L10">
        <v>5405</v>
      </c>
      <c r="M10">
        <v>5115</v>
      </c>
      <c r="N10">
        <v>5110</v>
      </c>
      <c r="O10">
        <v>5210</v>
      </c>
      <c r="P10">
        <v>168.89345754054537</v>
      </c>
      <c r="Q10">
        <v>203</v>
      </c>
      <c r="R10">
        <v>287</v>
      </c>
      <c r="S10">
        <v>136</v>
      </c>
      <c r="T10">
        <v>208.66666666666666</v>
      </c>
      <c r="U10">
        <v>75.659324166511922</v>
      </c>
      <c r="V10">
        <v>5202</v>
      </c>
      <c r="W10">
        <v>4828</v>
      </c>
      <c r="X10">
        <v>4974</v>
      </c>
      <c r="Y10">
        <v>5001.333333333333</v>
      </c>
      <c r="Z10">
        <v>188.49226332487319</v>
      </c>
    </row>
    <row r="11" spans="1:26" x14ac:dyDescent="0.2">
      <c r="A11">
        <v>31</v>
      </c>
      <c r="B11">
        <v>4066.6666666666724</v>
      </c>
      <c r="C11">
        <v>3833.3333333333321</v>
      </c>
      <c r="D11">
        <v>3333.3333333333317</v>
      </c>
      <c r="E11">
        <v>3700.0000000000018</v>
      </c>
      <c r="F11">
        <v>374.66034000194469</v>
      </c>
      <c r="G11">
        <v>3533.3333333333326</v>
      </c>
      <c r="H11">
        <v>3466.6666666666683</v>
      </c>
      <c r="I11">
        <v>2999.9999999999982</v>
      </c>
      <c r="J11">
        <v>3266.6666666666652</v>
      </c>
      <c r="K11">
        <v>377.1236166328261</v>
      </c>
      <c r="L11">
        <v>5015</v>
      </c>
      <c r="M11">
        <v>5340</v>
      </c>
      <c r="N11">
        <v>4305</v>
      </c>
      <c r="O11">
        <v>4886.666666666667</v>
      </c>
      <c r="P11">
        <v>529.29985200577312</v>
      </c>
      <c r="Q11">
        <v>40</v>
      </c>
      <c r="R11">
        <v>46</v>
      </c>
      <c r="S11">
        <v>0</v>
      </c>
      <c r="T11">
        <v>28.666666666666668</v>
      </c>
      <c r="U11">
        <v>25.006665778014735</v>
      </c>
      <c r="V11">
        <v>4975</v>
      </c>
      <c r="W11">
        <v>5294</v>
      </c>
      <c r="X11">
        <v>4305</v>
      </c>
      <c r="Y11">
        <v>4858</v>
      </c>
      <c r="Z11">
        <v>504.77420694801748</v>
      </c>
    </row>
    <row r="12" spans="1:26" x14ac:dyDescent="0.2">
      <c r="A12">
        <v>35</v>
      </c>
      <c r="B12">
        <v>3433.3333333333389</v>
      </c>
      <c r="C12">
        <v>3166.6666666666647</v>
      </c>
      <c r="D12">
        <v>3166.6666666666697</v>
      </c>
      <c r="E12">
        <v>3300.0000000000045</v>
      </c>
      <c r="F12">
        <v>153.96007178390315</v>
      </c>
      <c r="G12">
        <v>2933.3333333333389</v>
      </c>
      <c r="H12">
        <v>2866.6666666666652</v>
      </c>
      <c r="I12">
        <v>2800.0000000000014</v>
      </c>
      <c r="J12">
        <v>2866.6666666666702</v>
      </c>
      <c r="K12">
        <v>94.280904158209339</v>
      </c>
      <c r="L12">
        <v>5080</v>
      </c>
      <c r="M12">
        <v>4795</v>
      </c>
      <c r="N12">
        <v>4625</v>
      </c>
      <c r="O12">
        <v>4833.333333333333</v>
      </c>
      <c r="P12">
        <v>229.90940244655792</v>
      </c>
      <c r="Q12">
        <v>0</v>
      </c>
      <c r="R12">
        <v>0</v>
      </c>
      <c r="S12">
        <v>0</v>
      </c>
      <c r="T12">
        <v>0</v>
      </c>
      <c r="U12">
        <v>0</v>
      </c>
      <c r="V12">
        <v>5080</v>
      </c>
      <c r="W12">
        <v>4795</v>
      </c>
      <c r="X12">
        <v>4625</v>
      </c>
      <c r="Y12">
        <v>4833.333333333333</v>
      </c>
      <c r="Z12">
        <v>229.90940244655792</v>
      </c>
    </row>
    <row r="13" spans="1:26" x14ac:dyDescent="0.2">
      <c r="A13">
        <v>45</v>
      </c>
      <c r="L13">
        <v>4480</v>
      </c>
      <c r="M13">
        <v>3985</v>
      </c>
      <c r="N13">
        <v>4380</v>
      </c>
      <c r="O13">
        <v>4281.666666666667</v>
      </c>
      <c r="P13">
        <v>261.74096609689002</v>
      </c>
      <c r="Q13">
        <v>0</v>
      </c>
      <c r="R13">
        <v>0</v>
      </c>
      <c r="S13">
        <v>0</v>
      </c>
      <c r="T13">
        <v>0</v>
      </c>
      <c r="U13">
        <v>0</v>
      </c>
      <c r="V13">
        <v>4480</v>
      </c>
      <c r="W13">
        <v>3985</v>
      </c>
      <c r="X13">
        <v>4380</v>
      </c>
      <c r="Y13">
        <v>4281.666666666667</v>
      </c>
      <c r="Z13">
        <v>261.74096609689002</v>
      </c>
    </row>
    <row r="14" spans="1:26" x14ac:dyDescent="0.2">
      <c r="A14">
        <v>68</v>
      </c>
      <c r="L14">
        <v>4435</v>
      </c>
      <c r="M14">
        <v>4235</v>
      </c>
      <c r="N14">
        <v>4140</v>
      </c>
      <c r="O14">
        <v>4270</v>
      </c>
      <c r="P14">
        <v>150.58220346375597</v>
      </c>
      <c r="Q14">
        <v>46</v>
      </c>
      <c r="R14">
        <v>49</v>
      </c>
      <c r="S14">
        <v>16</v>
      </c>
      <c r="T14">
        <v>37</v>
      </c>
      <c r="U14">
        <v>18.248287590894659</v>
      </c>
      <c r="V14">
        <v>4389</v>
      </c>
      <c r="W14">
        <v>4186</v>
      </c>
      <c r="X14">
        <v>4124</v>
      </c>
      <c r="Y14">
        <v>4233</v>
      </c>
      <c r="Z14">
        <v>138.61096637712328</v>
      </c>
    </row>
    <row r="18" spans="2:8" x14ac:dyDescent="0.2">
      <c r="B18" t="s">
        <v>102</v>
      </c>
      <c r="C18" t="s">
        <v>42</v>
      </c>
    </row>
    <row r="19" spans="2:8" x14ac:dyDescent="0.2">
      <c r="E19" t="s">
        <v>63</v>
      </c>
      <c r="G19" t="s">
        <v>65</v>
      </c>
    </row>
    <row r="20" spans="2:8" x14ac:dyDescent="0.2">
      <c r="C20" t="s">
        <v>51</v>
      </c>
      <c r="D20" t="s">
        <v>54</v>
      </c>
      <c r="E20" t="s">
        <v>103</v>
      </c>
      <c r="F20" t="s">
        <v>104</v>
      </c>
      <c r="G20" t="s">
        <v>105</v>
      </c>
      <c r="H20" t="s">
        <v>106</v>
      </c>
    </row>
    <row r="21" spans="2:8" x14ac:dyDescent="0.2">
      <c r="B21" t="s">
        <v>97</v>
      </c>
      <c r="C21">
        <v>3.7531839537169012E-3</v>
      </c>
      <c r="D21">
        <v>5889.5552746251751</v>
      </c>
      <c r="E21">
        <v>-2.2776096380187293E-3</v>
      </c>
      <c r="F21">
        <v>9.7839775454525296E-3</v>
      </c>
      <c r="G21">
        <v>5431.1582330976207</v>
      </c>
      <c r="H21">
        <v>6347.9523161527295</v>
      </c>
    </row>
    <row r="22" spans="2:8" x14ac:dyDescent="0.2">
      <c r="B22" t="s">
        <v>98</v>
      </c>
      <c r="C22">
        <v>7.2045327043942457E-3</v>
      </c>
      <c r="D22">
        <v>6227.2591083880416</v>
      </c>
      <c r="E22">
        <v>2.1682331883782404E-3</v>
      </c>
      <c r="F22">
        <v>1.2240832220410251E-2</v>
      </c>
      <c r="G22">
        <v>5857.9639427194816</v>
      </c>
      <c r="H22">
        <v>6596.5542740566016</v>
      </c>
    </row>
    <row r="23" spans="2:8" x14ac:dyDescent="0.2">
      <c r="B23" t="s">
        <v>99</v>
      </c>
      <c r="C23">
        <v>1.6357961325866706E-2</v>
      </c>
      <c r="D23">
        <v>6444.7645244763535</v>
      </c>
      <c r="E23">
        <v>1.9575887247744225E-3</v>
      </c>
      <c r="F23">
        <v>3.0758333926958988E-2</v>
      </c>
      <c r="G23">
        <v>5471.9389331194952</v>
      </c>
      <c r="H23">
        <v>7417.5901158332117</v>
      </c>
    </row>
    <row r="24" spans="2:8" x14ac:dyDescent="0.2">
      <c r="B24" t="s">
        <v>100</v>
      </c>
      <c r="C24">
        <v>6.9399882428662516E-3</v>
      </c>
      <c r="D24">
        <v>6143.8081250075102</v>
      </c>
      <c r="E24">
        <v>3.4965949762077509E-3</v>
      </c>
      <c r="F24">
        <v>1.0383381509524753E-2</v>
      </c>
      <c r="G24">
        <v>5890.2365942095639</v>
      </c>
      <c r="H24">
        <v>6397.3796558054564</v>
      </c>
    </row>
    <row r="26" spans="2:8" x14ac:dyDescent="0.2">
      <c r="B26" t="s">
        <v>102</v>
      </c>
      <c r="C26" t="s">
        <v>2</v>
      </c>
    </row>
    <row r="27" spans="2:8" x14ac:dyDescent="0.2">
      <c r="C27" t="s">
        <v>101</v>
      </c>
      <c r="D27" t="s">
        <v>66</v>
      </c>
      <c r="E27" t="s">
        <v>108</v>
      </c>
      <c r="F27" t="s">
        <v>109</v>
      </c>
      <c r="G27" t="s">
        <v>110</v>
      </c>
      <c r="H27" t="s">
        <v>111</v>
      </c>
    </row>
    <row r="28" spans="2:8" x14ac:dyDescent="0.2">
      <c r="B28" t="s">
        <v>97</v>
      </c>
      <c r="C28">
        <v>5.8523202854705858E-3</v>
      </c>
      <c r="D28">
        <v>3857.9932128924092</v>
      </c>
      <c r="E28">
        <v>-1.8126874782258488E-2</v>
      </c>
      <c r="F28">
        <v>2.983151535319966E-2</v>
      </c>
      <c r="G28">
        <v>2791.8499220918238</v>
      </c>
      <c r="H28">
        <v>4924.1365036929947</v>
      </c>
    </row>
    <row r="29" spans="2:8" x14ac:dyDescent="0.2">
      <c r="B29" t="s">
        <v>98</v>
      </c>
      <c r="C29">
        <v>7.0753548570042339E-3</v>
      </c>
      <c r="D29">
        <v>4819.7794428994184</v>
      </c>
      <c r="E29">
        <v>-1.9668465393030139E-2</v>
      </c>
      <c r="F29">
        <v>3.3819175107038607E-2</v>
      </c>
      <c r="G29">
        <v>3361.7159551503764</v>
      </c>
      <c r="H29">
        <v>6277.8429306484604</v>
      </c>
    </row>
    <row r="30" spans="2:8" x14ac:dyDescent="0.2">
      <c r="B30" t="s">
        <v>99</v>
      </c>
      <c r="C30">
        <v>9.5358262357902752E-3</v>
      </c>
      <c r="D30">
        <v>3906.905040910101</v>
      </c>
      <c r="E30">
        <v>-2.6831570956390455E-3</v>
      </c>
      <c r="F30">
        <v>2.1754809567219598E-2</v>
      </c>
      <c r="G30">
        <v>3386.6852319661393</v>
      </c>
      <c r="H30">
        <v>4427.1248498540626</v>
      </c>
    </row>
    <row r="31" spans="2:8" x14ac:dyDescent="0.2">
      <c r="B31" t="s">
        <v>100</v>
      </c>
      <c r="C31">
        <v>7.619340750818852E-3</v>
      </c>
      <c r="D31">
        <v>3999.0902381067408</v>
      </c>
      <c r="E31">
        <v>-4.7415470459214043E-3</v>
      </c>
      <c r="F31">
        <v>1.9980228547559108E-2</v>
      </c>
      <c r="G31">
        <v>3444.5361272333344</v>
      </c>
      <c r="H31">
        <v>4553.6443489801468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5860-784D-4B9A-BAD6-0910E90C4470}">
  <dimension ref="A2:BA76"/>
  <sheetViews>
    <sheetView workbookViewId="0">
      <selection activeCell="AA16" sqref="AA16"/>
    </sheetView>
  </sheetViews>
  <sheetFormatPr defaultRowHeight="14.25" x14ac:dyDescent="0.2"/>
  <cols>
    <col min="41" max="41" width="10.875" bestFit="1" customWidth="1"/>
  </cols>
  <sheetData>
    <row r="2" spans="1:44" x14ac:dyDescent="0.2">
      <c r="A2" t="s">
        <v>79</v>
      </c>
      <c r="B2">
        <v>5</v>
      </c>
      <c r="Z2" t="s">
        <v>79</v>
      </c>
      <c r="AA2">
        <v>7.0100415104605587E-2</v>
      </c>
    </row>
    <row r="3" spans="1:44" x14ac:dyDescent="0.2">
      <c r="A3" t="s">
        <v>80</v>
      </c>
      <c r="B3">
        <v>500</v>
      </c>
      <c r="Z3" t="s">
        <v>80</v>
      </c>
      <c r="AA3">
        <v>3903.7190369662871</v>
      </c>
    </row>
    <row r="4" spans="1:44" x14ac:dyDescent="0.2">
      <c r="A4" t="s">
        <v>81</v>
      </c>
      <c r="B4">
        <v>0.1</v>
      </c>
      <c r="U4" t="s">
        <v>79</v>
      </c>
      <c r="V4">
        <v>1063.4905387149099</v>
      </c>
      <c r="Z4" t="s">
        <v>81</v>
      </c>
      <c r="AA4">
        <v>0.1</v>
      </c>
    </row>
    <row r="5" spans="1:44" x14ac:dyDescent="0.2">
      <c r="A5" t="s">
        <v>82</v>
      </c>
      <c r="B5">
        <f>0.008*24</f>
        <v>0.192</v>
      </c>
      <c r="F5" t="s">
        <v>7</v>
      </c>
      <c r="G5" t="s">
        <v>83</v>
      </c>
      <c r="H5" t="s">
        <v>84</v>
      </c>
      <c r="I5" t="s">
        <v>85</v>
      </c>
      <c r="N5" t="s">
        <v>86</v>
      </c>
      <c r="O5" t="s">
        <v>87</v>
      </c>
      <c r="P5" t="s">
        <v>88</v>
      </c>
      <c r="S5" t="s">
        <v>89</v>
      </c>
      <c r="U5" t="s">
        <v>80</v>
      </c>
      <c r="V5">
        <v>148825.6426387004</v>
      </c>
      <c r="Z5" t="s">
        <v>82</v>
      </c>
      <c r="AA5">
        <f>0.008*24</f>
        <v>0.192</v>
      </c>
      <c r="AE5" t="s">
        <v>7</v>
      </c>
      <c r="AF5" t="s">
        <v>83</v>
      </c>
      <c r="AG5" t="s">
        <v>95</v>
      </c>
      <c r="AH5" t="s">
        <v>85</v>
      </c>
      <c r="AM5" t="s">
        <v>86</v>
      </c>
      <c r="AN5" t="s">
        <v>87</v>
      </c>
      <c r="AO5" t="s">
        <v>88</v>
      </c>
      <c r="AR5" t="s">
        <v>89</v>
      </c>
    </row>
    <row r="6" spans="1:44" x14ac:dyDescent="0.2">
      <c r="A6" t="s">
        <v>90</v>
      </c>
      <c r="B6">
        <v>7555.5555555555593</v>
      </c>
      <c r="F6">
        <v>0</v>
      </c>
      <c r="G6">
        <v>6097.666666666667</v>
      </c>
      <c r="H6">
        <f>$N$6</f>
        <v>6168.9564393728324</v>
      </c>
      <c r="I6">
        <v>6094.9296009242853</v>
      </c>
      <c r="M6">
        <v>0</v>
      </c>
      <c r="N6">
        <f>B7</f>
        <v>6168.9564393728324</v>
      </c>
      <c r="O6">
        <f>B6</f>
        <v>7555.5555555555593</v>
      </c>
      <c r="R6">
        <f>G6</f>
        <v>6097.666666666667</v>
      </c>
      <c r="S6">
        <f t="shared" ref="S6:S37" si="0">((R6-N6)^2)^0.5</f>
        <v>71.289772706165422</v>
      </c>
      <c r="U6" t="s">
        <v>81</v>
      </c>
      <c r="V6">
        <v>0.1</v>
      </c>
      <c r="Z6" t="s">
        <v>90</v>
      </c>
      <c r="AA6">
        <v>7555.5555555555593</v>
      </c>
      <c r="AE6">
        <v>0</v>
      </c>
      <c r="AF6">
        <v>6097.666666666667</v>
      </c>
      <c r="AG6">
        <f>$AM$6</f>
        <v>6618.160261204067</v>
      </c>
      <c r="AH6">
        <v>6094.9296009242853</v>
      </c>
      <c r="AL6">
        <v>0</v>
      </c>
      <c r="AM6">
        <f>AA7</f>
        <v>6618.160261204067</v>
      </c>
      <c r="AN6">
        <f>AA6</f>
        <v>7555.5555555555593</v>
      </c>
      <c r="AQ6">
        <f>AF6</f>
        <v>6097.666666666667</v>
      </c>
      <c r="AR6">
        <f t="shared" ref="AR6" si="1">((AQ6-AM6)^2)^0.5</f>
        <v>520.49359453739999</v>
      </c>
    </row>
    <row r="7" spans="1:44" x14ac:dyDescent="0.2">
      <c r="A7" t="s">
        <v>91</v>
      </c>
      <c r="B7">
        <v>6168.9564393728324</v>
      </c>
      <c r="F7">
        <v>2</v>
      </c>
      <c r="G7">
        <v>6018.333333333333</v>
      </c>
      <c r="H7">
        <f>$N$8</f>
        <v>6046.4158486540473</v>
      </c>
      <c r="I7">
        <v>6017.7591278596201</v>
      </c>
      <c r="M7">
        <v>1</v>
      </c>
      <c r="N7">
        <f>B7-B2*B6*(B7/(B3*B6+B7))</f>
        <v>6107.367447281581</v>
      </c>
      <c r="O7">
        <f>B6+$B$4*(N7-N6)-$B$5*O6</f>
        <v>6098.7299896797667</v>
      </c>
      <c r="P7">
        <f t="shared" ref="P7:P32" si="2">N7-$B$2*O7*(N7/($B$3*O7+N7))</f>
        <v>6046.4158486540473</v>
      </c>
      <c r="U7" t="s">
        <v>82</v>
      </c>
      <c r="V7">
        <v>0.192</v>
      </c>
      <c r="Z7" t="s">
        <v>91</v>
      </c>
      <c r="AA7">
        <v>6618.160261204067</v>
      </c>
      <c r="AE7">
        <v>2</v>
      </c>
      <c r="AF7">
        <v>6018.333333333333</v>
      </c>
      <c r="AG7">
        <f>$AM$8</f>
        <v>6022.46944755411</v>
      </c>
      <c r="AH7">
        <v>6017.7591278596201</v>
      </c>
      <c r="AL7">
        <v>1</v>
      </c>
      <c r="AM7">
        <f>AA7-AA2*AA6*(AA7/(AA3+AA7))</f>
        <v>6285.0170581415568</v>
      </c>
      <c r="AN7">
        <f>AA6+$B$4*(AM7-AM6)-$B$5*AN6</f>
        <v>6071.5745685826405</v>
      </c>
      <c r="AO7">
        <f>AM7-$AA$2*AN7*(AM7/($AA$3+AM7))</f>
        <v>6022.46944755411</v>
      </c>
    </row>
    <row r="8" spans="1:44" x14ac:dyDescent="0.2">
      <c r="A8" t="s">
        <v>92</v>
      </c>
      <c r="B8">
        <f>$S$76</f>
        <v>2454.3308833619576</v>
      </c>
      <c r="F8">
        <v>4</v>
      </c>
      <c r="G8">
        <v>5979</v>
      </c>
      <c r="H8">
        <f>$N$10</f>
        <v>5926.4188380222786</v>
      </c>
      <c r="I8">
        <v>5941.5657426865228</v>
      </c>
      <c r="M8">
        <v>2</v>
      </c>
      <c r="N8">
        <f>P7</f>
        <v>6046.4158486540473</v>
      </c>
      <c r="O8">
        <f>O7+$B$4*(N8-N7)-$B$5*O7</f>
        <v>4921.6786717984978</v>
      </c>
      <c r="P8">
        <f t="shared" si="2"/>
        <v>5986.0998897531135</v>
      </c>
      <c r="R8">
        <v>6018.333333333333</v>
      </c>
      <c r="S8">
        <f t="shared" si="0"/>
        <v>28.082515320714265</v>
      </c>
      <c r="U8" t="s">
        <v>90</v>
      </c>
      <c r="V8">
        <v>7555.5555555555593</v>
      </c>
      <c r="Z8" t="s">
        <v>92</v>
      </c>
      <c r="AA8">
        <f>AR76</f>
        <v>5050.3619791218962</v>
      </c>
      <c r="AE8">
        <v>4</v>
      </c>
      <c r="AF8">
        <v>5979</v>
      </c>
      <c r="AG8">
        <f>$AM$10</f>
        <v>5650.4347012743765</v>
      </c>
      <c r="AH8">
        <v>5941.5657426865228</v>
      </c>
      <c r="AL8">
        <v>2</v>
      </c>
      <c r="AM8">
        <f>AO7</f>
        <v>6022.46944755411</v>
      </c>
      <c r="AN8">
        <f>AN7+$B$4*(AM8-AM7)-$B$5*AN7</f>
        <v>4879.5774903560286</v>
      </c>
      <c r="AO8">
        <f t="shared" ref="AO8:AO71" si="3">AM8-$AA$2*AN8*(AM8/($AA$3+AM8))</f>
        <v>5814.9327523507118</v>
      </c>
      <c r="AQ8">
        <v>6018.333333333333</v>
      </c>
      <c r="AR8">
        <f t="shared" ref="AR8" si="4">((AQ8-AM8)^2)^0.5</f>
        <v>4.1361142207770172</v>
      </c>
    </row>
    <row r="9" spans="1:44" x14ac:dyDescent="0.2">
      <c r="F9">
        <v>7</v>
      </c>
      <c r="G9">
        <v>5813.25</v>
      </c>
      <c r="H9">
        <f>$N$13</f>
        <v>5751.1979582179401</v>
      </c>
      <c r="I9">
        <v>5829.0806853426011</v>
      </c>
      <c r="M9">
        <v>3</v>
      </c>
      <c r="N9">
        <f>P8</f>
        <v>5986.0998897531135</v>
      </c>
      <c r="O9">
        <f>O8+$B$4*(N9-N8)-$B$5*O8</f>
        <v>3970.6847709230924</v>
      </c>
      <c r="P9">
        <f t="shared" si="2"/>
        <v>5926.4188380222786</v>
      </c>
      <c r="U9" t="s">
        <v>91</v>
      </c>
      <c r="V9">
        <v>6132.0559086999565</v>
      </c>
      <c r="AE9">
        <v>7</v>
      </c>
      <c r="AF9">
        <v>5813.25</v>
      </c>
      <c r="AG9">
        <f>$AM$13</f>
        <v>5332.6967445929959</v>
      </c>
      <c r="AH9">
        <v>5829.0806853426011</v>
      </c>
      <c r="AL9">
        <v>3</v>
      </c>
      <c r="AM9">
        <f t="shared" ref="AM9:AM72" si="5">AO8</f>
        <v>5814.9327523507118</v>
      </c>
      <c r="AN9">
        <f t="shared" ref="AN9:AN72" si="6">AN8+$B$4*(AM9-AM8)-$B$5*AN8</f>
        <v>3921.9449426873311</v>
      </c>
      <c r="AO9">
        <f t="shared" si="3"/>
        <v>5650.4347012743765</v>
      </c>
    </row>
    <row r="10" spans="1:44" x14ac:dyDescent="0.2">
      <c r="A10" t="s">
        <v>93</v>
      </c>
      <c r="B10">
        <f>B8/(COUNT(F6:F15))</f>
        <v>245.43308833619577</v>
      </c>
      <c r="F10">
        <v>9</v>
      </c>
      <c r="G10">
        <v>6224.666666666667</v>
      </c>
      <c r="H10">
        <f>$N$15</f>
        <v>5637.6146046783433</v>
      </c>
      <c r="I10">
        <v>5755.2762374697704</v>
      </c>
      <c r="M10">
        <v>4</v>
      </c>
      <c r="N10">
        <f t="shared" ref="N10:N32" si="7">P9</f>
        <v>5926.4188380222786</v>
      </c>
      <c r="O10">
        <f t="shared" ref="O10:O73" si="8">O9+$B$4*(N10-N9)-$B$5*O9</f>
        <v>3202.345189732775</v>
      </c>
      <c r="P10">
        <f t="shared" si="2"/>
        <v>5867.3731952322414</v>
      </c>
      <c r="R10">
        <v>5979</v>
      </c>
      <c r="S10">
        <f t="shared" si="0"/>
        <v>52.581161977721422</v>
      </c>
      <c r="U10" t="s">
        <v>92</v>
      </c>
      <c r="V10">
        <v>1512.3730335721702</v>
      </c>
      <c r="Z10" t="s">
        <v>93</v>
      </c>
      <c r="AA10">
        <f>AA8/(COUNT(AE6:AE15))</f>
        <v>505.03619791218961</v>
      </c>
      <c r="AE10">
        <v>9</v>
      </c>
      <c r="AF10">
        <v>6224.666666666667</v>
      </c>
      <c r="AG10">
        <f>$AM$15</f>
        <v>5213.4054768876613</v>
      </c>
      <c r="AH10">
        <v>5755.2762374697704</v>
      </c>
      <c r="AL10">
        <v>4</v>
      </c>
      <c r="AM10">
        <f t="shared" si="5"/>
        <v>5650.4347012743765</v>
      </c>
      <c r="AN10">
        <f t="shared" si="6"/>
        <v>3152.4817085837303</v>
      </c>
      <c r="AO10">
        <f t="shared" si="3"/>
        <v>5519.7385495773669</v>
      </c>
      <c r="AQ10">
        <v>5979</v>
      </c>
      <c r="AR10">
        <f>((AQ10-AM10)^2)^0.5</f>
        <v>328.56529872562351</v>
      </c>
    </row>
    <row r="11" spans="1:44" x14ac:dyDescent="0.2">
      <c r="F11">
        <v>11</v>
      </c>
      <c r="G11">
        <v>5538.166666666667</v>
      </c>
      <c r="H11">
        <f>$N$17</f>
        <v>5526.7084586384808</v>
      </c>
      <c r="I11">
        <v>5682.406258824567</v>
      </c>
      <c r="M11">
        <v>5</v>
      </c>
      <c r="N11">
        <f t="shared" si="7"/>
        <v>5867.3731952322414</v>
      </c>
      <c r="O11">
        <f t="shared" si="8"/>
        <v>2581.5903490250785</v>
      </c>
      <c r="P11">
        <f t="shared" si="2"/>
        <v>5808.9649607933079</v>
      </c>
      <c r="AE11">
        <v>11</v>
      </c>
      <c r="AF11">
        <v>5538.166666666667</v>
      </c>
      <c r="AG11">
        <f>$AM$17</f>
        <v>5136.9765267522398</v>
      </c>
      <c r="AH11">
        <v>5682.406258824567</v>
      </c>
      <c r="AL11">
        <v>5</v>
      </c>
      <c r="AM11">
        <f>AO10</f>
        <v>5519.7385495773669</v>
      </c>
      <c r="AN11">
        <f t="shared" si="6"/>
        <v>2534.1356053659529</v>
      </c>
      <c r="AO11">
        <f t="shared" si="3"/>
        <v>5415.6845764644613</v>
      </c>
    </row>
    <row r="12" spans="1:44" x14ac:dyDescent="0.2">
      <c r="A12" t="s">
        <v>94</v>
      </c>
      <c r="F12">
        <v>15</v>
      </c>
      <c r="G12">
        <v>5569.333333333333</v>
      </c>
      <c r="H12">
        <f>$N$21</f>
        <v>5313.6533583433693</v>
      </c>
      <c r="I12">
        <v>5539.4225321879885</v>
      </c>
      <c r="M12">
        <v>6</v>
      </c>
      <c r="N12">
        <f t="shared" si="7"/>
        <v>5808.9649607933079</v>
      </c>
      <c r="O12">
        <f t="shared" si="8"/>
        <v>2080.0841785683701</v>
      </c>
      <c r="P12">
        <f t="shared" si="2"/>
        <v>5751.1979582179401</v>
      </c>
      <c r="U12" t="s">
        <v>93</v>
      </c>
      <c r="V12">
        <v>151.23730335721703</v>
      </c>
      <c r="Z12" t="s">
        <v>94</v>
      </c>
      <c r="AE12">
        <v>15</v>
      </c>
      <c r="AF12">
        <v>5569.333333333333</v>
      </c>
      <c r="AG12">
        <f>$AM$21</f>
        <v>5056.2247460676454</v>
      </c>
      <c r="AH12">
        <v>5539.4225321879885</v>
      </c>
      <c r="AL12">
        <v>6</v>
      </c>
      <c r="AM12">
        <f t="shared" si="5"/>
        <v>5415.6845764644613</v>
      </c>
      <c r="AN12">
        <f t="shared" si="6"/>
        <v>2037.1761718243995</v>
      </c>
      <c r="AO12">
        <f t="shared" si="3"/>
        <v>5332.6967445929959</v>
      </c>
    </row>
    <row r="13" spans="1:44" x14ac:dyDescent="0.2">
      <c r="B13">
        <f>B8+B10*2</f>
        <v>2945.1970600343493</v>
      </c>
      <c r="F13">
        <v>29</v>
      </c>
      <c r="G13">
        <v>5001.333333333333</v>
      </c>
      <c r="H13">
        <f>$N$35</f>
        <v>4791.1165057793105</v>
      </c>
      <c r="I13">
        <v>5066.7239050604385</v>
      </c>
      <c r="M13">
        <v>7</v>
      </c>
      <c r="N13">
        <f t="shared" si="7"/>
        <v>5751.1979582179401</v>
      </c>
      <c r="O13">
        <f t="shared" si="8"/>
        <v>1674.9313160257061</v>
      </c>
      <c r="P13">
        <f t="shared" si="2"/>
        <v>5694.0782416428438</v>
      </c>
      <c r="R13">
        <v>5813.25</v>
      </c>
      <c r="S13">
        <f t="shared" si="0"/>
        <v>62.05204178205986</v>
      </c>
      <c r="AA13">
        <f>AA8+AA10*2</f>
        <v>6060.4343749462751</v>
      </c>
      <c r="AE13">
        <v>29</v>
      </c>
      <c r="AF13">
        <v>5001.333333333333</v>
      </c>
      <c r="AG13">
        <f>$AM$35</f>
        <v>5001.3333319285539</v>
      </c>
      <c r="AH13">
        <v>5066.7239050604385</v>
      </c>
      <c r="AL13">
        <v>7</v>
      </c>
      <c r="AM13">
        <f t="shared" si="5"/>
        <v>5332.6967445929959</v>
      </c>
      <c r="AN13">
        <f t="shared" si="6"/>
        <v>1637.7395636469682</v>
      </c>
      <c r="AO13">
        <f t="shared" si="3"/>
        <v>5266.4127240988819</v>
      </c>
      <c r="AQ13">
        <v>5813.25</v>
      </c>
      <c r="AR13">
        <f t="shared" ref="AR13" si="9">((AQ13-AM13)^2)^0.5</f>
        <v>480.55325540700414</v>
      </c>
    </row>
    <row r="14" spans="1:44" x14ac:dyDescent="0.2">
      <c r="F14">
        <v>31</v>
      </c>
      <c r="G14">
        <v>4858</v>
      </c>
      <c r="H14">
        <f>$N$37</f>
        <v>4785.4498991773171</v>
      </c>
      <c r="I14">
        <v>5002.5719777629893</v>
      </c>
      <c r="M14">
        <v>8</v>
      </c>
      <c r="N14">
        <f t="shared" si="7"/>
        <v>5694.0782416428438</v>
      </c>
      <c r="O14">
        <f t="shared" si="8"/>
        <v>1347.632531691261</v>
      </c>
      <c r="P14">
        <f t="shared" si="2"/>
        <v>5637.6146046783433</v>
      </c>
      <c r="U14" t="s">
        <v>94</v>
      </c>
      <c r="AE14">
        <v>31</v>
      </c>
      <c r="AF14">
        <v>4858</v>
      </c>
      <c r="AG14">
        <f>$AM$37</f>
        <v>5000.3744989029701</v>
      </c>
      <c r="AH14">
        <v>5002.5719777629893</v>
      </c>
      <c r="AL14">
        <v>8</v>
      </c>
      <c r="AM14">
        <f t="shared" si="5"/>
        <v>5266.4127240988819</v>
      </c>
      <c r="AN14">
        <f t="shared" si="6"/>
        <v>1316.665165377339</v>
      </c>
      <c r="AO14">
        <f t="shared" si="3"/>
        <v>5213.4054768876613</v>
      </c>
    </row>
    <row r="15" spans="1:44" x14ac:dyDescent="0.2">
      <c r="F15">
        <v>35</v>
      </c>
      <c r="G15">
        <v>4833.333333333333</v>
      </c>
      <c r="H15">
        <f>$N$41</f>
        <v>4784.7152624212586</v>
      </c>
      <c r="I15">
        <v>4876.6946026567202</v>
      </c>
      <c r="M15">
        <v>9</v>
      </c>
      <c r="N15">
        <f t="shared" si="7"/>
        <v>5637.6146046783433</v>
      </c>
      <c r="O15">
        <f t="shared" si="8"/>
        <v>1083.240721910089</v>
      </c>
      <c r="P15">
        <f t="shared" si="2"/>
        <v>5581.8192212672875</v>
      </c>
      <c r="R15">
        <v>6224.666666666667</v>
      </c>
      <c r="S15">
        <f t="shared" si="0"/>
        <v>587.05206198832366</v>
      </c>
      <c r="V15">
        <v>1814.8476402866042</v>
      </c>
      <c r="AE15">
        <v>35</v>
      </c>
      <c r="AF15">
        <v>4833.333333333333</v>
      </c>
      <c r="AG15">
        <f>$AM$41</f>
        <v>4999.3539167578083</v>
      </c>
      <c r="AH15">
        <v>4876.6946026567202</v>
      </c>
      <c r="AL15">
        <v>9</v>
      </c>
      <c r="AM15">
        <f t="shared" si="5"/>
        <v>5213.4054768876613</v>
      </c>
      <c r="AN15">
        <f t="shared" si="6"/>
        <v>1058.5647289037677</v>
      </c>
      <c r="AO15">
        <f t="shared" si="3"/>
        <v>5170.9726830996397</v>
      </c>
      <c r="AQ15">
        <v>6224.666666666667</v>
      </c>
      <c r="AR15">
        <f t="shared" ref="AR15" si="10">((AQ15-AM15)^2)^0.5</f>
        <v>1011.2611897790057</v>
      </c>
    </row>
    <row r="16" spans="1:44" x14ac:dyDescent="0.2">
      <c r="F16">
        <v>45</v>
      </c>
      <c r="G16">
        <v>4281.666666666667</v>
      </c>
      <c r="H16">
        <f>$N$51</f>
        <v>4784.7084069996954</v>
      </c>
      <c r="I16">
        <v>4575.6847178988646</v>
      </c>
      <c r="M16">
        <v>10</v>
      </c>
      <c r="N16">
        <f t="shared" si="7"/>
        <v>5581.8192212672875</v>
      </c>
      <c r="O16">
        <f t="shared" si="8"/>
        <v>869.67896496224637</v>
      </c>
      <c r="P16">
        <f t="shared" si="2"/>
        <v>5526.7084586384808</v>
      </c>
      <c r="AE16">
        <v>45</v>
      </c>
      <c r="AF16">
        <v>4281.666666666667</v>
      </c>
      <c r="AG16">
        <f>$AM$51</f>
        <v>4998.7038070858653</v>
      </c>
      <c r="AH16">
        <v>4575.6847178988646</v>
      </c>
      <c r="AL16">
        <v>10</v>
      </c>
      <c r="AM16">
        <f t="shared" si="5"/>
        <v>5170.9726830996397</v>
      </c>
      <c r="AN16">
        <f t="shared" si="6"/>
        <v>851.07702157544225</v>
      </c>
      <c r="AO16">
        <f t="shared" si="3"/>
        <v>5136.9765267522398</v>
      </c>
    </row>
    <row r="17" spans="6:53" x14ac:dyDescent="0.2">
      <c r="F17">
        <v>68</v>
      </c>
      <c r="G17">
        <v>4233</v>
      </c>
      <c r="H17">
        <f>$N$74</f>
        <v>4784.7084069470147</v>
      </c>
      <c r="I17">
        <v>3951.9943790172874</v>
      </c>
      <c r="M17">
        <v>11</v>
      </c>
      <c r="N17">
        <f t="shared" si="7"/>
        <v>5526.7084586384808</v>
      </c>
      <c r="O17">
        <f t="shared" si="8"/>
        <v>697.1895274266144</v>
      </c>
      <c r="P17">
        <f t="shared" si="2"/>
        <v>5472.3039172410035</v>
      </c>
      <c r="R17">
        <v>5538.166666666667</v>
      </c>
      <c r="S17">
        <f t="shared" si="0"/>
        <v>11.458208028186164</v>
      </c>
      <c r="AE17">
        <v>68</v>
      </c>
      <c r="AF17">
        <v>4233</v>
      </c>
      <c r="AG17">
        <f>$AM$74</f>
        <v>4998.6215751205482</v>
      </c>
      <c r="AH17">
        <v>3951.9943790172874</v>
      </c>
      <c r="AL17">
        <v>11</v>
      </c>
      <c r="AM17">
        <f t="shared" si="5"/>
        <v>5136.9765267522398</v>
      </c>
      <c r="AN17">
        <f t="shared" si="6"/>
        <v>684.27061779821724</v>
      </c>
      <c r="AO17">
        <f t="shared" si="3"/>
        <v>5109.7210227138012</v>
      </c>
      <c r="AQ17">
        <v>5538.166666666667</v>
      </c>
      <c r="AR17">
        <f t="shared" ref="AR17" si="11">((AQ17-AM17)^2)^0.5</f>
        <v>401.19013991442716</v>
      </c>
    </row>
    <row r="18" spans="6:53" x14ac:dyDescent="0.2">
      <c r="M18">
        <v>12</v>
      </c>
      <c r="N18">
        <f t="shared" si="7"/>
        <v>5472.3039172410035</v>
      </c>
      <c r="O18">
        <f t="shared" si="8"/>
        <v>557.8886840209567</v>
      </c>
      <c r="P18">
        <f t="shared" si="2"/>
        <v>5418.6337739026249</v>
      </c>
      <c r="AL18">
        <v>12</v>
      </c>
      <c r="AM18">
        <f t="shared" si="5"/>
        <v>5109.7210227138012</v>
      </c>
      <c r="AN18">
        <f t="shared" si="6"/>
        <v>550.16510877711562</v>
      </c>
      <c r="AO18">
        <f t="shared" si="3"/>
        <v>5087.8574944476604</v>
      </c>
    </row>
    <row r="19" spans="6:53" x14ac:dyDescent="0.2">
      <c r="M19">
        <v>13</v>
      </c>
      <c r="N19">
        <f t="shared" si="7"/>
        <v>5418.6337739026249</v>
      </c>
      <c r="O19">
        <f t="shared" si="8"/>
        <v>445.40704235509509</v>
      </c>
      <c r="P19">
        <f t="shared" si="2"/>
        <v>5365.7345356994556</v>
      </c>
      <c r="AL19">
        <v>13</v>
      </c>
      <c r="AM19">
        <f t="shared" si="5"/>
        <v>5087.8574944476604</v>
      </c>
      <c r="AN19">
        <f t="shared" si="6"/>
        <v>442.34705506529531</v>
      </c>
      <c r="AO19">
        <f t="shared" si="3"/>
        <v>5070.3113046211147</v>
      </c>
    </row>
    <row r="20" spans="6:53" x14ac:dyDescent="0.2">
      <c r="M20">
        <v>14</v>
      </c>
      <c r="N20">
        <f t="shared" si="7"/>
        <v>5365.7345356994556</v>
      </c>
      <c r="O20">
        <f t="shared" si="8"/>
        <v>354.5989664025999</v>
      </c>
      <c r="P20">
        <f t="shared" si="2"/>
        <v>5313.6533583433693</v>
      </c>
      <c r="AL20">
        <v>14</v>
      </c>
      <c r="AM20">
        <f t="shared" si="5"/>
        <v>5070.3113046211147</v>
      </c>
      <c r="AN20">
        <f t="shared" si="6"/>
        <v>355.66180151010406</v>
      </c>
      <c r="AO20">
        <f t="shared" si="3"/>
        <v>5056.2247460676454</v>
      </c>
    </row>
    <row r="21" spans="6:53" x14ac:dyDescent="0.2">
      <c r="M21">
        <v>15</v>
      </c>
      <c r="N21">
        <f t="shared" si="7"/>
        <v>5313.6533583433693</v>
      </c>
      <c r="O21">
        <f t="shared" si="8"/>
        <v>281.30784711769206</v>
      </c>
      <c r="P21">
        <f t="shared" si="2"/>
        <v>5262.4511524105656</v>
      </c>
      <c r="R21">
        <v>5569.333333333333</v>
      </c>
      <c r="S21">
        <f t="shared" si="0"/>
        <v>255.67997498996374</v>
      </c>
      <c r="AL21">
        <v>15</v>
      </c>
      <c r="AM21">
        <f t="shared" si="5"/>
        <v>5056.2247460676454</v>
      </c>
      <c r="AN21">
        <f t="shared" si="6"/>
        <v>285.96607976481715</v>
      </c>
      <c r="AO21">
        <f t="shared" si="3"/>
        <v>5044.9123084711928</v>
      </c>
      <c r="AQ21">
        <v>5569.333333333333</v>
      </c>
      <c r="AR21">
        <f t="shared" ref="AR21" si="12">((AQ21-AM21)^2)^0.5</f>
        <v>513.10858726568767</v>
      </c>
    </row>
    <row r="22" spans="6:53" x14ac:dyDescent="0.2">
      <c r="M22">
        <v>16</v>
      </c>
      <c r="N22">
        <f t="shared" si="7"/>
        <v>5262.4511524105656</v>
      </c>
      <c r="O22">
        <f t="shared" si="8"/>
        <v>222.17651987781483</v>
      </c>
      <c r="P22">
        <f t="shared" si="2"/>
        <v>5212.2068061533291</v>
      </c>
      <c r="AL22">
        <v>16</v>
      </c>
      <c r="AM22">
        <f t="shared" si="5"/>
        <v>5044.9123084711928</v>
      </c>
      <c r="AN22">
        <f t="shared" si="6"/>
        <v>229.929348690327</v>
      </c>
      <c r="AO22">
        <f t="shared" si="3"/>
        <v>5035.8254868331605</v>
      </c>
      <c r="AU22" t="s">
        <v>7</v>
      </c>
      <c r="AV22" t="s">
        <v>83</v>
      </c>
      <c r="AW22" t="s">
        <v>85</v>
      </c>
      <c r="AX22" t="s">
        <v>84</v>
      </c>
      <c r="AY22" t="s">
        <v>84</v>
      </c>
      <c r="BA22" t="s">
        <v>107</v>
      </c>
    </row>
    <row r="23" spans="6:53" x14ac:dyDescent="0.2">
      <c r="M23">
        <v>17</v>
      </c>
      <c r="N23">
        <f t="shared" si="7"/>
        <v>5212.2068061533291</v>
      </c>
      <c r="O23">
        <f t="shared" si="8"/>
        <v>174.49419343555073</v>
      </c>
      <c r="P23">
        <f t="shared" si="2"/>
        <v>5163.0230145826072</v>
      </c>
      <c r="AL23">
        <v>17</v>
      </c>
      <c r="AM23">
        <f t="shared" si="5"/>
        <v>5035.8254868331605</v>
      </c>
      <c r="AN23">
        <f t="shared" si="6"/>
        <v>184.87423157798099</v>
      </c>
      <c r="AO23">
        <f t="shared" si="3"/>
        <v>5028.5249927834066</v>
      </c>
      <c r="AU23">
        <v>0</v>
      </c>
      <c r="AV23">
        <v>6097.666666666667</v>
      </c>
      <c r="AW23">
        <v>6094.9296009242853</v>
      </c>
      <c r="AX23">
        <v>6168.9564393728324</v>
      </c>
      <c r="AY23">
        <v>6618.160261204067</v>
      </c>
      <c r="BA23">
        <v>343.29190688586488</v>
      </c>
    </row>
    <row r="24" spans="6:53" x14ac:dyDescent="0.2">
      <c r="M24">
        <v>18</v>
      </c>
      <c r="N24">
        <f t="shared" si="7"/>
        <v>5163.0230145826072</v>
      </c>
      <c r="O24">
        <f t="shared" si="8"/>
        <v>136.0729291388528</v>
      </c>
      <c r="P24">
        <f t="shared" si="2"/>
        <v>5115.0344501818472</v>
      </c>
      <c r="AL24">
        <v>18</v>
      </c>
      <c r="AM24">
        <f t="shared" si="5"/>
        <v>5028.5249927834066</v>
      </c>
      <c r="AN24">
        <f t="shared" si="6"/>
        <v>148.64832971003324</v>
      </c>
      <c r="AO24">
        <f t="shared" si="3"/>
        <v>5022.6587415739104</v>
      </c>
      <c r="AU24">
        <v>2</v>
      </c>
      <c r="AV24">
        <v>6018.333333333333</v>
      </c>
      <c r="AW24">
        <v>6017.7591278596201</v>
      </c>
      <c r="AX24">
        <v>6071.6416156106679</v>
      </c>
      <c r="AY24">
        <v>6022.46944755411</v>
      </c>
      <c r="BA24">
        <v>458.25984259296968</v>
      </c>
    </row>
    <row r="25" spans="6:53" x14ac:dyDescent="0.2">
      <c r="M25">
        <v>19</v>
      </c>
      <c r="N25">
        <f t="shared" si="7"/>
        <v>5115.0344501818472</v>
      </c>
      <c r="O25">
        <f t="shared" si="8"/>
        <v>105.14807030411706</v>
      </c>
      <c r="P25">
        <f t="shared" si="2"/>
        <v>5068.4193803181779</v>
      </c>
      <c r="AL25">
        <v>19</v>
      </c>
      <c r="AM25">
        <f t="shared" si="5"/>
        <v>5022.6587415739104</v>
      </c>
      <c r="AN25">
        <f t="shared" si="6"/>
        <v>119.52122528475725</v>
      </c>
      <c r="AO25">
        <f t="shared" si="3"/>
        <v>5017.9443675513685</v>
      </c>
      <c r="AU25">
        <v>4</v>
      </c>
      <c r="AV25">
        <v>5979</v>
      </c>
      <c r="AW25">
        <v>5941.5657426865228</v>
      </c>
      <c r="AX25">
        <v>5975.8622558790876</v>
      </c>
      <c r="AY25">
        <v>5650.4347012743765</v>
      </c>
      <c r="BA25">
        <v>181.66727828643221</v>
      </c>
    </row>
    <row r="26" spans="6:53" x14ac:dyDescent="0.2">
      <c r="M26">
        <v>20</v>
      </c>
      <c r="N26">
        <f t="shared" si="7"/>
        <v>5068.4193803181779</v>
      </c>
      <c r="O26">
        <f t="shared" si="8"/>
        <v>80.298133819359649</v>
      </c>
      <c r="P26">
        <f t="shared" si="2"/>
        <v>5023.4163680937399</v>
      </c>
      <c r="AL26">
        <v>20</v>
      </c>
      <c r="AM26">
        <f t="shared" si="5"/>
        <v>5017.9443675513685</v>
      </c>
      <c r="AN26">
        <f t="shared" si="6"/>
        <v>96.10171262782967</v>
      </c>
      <c r="AO26">
        <f t="shared" si="3"/>
        <v>5014.1553054358556</v>
      </c>
      <c r="AU26">
        <v>7</v>
      </c>
      <c r="AV26">
        <v>5813.25</v>
      </c>
      <c r="AW26">
        <v>5829.0806853426011</v>
      </c>
      <c r="AX26">
        <v>5835.0196939419184</v>
      </c>
      <c r="AY26">
        <v>5332.6967445929959</v>
      </c>
      <c r="BA26">
        <v>21.5667568261897</v>
      </c>
    </row>
    <row r="27" spans="6:53" x14ac:dyDescent="0.2">
      <c r="M27">
        <v>21</v>
      </c>
      <c r="N27">
        <f t="shared" si="7"/>
        <v>5023.4163680937399</v>
      </c>
      <c r="O27">
        <f t="shared" si="8"/>
        <v>60.380590903598801</v>
      </c>
      <c r="P27">
        <f t="shared" si="2"/>
        <v>4980.3483651788983</v>
      </c>
      <c r="AL27">
        <v>21</v>
      </c>
      <c r="AM27">
        <f t="shared" si="5"/>
        <v>5014.1553054358556</v>
      </c>
      <c r="AN27">
        <f t="shared" si="6"/>
        <v>77.271277591735071</v>
      </c>
      <c r="AO27">
        <f t="shared" si="3"/>
        <v>5011.1096896463987</v>
      </c>
      <c r="AU27">
        <v>9</v>
      </c>
      <c r="AV27">
        <v>6224.666666666667</v>
      </c>
      <c r="AW27">
        <v>5755.2762374697704</v>
      </c>
      <c r="AX27">
        <v>5742.9747226353202</v>
      </c>
      <c r="AY27">
        <v>5213.4054768876613</v>
      </c>
      <c r="BA27">
        <v>587.41857591783162</v>
      </c>
    </row>
    <row r="28" spans="6:53" x14ac:dyDescent="0.2">
      <c r="M28">
        <v>22</v>
      </c>
      <c r="N28">
        <f t="shared" si="7"/>
        <v>4980.3483651788983</v>
      </c>
      <c r="O28">
        <f t="shared" si="8"/>
        <v>44.480717158623676</v>
      </c>
      <c r="P28">
        <f t="shared" si="2"/>
        <v>4939.6570143931367</v>
      </c>
      <c r="AL28">
        <v>22</v>
      </c>
      <c r="AM28">
        <f t="shared" si="5"/>
        <v>5011.1096896463987</v>
      </c>
      <c r="AN28">
        <f t="shared" si="6"/>
        <v>62.130630715176252</v>
      </c>
      <c r="AO28">
        <f t="shared" si="3"/>
        <v>5008.6614875954119</v>
      </c>
      <c r="AU28">
        <v>11</v>
      </c>
      <c r="AV28">
        <v>5538.166666666667</v>
      </c>
      <c r="AW28">
        <v>5682.406258824567</v>
      </c>
      <c r="AX28">
        <v>5652.383077785822</v>
      </c>
      <c r="AY28">
        <v>5136.9765267522398</v>
      </c>
      <c r="BA28">
        <v>248.88216756797448</v>
      </c>
    </row>
    <row r="29" spans="6:53" x14ac:dyDescent="0.2">
      <c r="M29">
        <v>23</v>
      </c>
      <c r="N29">
        <f t="shared" si="7"/>
        <v>4939.6570143931367</v>
      </c>
      <c r="O29">
        <f t="shared" si="8"/>
        <v>31.871284385591764</v>
      </c>
      <c r="P29">
        <f t="shared" si="2"/>
        <v>4901.9490007473278</v>
      </c>
      <c r="AL29">
        <v>23</v>
      </c>
      <c r="AM29">
        <f t="shared" si="5"/>
        <v>5008.6614875954119</v>
      </c>
      <c r="AN29">
        <f t="shared" si="6"/>
        <v>49.956729412763735</v>
      </c>
      <c r="AO29">
        <f t="shared" si="3"/>
        <v>5006.6934085038383</v>
      </c>
      <c r="AU29">
        <v>15</v>
      </c>
      <c r="AV29">
        <v>5569.333333333333</v>
      </c>
      <c r="AW29">
        <v>5539.4225321879885</v>
      </c>
      <c r="AX29">
        <v>5475.4715170674554</v>
      </c>
      <c r="AY29">
        <v>5056.2247460676454</v>
      </c>
      <c r="BA29">
        <v>569.82219448994204</v>
      </c>
    </row>
    <row r="30" spans="6:53" x14ac:dyDescent="0.2">
      <c r="M30">
        <v>24</v>
      </c>
      <c r="N30">
        <f t="shared" si="7"/>
        <v>4901.9490007473278</v>
      </c>
      <c r="O30">
        <f t="shared" si="8"/>
        <v>21.981196418977252</v>
      </c>
      <c r="P30">
        <f t="shared" si="2"/>
        <v>4868.049241823901</v>
      </c>
      <c r="AL30">
        <v>24</v>
      </c>
      <c r="AM30">
        <f t="shared" si="5"/>
        <v>5006.6934085038383</v>
      </c>
      <c r="AN30">
        <f t="shared" si="6"/>
        <v>40.168229456355739</v>
      </c>
      <c r="AO30">
        <f t="shared" si="3"/>
        <v>5005.1112263944851</v>
      </c>
      <c r="AU30">
        <v>29</v>
      </c>
      <c r="AV30">
        <v>5001.333333333333</v>
      </c>
      <c r="AW30">
        <v>5066.7239050604385</v>
      </c>
      <c r="AX30">
        <v>4898.9419567929008</v>
      </c>
      <c r="AY30">
        <v>5001.3333319285539</v>
      </c>
      <c r="BA30">
        <v>188.49226332487319</v>
      </c>
    </row>
    <row r="31" spans="6:53" x14ac:dyDescent="0.2">
      <c r="M31">
        <v>25</v>
      </c>
      <c r="N31">
        <f t="shared" si="7"/>
        <v>4868.049241823901</v>
      </c>
      <c r="O31">
        <f t="shared" si="8"/>
        <v>14.370830814190937</v>
      </c>
      <c r="P31">
        <f t="shared" si="2"/>
        <v>4839.0294064126465</v>
      </c>
      <c r="AL31">
        <v>25</v>
      </c>
      <c r="AM31">
        <f t="shared" si="5"/>
        <v>5005.1112263944851</v>
      </c>
      <c r="AN31">
        <f t="shared" si="6"/>
        <v>32.297711189800118</v>
      </c>
      <c r="AO31">
        <f t="shared" si="3"/>
        <v>5003.8392314510111</v>
      </c>
      <c r="AU31">
        <v>31</v>
      </c>
      <c r="AV31">
        <v>4858</v>
      </c>
      <c r="AW31">
        <v>5002.5719777629893</v>
      </c>
      <c r="AX31">
        <v>4821.2321319379917</v>
      </c>
      <c r="AY31">
        <v>5000.3744989029701</v>
      </c>
      <c r="BA31">
        <v>504.77420694801748</v>
      </c>
    </row>
    <row r="32" spans="6:53" x14ac:dyDescent="0.2">
      <c r="M32">
        <v>26</v>
      </c>
      <c r="N32">
        <f t="shared" si="7"/>
        <v>4839.0294064126465</v>
      </c>
      <c r="O32">
        <f t="shared" si="8"/>
        <v>8.7096477567408304</v>
      </c>
      <c r="P32">
        <f t="shared" si="2"/>
        <v>4816.1085263915775</v>
      </c>
      <c r="AL32">
        <v>26</v>
      </c>
      <c r="AM32">
        <f t="shared" si="5"/>
        <v>5003.8392314510111</v>
      </c>
      <c r="AN32">
        <f t="shared" si="6"/>
        <v>25.969351147011089</v>
      </c>
      <c r="AO32">
        <f t="shared" si="3"/>
        <v>5002.8165830013895</v>
      </c>
      <c r="AU32">
        <v>35</v>
      </c>
      <c r="AV32">
        <v>4833.333333333333</v>
      </c>
      <c r="AW32">
        <v>4876.6946026567202</v>
      </c>
      <c r="AX32">
        <v>4669.9034476927654</v>
      </c>
      <c r="AY32">
        <v>4999.3539167578083</v>
      </c>
      <c r="BA32">
        <v>229.90940244655792</v>
      </c>
    </row>
    <row r="33" spans="13:53" x14ac:dyDescent="0.2">
      <c r="M33">
        <v>27</v>
      </c>
      <c r="N33">
        <f>P32</f>
        <v>4816.1085263915775</v>
      </c>
      <c r="O33">
        <f t="shared" si="8"/>
        <v>4.7453073853396877</v>
      </c>
      <c r="P33">
        <f>N33-$B$2*O33*(N33/($B$3*O33+N33))</f>
        <v>4800.2129419623934</v>
      </c>
      <c r="AL33">
        <v>27</v>
      </c>
      <c r="AM33">
        <f t="shared" si="5"/>
        <v>5002.8165830013895</v>
      </c>
      <c r="AN33">
        <f t="shared" si="6"/>
        <v>20.880970881822805</v>
      </c>
      <c r="AO33">
        <f t="shared" si="3"/>
        <v>5001.9943838029221</v>
      </c>
      <c r="AU33">
        <v>45</v>
      </c>
      <c r="AV33">
        <v>4281.666666666667</v>
      </c>
      <c r="AW33">
        <v>4575.6847178988646</v>
      </c>
      <c r="AX33">
        <v>4312.3374428679663</v>
      </c>
      <c r="AY33">
        <v>4998.7038070858653</v>
      </c>
      <c r="BA33">
        <v>261.74096609689002</v>
      </c>
    </row>
    <row r="34" spans="13:53" x14ac:dyDescent="0.2">
      <c r="M34">
        <v>28</v>
      </c>
      <c r="N34">
        <f>P33</f>
        <v>4800.2129419623934</v>
      </c>
      <c r="O34">
        <f t="shared" si="8"/>
        <v>2.2446499244360623</v>
      </c>
      <c r="P34">
        <f>N34-$B$2*O34*(N34/($B$3*O34+N34))</f>
        <v>4791.1165057793105</v>
      </c>
      <c r="AL34">
        <v>28</v>
      </c>
      <c r="AM34">
        <f t="shared" si="5"/>
        <v>5001.9943838029221</v>
      </c>
      <c r="AN34">
        <f t="shared" si="6"/>
        <v>16.789604552666088</v>
      </c>
      <c r="AO34">
        <f t="shared" si="3"/>
        <v>5001.3333319285539</v>
      </c>
      <c r="AU34">
        <v>68</v>
      </c>
      <c r="AV34">
        <v>4233</v>
      </c>
      <c r="AW34">
        <v>3951.9943790172874</v>
      </c>
      <c r="AX34">
        <v>3590.5352376737433</v>
      </c>
      <c r="AY34">
        <v>4998.6215751205482</v>
      </c>
      <c r="BA34">
        <v>138.61096637712328</v>
      </c>
    </row>
    <row r="35" spans="13:53" x14ac:dyDescent="0.2">
      <c r="M35">
        <v>29</v>
      </c>
      <c r="N35">
        <f>P34</f>
        <v>4791.1165057793105</v>
      </c>
      <c r="O35">
        <f t="shared" si="8"/>
        <v>0.90403352063604658</v>
      </c>
      <c r="P35">
        <f>N35-$B$2*O35*(N35/($B$3*O35+N35))</f>
        <v>4786.9860272060268</v>
      </c>
      <c r="R35">
        <v>5001.333333333333</v>
      </c>
      <c r="S35">
        <f t="shared" si="0"/>
        <v>210.21682755402253</v>
      </c>
      <c r="AL35">
        <v>29</v>
      </c>
      <c r="AM35">
        <f t="shared" si="5"/>
        <v>5001.3333319285539</v>
      </c>
      <c r="AN35">
        <f t="shared" si="6"/>
        <v>13.499895291117372</v>
      </c>
      <c r="AO35">
        <f t="shared" si="3"/>
        <v>5000.8018355465938</v>
      </c>
      <c r="AQ35">
        <v>5001.333333333333</v>
      </c>
      <c r="AR35">
        <f t="shared" ref="AR35" si="13">((AQ35-AM35)^2)^0.5</f>
        <v>1.4047791410121135E-6</v>
      </c>
    </row>
    <row r="36" spans="13:53" x14ac:dyDescent="0.2">
      <c r="M36">
        <v>30</v>
      </c>
      <c r="N36">
        <f>P35</f>
        <v>4786.9860272060268</v>
      </c>
      <c r="O36">
        <f t="shared" si="8"/>
        <v>0.31741122734556027</v>
      </c>
      <c r="P36">
        <f>N36-$B$2*O36*(N36/($B$3*O36+N36))</f>
        <v>4785.4498991773171</v>
      </c>
      <c r="AL36">
        <v>30</v>
      </c>
      <c r="AM36">
        <f t="shared" si="5"/>
        <v>5000.8018355465938</v>
      </c>
      <c r="AN36">
        <f t="shared" si="6"/>
        <v>10.854765757026827</v>
      </c>
      <c r="AO36">
        <f t="shared" si="3"/>
        <v>5000.3744989029701</v>
      </c>
      <c r="AW36">
        <f>RSQ($AV$23:$AV$34,AW23:AW34)</f>
        <v>0.92087972024554909</v>
      </c>
      <c r="AX36">
        <f t="shared" ref="AX36:AY36" si="14">RSQ($AV$23:$AV$34,AX23:AX34)</f>
        <v>0.9244632670350178</v>
      </c>
      <c r="AY36">
        <f t="shared" si="14"/>
        <v>0.4238282321623647</v>
      </c>
    </row>
    <row r="37" spans="13:53" x14ac:dyDescent="0.2">
      <c r="M37">
        <v>31</v>
      </c>
      <c r="N37">
        <f t="shared" ref="N37:N74" si="15">P36</f>
        <v>4785.4498991773171</v>
      </c>
      <c r="O37">
        <f t="shared" si="8"/>
        <v>0.10285546882423724</v>
      </c>
      <c r="P37">
        <f t="shared" ref="P37:P74" si="16">N37-$B$2*O37*(N37/($B$3*O37+N37))</f>
        <v>4784.9410898480337</v>
      </c>
      <c r="R37">
        <v>4858</v>
      </c>
      <c r="S37">
        <f t="shared" si="0"/>
        <v>72.550100822682907</v>
      </c>
      <c r="AL37">
        <v>31</v>
      </c>
      <c r="AM37">
        <f t="shared" si="5"/>
        <v>5000.3744989029701</v>
      </c>
      <c r="AN37">
        <f t="shared" si="6"/>
        <v>8.7279170673153086</v>
      </c>
      <c r="AO37">
        <f t="shared" si="3"/>
        <v>5000.0309061313246</v>
      </c>
      <c r="AQ37">
        <v>4858</v>
      </c>
      <c r="AR37">
        <f t="shared" ref="AR37" si="17">((AQ37-AM37)^2)^0.5</f>
        <v>142.37449890297012</v>
      </c>
    </row>
    <row r="38" spans="13:53" x14ac:dyDescent="0.2">
      <c r="M38">
        <v>32</v>
      </c>
      <c r="N38">
        <f t="shared" si="15"/>
        <v>4784.9410898480337</v>
      </c>
      <c r="O38">
        <f t="shared" si="8"/>
        <v>3.2226285881644223E-2</v>
      </c>
      <c r="P38">
        <f t="shared" si="16"/>
        <v>4784.7804992027177</v>
      </c>
      <c r="AL38">
        <v>32</v>
      </c>
      <c r="AM38">
        <f t="shared" si="5"/>
        <v>5000.0309061313246</v>
      </c>
      <c r="AN38">
        <f t="shared" si="6"/>
        <v>7.0177977132262201</v>
      </c>
      <c r="AO38">
        <f t="shared" si="3"/>
        <v>4999.7546441199147</v>
      </c>
    </row>
    <row r="39" spans="13:53" x14ac:dyDescent="0.2">
      <c r="M39">
        <v>33</v>
      </c>
      <c r="N39">
        <f t="shared" si="15"/>
        <v>4784.7804992027177</v>
      </c>
      <c r="O39">
        <f t="shared" si="8"/>
        <v>9.9797744607679345E-3</v>
      </c>
      <c r="P39">
        <f t="shared" si="16"/>
        <v>4784.7306523140633</v>
      </c>
      <c r="AL39">
        <v>33</v>
      </c>
      <c r="AM39">
        <f t="shared" si="5"/>
        <v>4999.7546441199147</v>
      </c>
      <c r="AN39">
        <f t="shared" si="6"/>
        <v>5.6427543511457934</v>
      </c>
      <c r="AO39">
        <f t="shared" si="3"/>
        <v>4999.5325173265137</v>
      </c>
    </row>
    <row r="40" spans="13:53" x14ac:dyDescent="0.2">
      <c r="M40">
        <v>34</v>
      </c>
      <c r="N40">
        <f t="shared" si="15"/>
        <v>4784.7306523140633</v>
      </c>
      <c r="O40">
        <f t="shared" si="8"/>
        <v>3.0789688988576138E-3</v>
      </c>
      <c r="P40">
        <f t="shared" si="16"/>
        <v>4784.7152624212586</v>
      </c>
      <c r="AL40">
        <v>34</v>
      </c>
      <c r="AM40">
        <f t="shared" si="5"/>
        <v>4999.5325173265137</v>
      </c>
      <c r="AN40">
        <f t="shared" si="6"/>
        <v>4.5371328363857009</v>
      </c>
      <c r="AO40">
        <f t="shared" si="3"/>
        <v>4999.3539167578083</v>
      </c>
    </row>
    <row r="41" spans="13:53" x14ac:dyDescent="0.2">
      <c r="M41">
        <v>35</v>
      </c>
      <c r="N41">
        <f t="shared" si="15"/>
        <v>4784.7152624212586</v>
      </c>
      <c r="O41">
        <f t="shared" si="8"/>
        <v>9.4881758980639233E-4</v>
      </c>
      <c r="P41">
        <f t="shared" si="16"/>
        <v>4784.710518803643</v>
      </c>
      <c r="R41">
        <v>4833.333333333333</v>
      </c>
      <c r="S41">
        <f t="shared" ref="S41" si="18">((R41-N41)^2)^0.5</f>
        <v>48.618070912074472</v>
      </c>
      <c r="AL41">
        <v>35</v>
      </c>
      <c r="AM41">
        <f t="shared" si="5"/>
        <v>4999.3539167578083</v>
      </c>
      <c r="AN41">
        <f t="shared" si="6"/>
        <v>3.6481432749291054</v>
      </c>
      <c r="AO41">
        <f t="shared" si="3"/>
        <v>4999.2103127943974</v>
      </c>
      <c r="AQ41">
        <v>4833.333333333333</v>
      </c>
      <c r="AR41">
        <f t="shared" ref="AR41" si="19">((AQ41-AM41)^2)^0.5</f>
        <v>166.02058342447526</v>
      </c>
    </row>
    <row r="42" spans="13:53" x14ac:dyDescent="0.2">
      <c r="M42">
        <v>36</v>
      </c>
      <c r="N42">
        <f t="shared" si="15"/>
        <v>4784.710518803643</v>
      </c>
      <c r="O42">
        <f t="shared" si="8"/>
        <v>2.9228285101041019E-4</v>
      </c>
      <c r="P42">
        <f t="shared" si="16"/>
        <v>4784.7090574340236</v>
      </c>
      <c r="AL42">
        <v>36</v>
      </c>
      <c r="AM42">
        <f t="shared" si="5"/>
        <v>4999.2103127943974</v>
      </c>
      <c r="AN42">
        <f t="shared" si="6"/>
        <v>2.9333393698016277</v>
      </c>
      <c r="AO42">
        <f t="shared" si="3"/>
        <v>4999.0948475228106</v>
      </c>
    </row>
    <row r="43" spans="13:53" x14ac:dyDescent="0.2">
      <c r="M43">
        <v>37</v>
      </c>
      <c r="N43">
        <f t="shared" si="15"/>
        <v>4784.7090574340236</v>
      </c>
      <c r="O43">
        <f t="shared" si="8"/>
        <v>9.0027581677219748E-5</v>
      </c>
      <c r="P43">
        <f t="shared" si="16"/>
        <v>4784.7086073003502</v>
      </c>
      <c r="AL43">
        <v>37</v>
      </c>
      <c r="AM43">
        <f t="shared" si="5"/>
        <v>4999.0948475228106</v>
      </c>
      <c r="AN43">
        <f t="shared" si="6"/>
        <v>2.3585916836410354</v>
      </c>
      <c r="AO43">
        <f t="shared" si="3"/>
        <v>4999.0020070304872</v>
      </c>
    </row>
    <row r="44" spans="13:53" x14ac:dyDescent="0.2">
      <c r="M44">
        <v>38</v>
      </c>
      <c r="N44">
        <f t="shared" si="15"/>
        <v>4784.7086073003502</v>
      </c>
      <c r="O44">
        <f t="shared" si="8"/>
        <v>2.7728918651266751E-5</v>
      </c>
      <c r="P44">
        <f t="shared" si="16"/>
        <v>4784.7084686561584</v>
      </c>
      <c r="AL44">
        <v>38</v>
      </c>
      <c r="AM44">
        <f t="shared" si="5"/>
        <v>4999.0020070304872</v>
      </c>
      <c r="AN44">
        <f t="shared" si="6"/>
        <v>1.8964580311496193</v>
      </c>
      <c r="AO44">
        <f t="shared" si="3"/>
        <v>4998.9273579656565</v>
      </c>
    </row>
    <row r="45" spans="13:53" x14ac:dyDescent="0.2">
      <c r="M45">
        <v>39</v>
      </c>
      <c r="N45">
        <f t="shared" si="15"/>
        <v>4784.7084686561584</v>
      </c>
      <c r="O45">
        <f t="shared" si="8"/>
        <v>8.540547090924385E-6</v>
      </c>
      <c r="P45">
        <f t="shared" si="16"/>
        <v>4784.7084259534613</v>
      </c>
      <c r="AL45">
        <v>39</v>
      </c>
      <c r="AM45">
        <f t="shared" si="5"/>
        <v>4998.9273579656565</v>
      </c>
      <c r="AN45">
        <f t="shared" si="6"/>
        <v>1.5248731826858188</v>
      </c>
      <c r="AO45">
        <f t="shared" si="3"/>
        <v>4998.8673357506341</v>
      </c>
    </row>
    <row r="46" spans="13:53" x14ac:dyDescent="0.2">
      <c r="M46">
        <v>40</v>
      </c>
      <c r="N46">
        <f t="shared" si="15"/>
        <v>4784.7084259534613</v>
      </c>
      <c r="O46">
        <f t="shared" si="8"/>
        <v>2.6304923393619904E-6</v>
      </c>
      <c r="P46">
        <f t="shared" si="16"/>
        <v>4784.7084128010029</v>
      </c>
      <c r="AL46">
        <v>40</v>
      </c>
      <c r="AM46">
        <f t="shared" si="5"/>
        <v>4998.8673357506341</v>
      </c>
      <c r="AN46">
        <f t="shared" si="6"/>
        <v>1.2260953101079017</v>
      </c>
      <c r="AO46">
        <f t="shared" si="3"/>
        <v>4998.8190743150535</v>
      </c>
    </row>
    <row r="47" spans="13:53" x14ac:dyDescent="0.2">
      <c r="M47">
        <v>41</v>
      </c>
      <c r="N47">
        <f t="shared" si="15"/>
        <v>4784.7084128010029</v>
      </c>
      <c r="O47">
        <f t="shared" si="8"/>
        <v>8.1019196516953689E-7</v>
      </c>
      <c r="P47">
        <f t="shared" si="16"/>
        <v>4784.7084087500434</v>
      </c>
      <c r="AL47">
        <v>41</v>
      </c>
      <c r="AM47">
        <f t="shared" si="5"/>
        <v>4998.8190743150535</v>
      </c>
      <c r="AN47">
        <f t="shared" si="6"/>
        <v>0.98585886700912762</v>
      </c>
      <c r="AO47">
        <f t="shared" si="3"/>
        <v>4998.7802692055429</v>
      </c>
    </row>
    <row r="48" spans="13:53" x14ac:dyDescent="0.2">
      <c r="M48">
        <v>42</v>
      </c>
      <c r="N48">
        <f t="shared" si="15"/>
        <v>4784.7084087500434</v>
      </c>
      <c r="O48">
        <f t="shared" si="8"/>
        <v>2.4953916457811987E-7</v>
      </c>
      <c r="P48">
        <f t="shared" si="16"/>
        <v>4784.7084075023477</v>
      </c>
      <c r="AL48">
        <v>42</v>
      </c>
      <c r="AM48">
        <f t="shared" si="5"/>
        <v>4998.7802692055429</v>
      </c>
      <c r="AN48">
        <f t="shared" si="6"/>
        <v>0.79269345359231747</v>
      </c>
      <c r="AO48">
        <f t="shared" si="3"/>
        <v>4998.7490675268891</v>
      </c>
    </row>
    <row r="49" spans="13:44" x14ac:dyDescent="0.2">
      <c r="M49">
        <v>43</v>
      </c>
      <c r="N49">
        <f t="shared" si="15"/>
        <v>4784.7084075023477</v>
      </c>
      <c r="O49">
        <f t="shared" si="8"/>
        <v>7.6858068619580627E-8</v>
      </c>
      <c r="P49">
        <f t="shared" si="16"/>
        <v>4784.708407118057</v>
      </c>
      <c r="AL49">
        <v>43</v>
      </c>
      <c r="AM49">
        <f t="shared" si="5"/>
        <v>4998.7490675268891</v>
      </c>
      <c r="AN49">
        <f t="shared" si="6"/>
        <v>0.63737614263721099</v>
      </c>
      <c r="AO49">
        <f t="shared" si="3"/>
        <v>4998.7239794539882</v>
      </c>
    </row>
    <row r="50" spans="13:44" x14ac:dyDescent="0.2">
      <c r="M50">
        <v>44</v>
      </c>
      <c r="N50">
        <f t="shared" si="15"/>
        <v>4784.708407118057</v>
      </c>
      <c r="O50">
        <f t="shared" si="8"/>
        <v>2.3672257911669252E-8</v>
      </c>
      <c r="P50">
        <f t="shared" si="16"/>
        <v>4784.7084069996954</v>
      </c>
      <c r="AL50">
        <v>44</v>
      </c>
      <c r="AM50">
        <f t="shared" si="5"/>
        <v>4998.7239794539882</v>
      </c>
      <c r="AN50">
        <f t="shared" si="6"/>
        <v>0.51249111596077934</v>
      </c>
      <c r="AO50">
        <f t="shared" si="3"/>
        <v>4998.7038070858653</v>
      </c>
    </row>
    <row r="51" spans="13:44" x14ac:dyDescent="0.2">
      <c r="M51">
        <v>45</v>
      </c>
      <c r="N51">
        <f t="shared" si="15"/>
        <v>4784.7084069996954</v>
      </c>
      <c r="O51">
        <f t="shared" si="8"/>
        <v>7.2910203437558671E-9</v>
      </c>
      <c r="P51">
        <f t="shared" si="16"/>
        <v>4784.7084069632401</v>
      </c>
      <c r="R51">
        <v>4281.666666666667</v>
      </c>
      <c r="S51">
        <f t="shared" ref="S51" si="20">((R51-N51)^2)^0.5</f>
        <v>503.04174033302843</v>
      </c>
      <c r="AL51">
        <v>45</v>
      </c>
      <c r="AM51">
        <f t="shared" si="5"/>
        <v>4998.7038070858653</v>
      </c>
      <c r="AN51">
        <f t="shared" si="6"/>
        <v>0.41207558488401119</v>
      </c>
      <c r="AO51">
        <f t="shared" si="3"/>
        <v>4998.6875872423907</v>
      </c>
      <c r="AQ51">
        <v>4281.666666666667</v>
      </c>
      <c r="AR51">
        <f t="shared" ref="AR51" si="21">((AQ51-AM51)^2)^0.5</f>
        <v>717.03714041919829</v>
      </c>
    </row>
    <row r="52" spans="13:44" x14ac:dyDescent="0.2">
      <c r="M52">
        <v>46</v>
      </c>
      <c r="N52">
        <f t="shared" si="15"/>
        <v>4784.7084069632401</v>
      </c>
      <c r="O52">
        <f t="shared" si="8"/>
        <v>2.2456168246383121E-9</v>
      </c>
      <c r="P52">
        <f t="shared" si="16"/>
        <v>4784.7084069520124</v>
      </c>
      <c r="AL52">
        <v>46</v>
      </c>
      <c r="AM52">
        <f t="shared" si="5"/>
        <v>4998.6875872423907</v>
      </c>
      <c r="AN52">
        <f t="shared" si="6"/>
        <v>0.33133508823882374</v>
      </c>
      <c r="AO52">
        <f t="shared" si="3"/>
        <v>4998.6745454708825</v>
      </c>
    </row>
    <row r="53" spans="13:44" x14ac:dyDescent="0.2">
      <c r="M53">
        <v>47</v>
      </c>
      <c r="N53">
        <f t="shared" si="15"/>
        <v>4784.7084069520124</v>
      </c>
      <c r="O53">
        <f t="shared" si="8"/>
        <v>6.9168718496907636E-10</v>
      </c>
      <c r="P53">
        <f t="shared" si="16"/>
        <v>4784.7084069485536</v>
      </c>
      <c r="AL53">
        <v>47</v>
      </c>
      <c r="AM53">
        <f t="shared" si="5"/>
        <v>4998.6745454708825</v>
      </c>
      <c r="AN53">
        <f t="shared" si="6"/>
        <v>0.26641457414615538</v>
      </c>
      <c r="AO53">
        <f t="shared" si="3"/>
        <v>4998.6640590655761</v>
      </c>
    </row>
    <row r="54" spans="13:44" x14ac:dyDescent="0.2">
      <c r="M54">
        <v>48</v>
      </c>
      <c r="N54">
        <f t="shared" si="15"/>
        <v>4784.7084069485536</v>
      </c>
      <c r="O54">
        <f t="shared" si="8"/>
        <v>2.1300241037076908E-10</v>
      </c>
      <c r="P54">
        <f t="shared" si="16"/>
        <v>4784.7084069474886</v>
      </c>
      <c r="AL54">
        <v>48</v>
      </c>
      <c r="AM54">
        <f t="shared" si="5"/>
        <v>4998.6640590655761</v>
      </c>
      <c r="AN54">
        <f t="shared" si="6"/>
        <v>0.21421433537944981</v>
      </c>
      <c r="AO54">
        <f t="shared" si="3"/>
        <v>4998.6556273336264</v>
      </c>
    </row>
    <row r="55" spans="13:44" x14ac:dyDescent="0.2">
      <c r="M55">
        <v>49</v>
      </c>
      <c r="N55">
        <f t="shared" si="15"/>
        <v>4784.7084069474886</v>
      </c>
      <c r="O55">
        <f t="shared" si="8"/>
        <v>6.5604118001971505E-11</v>
      </c>
      <c r="P55">
        <f t="shared" si="16"/>
        <v>4784.7084069471603</v>
      </c>
      <c r="AL55">
        <v>49</v>
      </c>
      <c r="AM55">
        <f t="shared" si="5"/>
        <v>4998.6556273336264</v>
      </c>
      <c r="AN55">
        <f t="shared" si="6"/>
        <v>0.17224200979162413</v>
      </c>
      <c r="AO55">
        <f t="shared" si="3"/>
        <v>4998.6488476875293</v>
      </c>
    </row>
    <row r="56" spans="13:44" x14ac:dyDescent="0.2">
      <c r="M56">
        <v>50</v>
      </c>
      <c r="N56">
        <f t="shared" si="15"/>
        <v>4784.7084069471603</v>
      </c>
      <c r="O56">
        <f t="shared" si="8"/>
        <v>2.0175368611590264E-11</v>
      </c>
      <c r="P56">
        <f t="shared" si="16"/>
        <v>4784.7084069470593</v>
      </c>
      <c r="AL56">
        <v>50</v>
      </c>
      <c r="AM56">
        <f t="shared" si="5"/>
        <v>4998.6488476875293</v>
      </c>
      <c r="AN56">
        <f t="shared" si="6"/>
        <v>0.13849357930191936</v>
      </c>
      <c r="AO56">
        <f t="shared" si="3"/>
        <v>4998.6433964222015</v>
      </c>
    </row>
    <row r="57" spans="13:44" x14ac:dyDescent="0.2">
      <c r="M57">
        <v>51</v>
      </c>
      <c r="N57">
        <f t="shared" si="15"/>
        <v>4784.7084069470593</v>
      </c>
      <c r="O57">
        <f t="shared" si="8"/>
        <v>6.2063066484854292E-12</v>
      </c>
      <c r="P57">
        <f t="shared" si="16"/>
        <v>4784.7084069470284</v>
      </c>
      <c r="AL57">
        <v>51</v>
      </c>
      <c r="AM57">
        <f t="shared" si="5"/>
        <v>4998.6433964222015</v>
      </c>
      <c r="AN57">
        <f t="shared" si="6"/>
        <v>0.1113576855431716</v>
      </c>
      <c r="AO57">
        <f t="shared" si="3"/>
        <v>4998.6390132587148</v>
      </c>
    </row>
    <row r="58" spans="13:44" x14ac:dyDescent="0.2">
      <c r="M58">
        <v>52</v>
      </c>
      <c r="N58">
        <f t="shared" si="15"/>
        <v>4784.7084069470284</v>
      </c>
      <c r="O58">
        <f t="shared" si="8"/>
        <v>1.9224137859482704E-12</v>
      </c>
      <c r="P58">
        <f t="shared" si="16"/>
        <v>4784.7084069470184</v>
      </c>
      <c r="AL58">
        <v>52</v>
      </c>
      <c r="AM58">
        <f t="shared" si="5"/>
        <v>4998.6390132587148</v>
      </c>
      <c r="AN58">
        <f t="shared" si="6"/>
        <v>8.9538693570219013E-2</v>
      </c>
      <c r="AO58">
        <f t="shared" si="3"/>
        <v>4998.6354889165959</v>
      </c>
    </row>
    <row r="59" spans="13:44" x14ac:dyDescent="0.2">
      <c r="M59">
        <v>53</v>
      </c>
      <c r="N59">
        <f t="shared" si="15"/>
        <v>4784.7084069470184</v>
      </c>
      <c r="O59">
        <f t="shared" si="8"/>
        <v>5.5286616709598134E-13</v>
      </c>
      <c r="P59">
        <f t="shared" si="16"/>
        <v>4784.7084069470156</v>
      </c>
      <c r="AL59">
        <v>53</v>
      </c>
      <c r="AM59">
        <f t="shared" si="5"/>
        <v>4998.6354889165959</v>
      </c>
      <c r="AN59">
        <f t="shared" si="6"/>
        <v>7.1994830192846165E-2</v>
      </c>
      <c r="AO59">
        <f t="shared" si="3"/>
        <v>4998.6326551212414</v>
      </c>
    </row>
    <row r="60" spans="13:44" x14ac:dyDescent="0.2">
      <c r="M60">
        <v>54</v>
      </c>
      <c r="N60">
        <f t="shared" si="15"/>
        <v>4784.7084069470156</v>
      </c>
      <c r="O60">
        <f t="shared" si="8"/>
        <v>1.738674524816744E-13</v>
      </c>
      <c r="P60">
        <f t="shared" si="16"/>
        <v>4784.7084069470147</v>
      </c>
      <c r="AL60">
        <v>54</v>
      </c>
      <c r="AM60">
        <f t="shared" si="5"/>
        <v>4998.6326551212414</v>
      </c>
      <c r="AN60">
        <f t="shared" si="6"/>
        <v>5.7888443260370639E-2</v>
      </c>
      <c r="AO60">
        <f t="shared" si="3"/>
        <v>4998.6303765692901</v>
      </c>
    </row>
    <row r="61" spans="13:44" x14ac:dyDescent="0.2">
      <c r="M61">
        <v>55</v>
      </c>
      <c r="N61">
        <f t="shared" si="15"/>
        <v>4784.7084069470147</v>
      </c>
      <c r="O61">
        <f t="shared" si="8"/>
        <v>4.953543142790009E-14</v>
      </c>
      <c r="P61">
        <f t="shared" si="16"/>
        <v>4784.7084069470147</v>
      </c>
      <c r="AL61">
        <v>55</v>
      </c>
      <c r="AM61">
        <f t="shared" si="5"/>
        <v>4998.6303765692901</v>
      </c>
      <c r="AN61">
        <f t="shared" si="6"/>
        <v>4.6546006959244567E-2</v>
      </c>
      <c r="AO61">
        <f t="shared" si="3"/>
        <v>4998.6285444683072</v>
      </c>
    </row>
    <row r="62" spans="13:44" x14ac:dyDescent="0.2">
      <c r="M62">
        <v>56</v>
      </c>
      <c r="N62">
        <f t="shared" si="15"/>
        <v>4784.7084069470147</v>
      </c>
      <c r="O62">
        <f t="shared" si="8"/>
        <v>4.0024628593743269E-14</v>
      </c>
      <c r="P62">
        <f t="shared" si="16"/>
        <v>4784.7084069470147</v>
      </c>
      <c r="AL62">
        <v>56</v>
      </c>
      <c r="AM62">
        <f t="shared" si="5"/>
        <v>4998.6285444683072</v>
      </c>
      <c r="AN62">
        <f t="shared" si="6"/>
        <v>3.7425963524775827E-2</v>
      </c>
      <c r="AO62">
        <f t="shared" si="3"/>
        <v>4998.6270713422964</v>
      </c>
    </row>
    <row r="63" spans="13:44" x14ac:dyDescent="0.2">
      <c r="M63">
        <v>57</v>
      </c>
      <c r="N63">
        <f t="shared" si="15"/>
        <v>4784.7084069470147</v>
      </c>
      <c r="O63">
        <f t="shared" si="8"/>
        <v>3.2339899903744565E-14</v>
      </c>
      <c r="P63">
        <f t="shared" si="16"/>
        <v>4784.7084069470147</v>
      </c>
      <c r="AL63">
        <v>57</v>
      </c>
      <c r="AM63">
        <f t="shared" si="5"/>
        <v>4998.6270713422964</v>
      </c>
      <c r="AN63">
        <f t="shared" si="6"/>
        <v>3.0092865926943765E-2</v>
      </c>
      <c r="AO63">
        <f t="shared" si="3"/>
        <v>4998.6258868550149</v>
      </c>
    </row>
    <row r="64" spans="13:44" x14ac:dyDescent="0.2">
      <c r="M64">
        <v>58</v>
      </c>
      <c r="N64">
        <f t="shared" si="15"/>
        <v>4784.7084069470147</v>
      </c>
      <c r="O64">
        <f t="shared" si="8"/>
        <v>2.6130639122225607E-14</v>
      </c>
      <c r="P64">
        <f t="shared" si="16"/>
        <v>4784.7084069470147</v>
      </c>
      <c r="AL64">
        <v>58</v>
      </c>
      <c r="AM64">
        <f t="shared" si="5"/>
        <v>4998.6258868550149</v>
      </c>
      <c r="AN64">
        <f t="shared" si="6"/>
        <v>2.4196586940817107E-2</v>
      </c>
      <c r="AO64">
        <f t="shared" si="3"/>
        <v>4998.6249344516582</v>
      </c>
    </row>
    <row r="65" spans="13:44" x14ac:dyDescent="0.2">
      <c r="M65">
        <v>59</v>
      </c>
      <c r="N65">
        <f t="shared" si="15"/>
        <v>4784.7084069470147</v>
      </c>
      <c r="O65">
        <f t="shared" si="8"/>
        <v>2.1113556410758291E-14</v>
      </c>
      <c r="P65">
        <f t="shared" si="16"/>
        <v>4784.7084069470147</v>
      </c>
      <c r="AL65">
        <v>59</v>
      </c>
      <c r="AM65">
        <f t="shared" si="5"/>
        <v>4998.6249344516582</v>
      </c>
      <c r="AN65">
        <f t="shared" si="6"/>
        <v>1.9455601912512454E-2</v>
      </c>
      <c r="AO65">
        <f t="shared" si="3"/>
        <v>4998.6241686585709</v>
      </c>
    </row>
    <row r="66" spans="13:44" x14ac:dyDescent="0.2">
      <c r="M66">
        <v>60</v>
      </c>
      <c r="N66">
        <f t="shared" si="15"/>
        <v>4784.7084069470147</v>
      </c>
      <c r="O66">
        <f t="shared" si="8"/>
        <v>1.7059753579892698E-14</v>
      </c>
      <c r="P66">
        <f t="shared" si="16"/>
        <v>4784.7084069470147</v>
      </c>
      <c r="AL66">
        <v>60</v>
      </c>
      <c r="AM66">
        <f t="shared" si="5"/>
        <v>4998.6241686585709</v>
      </c>
      <c r="AN66">
        <f t="shared" si="6"/>
        <v>1.5643547036576135E-2</v>
      </c>
      <c r="AO66">
        <f t="shared" si="3"/>
        <v>4998.6235529120404</v>
      </c>
    </row>
    <row r="67" spans="13:44" x14ac:dyDescent="0.2">
      <c r="M67">
        <v>61</v>
      </c>
      <c r="N67">
        <f t="shared" si="15"/>
        <v>4784.7084069470147</v>
      </c>
      <c r="O67">
        <f t="shared" si="8"/>
        <v>1.37842808925533E-14</v>
      </c>
      <c r="P67">
        <f t="shared" si="16"/>
        <v>4784.7084069470147</v>
      </c>
      <c r="AL67">
        <v>61</v>
      </c>
      <c r="AM67">
        <f t="shared" si="5"/>
        <v>4998.6235529120404</v>
      </c>
      <c r="AN67">
        <f t="shared" si="6"/>
        <v>1.2578411352507835E-2</v>
      </c>
      <c r="AO67">
        <f t="shared" si="3"/>
        <v>4998.6230578125142</v>
      </c>
    </row>
    <row r="68" spans="13:44" x14ac:dyDescent="0.2">
      <c r="M68">
        <v>62</v>
      </c>
      <c r="N68">
        <f t="shared" si="15"/>
        <v>4784.7084069470147</v>
      </c>
      <c r="O68">
        <f t="shared" si="8"/>
        <v>1.1137698961183065E-14</v>
      </c>
      <c r="P68">
        <f t="shared" si="16"/>
        <v>4784.7084069470147</v>
      </c>
      <c r="AL68">
        <v>62</v>
      </c>
      <c r="AM68">
        <f t="shared" si="5"/>
        <v>4998.6230578125142</v>
      </c>
      <c r="AN68">
        <f t="shared" si="6"/>
        <v>1.0113846420202991E-2</v>
      </c>
      <c r="AO68">
        <f t="shared" si="3"/>
        <v>4998.6226597208779</v>
      </c>
    </row>
    <row r="69" spans="13:44" x14ac:dyDescent="0.2">
      <c r="M69">
        <v>63</v>
      </c>
      <c r="N69">
        <f t="shared" si="15"/>
        <v>4784.7084069470147</v>
      </c>
      <c r="O69">
        <f t="shared" si="8"/>
        <v>8.9992607606359166E-15</v>
      </c>
      <c r="P69">
        <f t="shared" si="16"/>
        <v>4784.7084069470147</v>
      </c>
      <c r="AL69">
        <v>63</v>
      </c>
      <c r="AM69">
        <f t="shared" si="5"/>
        <v>4998.6226597208779</v>
      </c>
      <c r="AN69">
        <f t="shared" si="6"/>
        <v>8.1321787438969478E-3</v>
      </c>
      <c r="AO69">
        <f t="shared" si="3"/>
        <v>4998.6223396297773</v>
      </c>
    </row>
    <row r="70" spans="13:44" x14ac:dyDescent="0.2">
      <c r="M70">
        <v>64</v>
      </c>
      <c r="N70">
        <f t="shared" si="15"/>
        <v>4784.7084069470147</v>
      </c>
      <c r="O70">
        <f t="shared" si="8"/>
        <v>7.2714026945938211E-15</v>
      </c>
      <c r="P70">
        <f t="shared" si="16"/>
        <v>4784.7084069470147</v>
      </c>
      <c r="AL70">
        <v>64</v>
      </c>
      <c r="AM70">
        <f t="shared" si="5"/>
        <v>4998.6223396297773</v>
      </c>
      <c r="AN70">
        <f t="shared" si="6"/>
        <v>6.5387913150139459E-3</v>
      </c>
      <c r="AO70">
        <f t="shared" si="3"/>
        <v>4998.6220822560881</v>
      </c>
    </row>
    <row r="71" spans="13:44" x14ac:dyDescent="0.2">
      <c r="M71">
        <v>65</v>
      </c>
      <c r="N71">
        <f t="shared" si="15"/>
        <v>4784.7084069470147</v>
      </c>
      <c r="O71">
        <f t="shared" si="8"/>
        <v>5.8752933772318077E-15</v>
      </c>
      <c r="P71">
        <f t="shared" si="16"/>
        <v>4784.7084069470147</v>
      </c>
      <c r="AL71">
        <v>65</v>
      </c>
      <c r="AM71">
        <f t="shared" si="5"/>
        <v>4998.6220822560881</v>
      </c>
      <c r="AN71">
        <f t="shared" si="6"/>
        <v>5.2576060136075402E-3</v>
      </c>
      <c r="AO71">
        <f t="shared" si="3"/>
        <v>4998.6218753112016</v>
      </c>
    </row>
    <row r="72" spans="13:44" x14ac:dyDescent="0.2">
      <c r="M72">
        <v>66</v>
      </c>
      <c r="N72">
        <f t="shared" si="15"/>
        <v>4784.7084069470147</v>
      </c>
      <c r="O72">
        <f t="shared" si="8"/>
        <v>4.7472370488033003E-15</v>
      </c>
      <c r="P72">
        <f t="shared" si="16"/>
        <v>4784.7084069470147</v>
      </c>
      <c r="AL72">
        <v>66</v>
      </c>
      <c r="AM72">
        <f t="shared" si="5"/>
        <v>4998.6218753112016</v>
      </c>
      <c r="AN72">
        <f t="shared" si="6"/>
        <v>4.2274511703463058E-3</v>
      </c>
      <c r="AO72">
        <f t="shared" ref="AO72:AO74" si="22">AM72-$AA$2*AN72*(AM72/($AA$3+AM72))</f>
        <v>4998.6217089142929</v>
      </c>
    </row>
    <row r="73" spans="13:44" x14ac:dyDescent="0.2">
      <c r="M73">
        <v>67</v>
      </c>
      <c r="N73">
        <f t="shared" si="15"/>
        <v>4784.7084069470147</v>
      </c>
      <c r="O73">
        <f t="shared" si="8"/>
        <v>3.8357675354330665E-15</v>
      </c>
      <c r="P73">
        <f t="shared" si="16"/>
        <v>4784.7084069470147</v>
      </c>
      <c r="AL73">
        <v>67</v>
      </c>
      <c r="AM73">
        <f t="shared" ref="AM73:AM74" si="23">AO72</f>
        <v>4998.6217089142929</v>
      </c>
      <c r="AN73">
        <f t="shared" ref="AN73:AN74" si="24">AN72+$B$4*(AM73-AM72)-$B$5*AN72</f>
        <v>3.3991408547645059E-3</v>
      </c>
      <c r="AO73">
        <f t="shared" si="22"/>
        <v>4998.6215751205482</v>
      </c>
    </row>
    <row r="74" spans="13:44" x14ac:dyDescent="0.2">
      <c r="M74">
        <v>68</v>
      </c>
      <c r="N74">
        <f t="shared" si="15"/>
        <v>4784.7084069470147</v>
      </c>
      <c r="O74">
        <f t="shared" ref="O74" si="25">O73+$B$4*(N74-N73)-$B$5*O73</f>
        <v>3.0993001686299179E-15</v>
      </c>
      <c r="P74">
        <f t="shared" si="16"/>
        <v>4784.7084069470147</v>
      </c>
      <c r="R74">
        <v>4233</v>
      </c>
      <c r="S74">
        <f t="shared" ref="S74" si="26">((R74-N74)^2)^0.5</f>
        <v>551.70840694701474</v>
      </c>
      <c r="AL74">
        <v>68</v>
      </c>
      <c r="AM74">
        <f t="shared" si="23"/>
        <v>4998.6215751205482</v>
      </c>
      <c r="AN74">
        <f t="shared" si="24"/>
        <v>2.7331264361816618E-3</v>
      </c>
      <c r="AO74">
        <f t="shared" si="22"/>
        <v>4998.6214675418296</v>
      </c>
      <c r="AQ74">
        <v>4233</v>
      </c>
      <c r="AR74">
        <f t="shared" ref="AR74" si="27">((AQ74-AM74)^2)^0.5</f>
        <v>765.62157512054819</v>
      </c>
    </row>
    <row r="76" spans="13:44" x14ac:dyDescent="0.2">
      <c r="S76">
        <f>SUM(S6:S74)</f>
        <v>2454.3308833619576</v>
      </c>
      <c r="AR76">
        <f>SUM(AR6:AR74)</f>
        <v>5050.3619791218962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A6BF-2194-48B6-ACD5-6BD4115C970C}">
  <dimension ref="A1:Z59"/>
  <sheetViews>
    <sheetView topLeftCell="A22" workbookViewId="0">
      <selection activeCell="M38" sqref="M38"/>
    </sheetView>
  </sheetViews>
  <sheetFormatPr defaultRowHeight="14.25" x14ac:dyDescent="0.2"/>
  <sheetData>
    <row r="1" spans="1:26" x14ac:dyDescent="0.2">
      <c r="A1" t="s">
        <v>22</v>
      </c>
    </row>
    <row r="2" spans="1:26" x14ac:dyDescent="0.2">
      <c r="A2">
        <v>190729</v>
      </c>
      <c r="C2" s="1">
        <v>0.4375</v>
      </c>
    </row>
    <row r="4" spans="1:26" x14ac:dyDescent="0.2">
      <c r="C4" t="s">
        <v>0</v>
      </c>
      <c r="D4" s="9" t="s">
        <v>1</v>
      </c>
      <c r="E4" s="9"/>
      <c r="F4" s="9"/>
      <c r="G4" s="9"/>
      <c r="H4" s="9"/>
      <c r="I4" s="9" t="s">
        <v>2</v>
      </c>
      <c r="J4" s="9"/>
      <c r="K4" s="9"/>
      <c r="L4" s="9"/>
      <c r="M4" s="9" t="s">
        <v>3</v>
      </c>
      <c r="N4" s="9"/>
      <c r="O4" s="9"/>
      <c r="P4" s="9" t="s">
        <v>4</v>
      </c>
      <c r="Q4" s="9"/>
      <c r="R4" s="9"/>
      <c r="S4" s="9" t="s">
        <v>5</v>
      </c>
      <c r="T4" s="9"/>
      <c r="U4" s="9"/>
      <c r="V4" s="9" t="s">
        <v>23</v>
      </c>
      <c r="W4" s="9"/>
      <c r="X4" s="9"/>
      <c r="Y4" s="9" t="s">
        <v>112</v>
      </c>
      <c r="Z4" s="9" t="s">
        <v>25</v>
      </c>
    </row>
    <row r="5" spans="1:26" x14ac:dyDescent="0.2">
      <c r="A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17</v>
      </c>
      <c r="Q5" t="s">
        <v>18</v>
      </c>
      <c r="R5" t="s">
        <v>20</v>
      </c>
      <c r="S5" t="s">
        <v>21</v>
      </c>
      <c r="T5" t="s">
        <v>18</v>
      </c>
      <c r="U5" t="s">
        <v>19</v>
      </c>
      <c r="V5" t="s">
        <v>34</v>
      </c>
      <c r="W5" t="s">
        <v>18</v>
      </c>
      <c r="X5" t="s">
        <v>35</v>
      </c>
      <c r="Y5" s="9"/>
      <c r="Z5" s="9"/>
    </row>
    <row r="6" spans="1:26" x14ac:dyDescent="0.2">
      <c r="A6">
        <v>190729</v>
      </c>
      <c r="B6">
        <v>190729</v>
      </c>
      <c r="C6">
        <f>A6-$A$6</f>
        <v>0</v>
      </c>
      <c r="D6">
        <v>0.1229</v>
      </c>
      <c r="E6">
        <v>3</v>
      </c>
      <c r="F6">
        <v>0.13519999999999999</v>
      </c>
      <c r="G6">
        <f>F6-D6</f>
        <v>1.2299999999999991E-2</v>
      </c>
      <c r="H6">
        <f>(G6*1000)/(E6/1000)</f>
        <v>4099.9999999999973</v>
      </c>
      <c r="I6">
        <v>0.12379999999999999</v>
      </c>
      <c r="J6">
        <f>I6-D6</f>
        <v>8.9999999999999802E-4</v>
      </c>
      <c r="K6">
        <f>G6-J6</f>
        <v>1.1399999999999993E-2</v>
      </c>
      <c r="L6">
        <f>IF(I6=0,0,(K6*1000)/(E6/1000))</f>
        <v>3799.9999999999977</v>
      </c>
      <c r="M6">
        <v>6370</v>
      </c>
      <c r="O6">
        <f>M6</f>
        <v>6370</v>
      </c>
      <c r="P6">
        <v>163</v>
      </c>
      <c r="Q6" s="1">
        <v>4.2361111111111106E-2</v>
      </c>
      <c r="R6">
        <f>P6*2</f>
        <v>326</v>
      </c>
      <c r="W6" s="1"/>
      <c r="Z6">
        <v>7.17</v>
      </c>
    </row>
    <row r="7" spans="1:26" x14ac:dyDescent="0.2">
      <c r="A7">
        <v>190731</v>
      </c>
      <c r="B7">
        <v>190731</v>
      </c>
      <c r="C7">
        <f>A7-$A$6</f>
        <v>2</v>
      </c>
      <c r="D7">
        <v>0.12180000000000001</v>
      </c>
      <c r="E7">
        <v>3</v>
      </c>
      <c r="F7">
        <v>0.13370000000000001</v>
      </c>
      <c r="G7">
        <f>'[3]T37-2'!E7-'[3]T37-2'!C7</f>
        <v>1.1300000000000004E-2</v>
      </c>
      <c r="H7">
        <f>(G7*1000)/('[3]T37-2'!D7/1000)</f>
        <v>3766.6666666666679</v>
      </c>
      <c r="I7">
        <v>0.1227</v>
      </c>
      <c r="J7">
        <f>I7-D7</f>
        <v>8.9999999999999802E-4</v>
      </c>
      <c r="K7">
        <f t="shared" ref="K7:K21" si="0">G7-J7</f>
        <v>1.0400000000000006E-2</v>
      </c>
      <c r="L7">
        <f>IF(I7=0,0,(K7*1000)/(E7/1000))</f>
        <v>3466.6666666666683</v>
      </c>
      <c r="M7">
        <v>5860</v>
      </c>
      <c r="O7">
        <f t="shared" ref="O7:O21" si="1">M7</f>
        <v>5860</v>
      </c>
      <c r="P7">
        <v>486</v>
      </c>
      <c r="Q7" s="3" t="s">
        <v>33</v>
      </c>
      <c r="R7">
        <f>P7</f>
        <v>486</v>
      </c>
      <c r="Z7">
        <v>6.81</v>
      </c>
    </row>
    <row r="8" spans="1:26" x14ac:dyDescent="0.2">
      <c r="A8">
        <v>190802</v>
      </c>
      <c r="B8">
        <v>190802</v>
      </c>
      <c r="C8">
        <v>4</v>
      </c>
      <c r="D8">
        <v>0.1244</v>
      </c>
      <c r="E8">
        <v>3</v>
      </c>
      <c r="F8">
        <v>0.13370000000000001</v>
      </c>
      <c r="G8">
        <f t="shared" ref="G8:G21" si="2">F8-D8</f>
        <v>9.3000000000000166E-3</v>
      </c>
      <c r="H8">
        <f>(G8*1000)/(E8/1000)</f>
        <v>3100.0000000000055</v>
      </c>
      <c r="I8">
        <v>0.12479999999999999</v>
      </c>
      <c r="J8">
        <f t="shared" ref="J8:J21" si="3">I8-D8</f>
        <v>3.9999999999999758E-4</v>
      </c>
      <c r="K8">
        <f t="shared" si="0"/>
        <v>8.900000000000019E-3</v>
      </c>
      <c r="L8">
        <f t="shared" ref="L8:L21" si="4">IF(I8=0,0,(K8*1000)/(E8/1000))</f>
        <v>2966.6666666666733</v>
      </c>
      <c r="M8">
        <v>4635</v>
      </c>
      <c r="O8">
        <f t="shared" si="1"/>
        <v>4635</v>
      </c>
      <c r="P8">
        <v>328</v>
      </c>
      <c r="Q8" s="1">
        <v>8.4027777777777771E-2</v>
      </c>
      <c r="R8">
        <f>P8/(2/3)</f>
        <v>492</v>
      </c>
    </row>
    <row r="9" spans="1:26" x14ac:dyDescent="0.2">
      <c r="A9">
        <v>190805</v>
      </c>
      <c r="B9">
        <v>190805</v>
      </c>
      <c r="C9">
        <v>7</v>
      </c>
      <c r="D9">
        <v>0.1236</v>
      </c>
      <c r="E9">
        <v>3</v>
      </c>
      <c r="F9">
        <v>0.1323</v>
      </c>
      <c r="G9">
        <f t="shared" si="2"/>
        <v>8.6999999999999994E-3</v>
      </c>
      <c r="H9">
        <f>(G9*1000)/(E9/1000)</f>
        <v>2899.9999999999995</v>
      </c>
      <c r="I9">
        <v>0.12429999999999999</v>
      </c>
      <c r="J9">
        <f t="shared" si="3"/>
        <v>6.999999999999923E-4</v>
      </c>
      <c r="K9">
        <f t="shared" si="0"/>
        <v>8.0000000000000071E-3</v>
      </c>
      <c r="L9">
        <f t="shared" si="4"/>
        <v>2666.6666666666688</v>
      </c>
      <c r="M9">
        <v>4895</v>
      </c>
      <c r="O9">
        <f t="shared" si="1"/>
        <v>4895</v>
      </c>
      <c r="P9">
        <v>637</v>
      </c>
      <c r="Q9" s="3" t="s">
        <v>33</v>
      </c>
      <c r="R9">
        <v>637</v>
      </c>
      <c r="Z9">
        <v>6.37</v>
      </c>
    </row>
    <row r="10" spans="1:26" x14ac:dyDescent="0.2">
      <c r="A10" s="8">
        <v>190809</v>
      </c>
      <c r="B10" s="8">
        <v>190809</v>
      </c>
      <c r="C10" s="8">
        <f>C9+(A10-A9)</f>
        <v>11</v>
      </c>
      <c r="D10" s="8">
        <v>0.12620000000000001</v>
      </c>
      <c r="E10" s="8">
        <v>3</v>
      </c>
      <c r="F10" s="8">
        <v>0.13270000000000001</v>
      </c>
      <c r="G10" s="8">
        <f t="shared" si="2"/>
        <v>6.5000000000000058E-3</v>
      </c>
      <c r="H10" s="8">
        <f t="shared" ref="H10:H21" si="5">(G10*1000)/(E10/1000)</f>
        <v>2166.6666666666683</v>
      </c>
      <c r="I10" s="8">
        <v>0.12540000000000001</v>
      </c>
      <c r="J10" s="8">
        <f t="shared" si="3"/>
        <v>-7.9999999999999516E-4</v>
      </c>
      <c r="K10" s="8">
        <f t="shared" si="0"/>
        <v>7.3000000000000009E-3</v>
      </c>
      <c r="L10" s="8">
        <f>IF(I10=0,0,(K10*1000)/(E10/1000))</f>
        <v>2433.3333333333335</v>
      </c>
      <c r="M10" s="8">
        <v>3965</v>
      </c>
      <c r="N10" s="8"/>
      <c r="O10" s="8">
        <f t="shared" si="1"/>
        <v>3965</v>
      </c>
      <c r="P10" s="8" t="s">
        <v>33</v>
      </c>
      <c r="Q10" s="8"/>
      <c r="R10" s="8" t="s">
        <v>33</v>
      </c>
    </row>
    <row r="11" spans="1:26" x14ac:dyDescent="0.2">
      <c r="A11" s="11">
        <v>190812</v>
      </c>
      <c r="B11" s="11">
        <v>190812</v>
      </c>
      <c r="C11" s="11">
        <f>C10+(A11-A10)</f>
        <v>14</v>
      </c>
      <c r="D11" s="11">
        <v>0.12379999999999999</v>
      </c>
      <c r="E11" s="11">
        <v>3</v>
      </c>
      <c r="F11" s="11">
        <v>0.13239999999999999</v>
      </c>
      <c r="G11" s="11">
        <f t="shared" si="2"/>
        <v>8.5999999999999965E-3</v>
      </c>
      <c r="H11" s="11">
        <f t="shared" si="5"/>
        <v>2866.6666666666652</v>
      </c>
      <c r="I11" s="11">
        <v>0.1268</v>
      </c>
      <c r="J11" s="11">
        <f t="shared" si="3"/>
        <v>3.0000000000000027E-3</v>
      </c>
      <c r="K11" s="11">
        <f t="shared" si="0"/>
        <v>5.5999999999999939E-3</v>
      </c>
      <c r="L11" s="11">
        <f t="shared" si="4"/>
        <v>1866.6666666666647</v>
      </c>
      <c r="M11" s="11">
        <v>4970</v>
      </c>
      <c r="N11" s="11"/>
      <c r="O11" s="11">
        <f t="shared" si="1"/>
        <v>4970</v>
      </c>
      <c r="P11" s="11">
        <v>294</v>
      </c>
      <c r="Q11" s="1">
        <v>8.4027777777777771E-2</v>
      </c>
      <c r="R11">
        <f>P11/(2/3)</f>
        <v>441</v>
      </c>
      <c r="S11" s="11"/>
      <c r="T11" s="11"/>
      <c r="U11" s="11"/>
      <c r="V11" s="11"/>
      <c r="W11" s="11"/>
      <c r="X11" s="11"/>
      <c r="Y11" s="11"/>
      <c r="Z11" s="11">
        <v>6.79</v>
      </c>
    </row>
    <row r="12" spans="1:26" x14ac:dyDescent="0.2">
      <c r="A12">
        <f>A11+2</f>
        <v>190814</v>
      </c>
      <c r="B12" s="5"/>
      <c r="C12" s="11">
        <f>C11+(A12-A11)</f>
        <v>16</v>
      </c>
      <c r="D12">
        <v>0.1242</v>
      </c>
      <c r="E12">
        <v>3</v>
      </c>
      <c r="F12">
        <v>0.1323</v>
      </c>
      <c r="G12">
        <f t="shared" si="2"/>
        <v>8.0999999999999961E-3</v>
      </c>
      <c r="H12">
        <f t="shared" si="5"/>
        <v>2699.9999999999986</v>
      </c>
      <c r="I12">
        <v>0.1249</v>
      </c>
      <c r="J12">
        <f t="shared" si="3"/>
        <v>6.999999999999923E-4</v>
      </c>
      <c r="K12">
        <f t="shared" si="0"/>
        <v>7.4000000000000038E-3</v>
      </c>
      <c r="L12">
        <f t="shared" si="4"/>
        <v>2466.6666666666679</v>
      </c>
      <c r="M12">
        <v>4400</v>
      </c>
      <c r="O12">
        <f t="shared" si="1"/>
        <v>4400</v>
      </c>
      <c r="P12">
        <v>305</v>
      </c>
      <c r="Q12" t="s">
        <v>47</v>
      </c>
      <c r="R12">
        <f>P12/(2.5/3)</f>
        <v>366</v>
      </c>
      <c r="Z12">
        <v>6.57</v>
      </c>
    </row>
    <row r="13" spans="1:26" x14ac:dyDescent="0.2">
      <c r="A13">
        <f>A12+2</f>
        <v>190816</v>
      </c>
      <c r="B13" s="5"/>
      <c r="C13">
        <f>C12+2</f>
        <v>18</v>
      </c>
      <c r="D13">
        <v>0.1246</v>
      </c>
      <c r="E13">
        <v>3</v>
      </c>
      <c r="F13">
        <v>0.13189999999999999</v>
      </c>
      <c r="G13">
        <f t="shared" si="2"/>
        <v>7.2999999999999871E-3</v>
      </c>
      <c r="H13" s="4">
        <f t="shared" si="5"/>
        <v>2433.3333333333289</v>
      </c>
      <c r="I13">
        <v>0.1249</v>
      </c>
      <c r="J13">
        <f t="shared" si="3"/>
        <v>2.9999999999999472E-4</v>
      </c>
      <c r="K13">
        <f t="shared" si="0"/>
        <v>6.9999999999999923E-3</v>
      </c>
      <c r="L13">
        <f t="shared" si="4"/>
        <v>2333.3333333333308</v>
      </c>
      <c r="M13">
        <v>3900</v>
      </c>
      <c r="O13">
        <f t="shared" si="1"/>
        <v>3900</v>
      </c>
      <c r="P13">
        <v>174</v>
      </c>
      <c r="Q13" s="1">
        <v>8.4027777777777771E-2</v>
      </c>
      <c r="R13">
        <f>P13/(2/3)</f>
        <v>261</v>
      </c>
      <c r="T13" s="1"/>
    </row>
    <row r="14" spans="1:26" x14ac:dyDescent="0.2">
      <c r="A14">
        <v>190819</v>
      </c>
      <c r="B14" s="5"/>
      <c r="C14">
        <f>(A14-A13)+C13</f>
        <v>21</v>
      </c>
      <c r="D14">
        <v>0.1235</v>
      </c>
      <c r="E14">
        <v>3</v>
      </c>
      <c r="F14">
        <v>0.1298</v>
      </c>
      <c r="G14">
        <f t="shared" si="2"/>
        <v>6.3E-3</v>
      </c>
      <c r="H14">
        <f t="shared" si="5"/>
        <v>2100</v>
      </c>
      <c r="I14">
        <v>0.12559999999999999</v>
      </c>
      <c r="J14">
        <f t="shared" si="3"/>
        <v>2.0999999999999908E-3</v>
      </c>
      <c r="K14">
        <f t="shared" si="0"/>
        <v>4.2000000000000093E-3</v>
      </c>
      <c r="L14">
        <f t="shared" si="4"/>
        <v>1400.000000000003</v>
      </c>
      <c r="M14">
        <v>3040</v>
      </c>
      <c r="O14">
        <f t="shared" si="1"/>
        <v>3040</v>
      </c>
      <c r="P14" s="8">
        <v>65</v>
      </c>
      <c r="Q14" s="8" t="s">
        <v>33</v>
      </c>
      <c r="R14" s="8">
        <f>P14</f>
        <v>65</v>
      </c>
    </row>
    <row r="15" spans="1:26" x14ac:dyDescent="0.2">
      <c r="A15">
        <f>A14+2</f>
        <v>190821</v>
      </c>
      <c r="B15" s="5"/>
      <c r="C15">
        <f t="shared" ref="C15:C17" si="6">(A15-A14)+C14</f>
        <v>23</v>
      </c>
      <c r="D15">
        <v>0.1236</v>
      </c>
      <c r="E15">
        <v>3</v>
      </c>
      <c r="F15">
        <v>0.13159999999999999</v>
      </c>
      <c r="G15">
        <f t="shared" si="2"/>
        <v>7.9999999999999932E-3</v>
      </c>
      <c r="H15">
        <f t="shared" si="5"/>
        <v>2666.6666666666642</v>
      </c>
      <c r="I15">
        <v>0.1241</v>
      </c>
      <c r="J15">
        <f t="shared" si="3"/>
        <v>5.0000000000000044E-4</v>
      </c>
      <c r="K15">
        <f t="shared" si="0"/>
        <v>7.4999999999999928E-3</v>
      </c>
      <c r="L15">
        <f t="shared" si="4"/>
        <v>2499.9999999999977</v>
      </c>
      <c r="M15">
        <v>3480</v>
      </c>
      <c r="O15">
        <f t="shared" si="1"/>
        <v>3480</v>
      </c>
      <c r="P15">
        <v>78</v>
      </c>
      <c r="R15">
        <f>P15</f>
        <v>78</v>
      </c>
    </row>
    <row r="16" spans="1:26" x14ac:dyDescent="0.2">
      <c r="A16">
        <f>A15+2</f>
        <v>190823</v>
      </c>
      <c r="B16" s="5"/>
      <c r="C16">
        <f t="shared" si="6"/>
        <v>25</v>
      </c>
      <c r="D16">
        <v>0.1244</v>
      </c>
      <c r="E16">
        <v>3</v>
      </c>
      <c r="F16">
        <v>0.13059999999999999</v>
      </c>
      <c r="G16">
        <f t="shared" si="2"/>
        <v>6.1999999999999972E-3</v>
      </c>
      <c r="H16">
        <f t="shared" si="5"/>
        <v>2066.6666666666656</v>
      </c>
      <c r="I16">
        <v>0.1245</v>
      </c>
      <c r="J16">
        <f t="shared" si="3"/>
        <v>1.0000000000000286E-4</v>
      </c>
      <c r="K16">
        <f t="shared" si="0"/>
        <v>6.0999999999999943E-3</v>
      </c>
      <c r="L16">
        <f t="shared" si="4"/>
        <v>2033.3333333333314</v>
      </c>
      <c r="M16">
        <v>2640</v>
      </c>
      <c r="O16">
        <f t="shared" si="1"/>
        <v>2640</v>
      </c>
      <c r="P16">
        <v>97</v>
      </c>
      <c r="R16">
        <f t="shared" ref="R16:R18" si="7">P16</f>
        <v>97</v>
      </c>
    </row>
    <row r="17" spans="1:26" x14ac:dyDescent="0.2">
      <c r="A17">
        <f>A16+5</f>
        <v>190828</v>
      </c>
      <c r="B17" s="5"/>
      <c r="C17">
        <f t="shared" si="6"/>
        <v>30</v>
      </c>
      <c r="E17">
        <v>3</v>
      </c>
      <c r="G17">
        <f t="shared" si="2"/>
        <v>0</v>
      </c>
      <c r="H17">
        <f t="shared" si="5"/>
        <v>0</v>
      </c>
      <c r="J17">
        <f t="shared" si="3"/>
        <v>0</v>
      </c>
      <c r="K17">
        <f t="shared" si="0"/>
        <v>0</v>
      </c>
      <c r="L17">
        <f t="shared" si="4"/>
        <v>0</v>
      </c>
      <c r="M17">
        <v>3305</v>
      </c>
      <c r="O17">
        <f t="shared" si="1"/>
        <v>3305</v>
      </c>
      <c r="P17">
        <v>60</v>
      </c>
      <c r="R17">
        <f t="shared" si="7"/>
        <v>60</v>
      </c>
    </row>
    <row r="18" spans="1:26" x14ac:dyDescent="0.2">
      <c r="A18">
        <v>190910</v>
      </c>
      <c r="B18" s="5"/>
      <c r="C18">
        <f>C17+13</f>
        <v>43</v>
      </c>
      <c r="D18">
        <v>0.124</v>
      </c>
      <c r="E18">
        <v>5</v>
      </c>
      <c r="F18">
        <v>0.1343</v>
      </c>
      <c r="G18">
        <f t="shared" si="2"/>
        <v>1.0300000000000004E-2</v>
      </c>
      <c r="H18">
        <f t="shared" si="5"/>
        <v>2060.0000000000009</v>
      </c>
      <c r="I18">
        <v>0.12520000000000001</v>
      </c>
      <c r="J18">
        <f t="shared" si="3"/>
        <v>1.2000000000000066E-3</v>
      </c>
      <c r="K18">
        <f t="shared" si="0"/>
        <v>9.099999999999997E-3</v>
      </c>
      <c r="L18">
        <f t="shared" si="4"/>
        <v>1819.9999999999995</v>
      </c>
      <c r="M18">
        <v>2480</v>
      </c>
      <c r="O18">
        <f t="shared" si="1"/>
        <v>2480</v>
      </c>
      <c r="P18">
        <v>46</v>
      </c>
      <c r="R18">
        <f t="shared" si="7"/>
        <v>46</v>
      </c>
      <c r="S18">
        <v>63.7</v>
      </c>
      <c r="T18" s="1">
        <v>4.2361111111111106E-2</v>
      </c>
      <c r="U18">
        <f>S18*2</f>
        <v>127.4</v>
      </c>
      <c r="Z18">
        <v>7.11</v>
      </c>
    </row>
    <row r="19" spans="1:26" x14ac:dyDescent="0.2">
      <c r="A19">
        <f>A18+6</f>
        <v>190916</v>
      </c>
      <c r="B19" s="5"/>
      <c r="C19">
        <f>C18+6</f>
        <v>49</v>
      </c>
      <c r="D19">
        <v>0.1221</v>
      </c>
      <c r="E19">
        <v>5</v>
      </c>
      <c r="F19">
        <v>0.1348</v>
      </c>
      <c r="G19">
        <f t="shared" si="2"/>
        <v>1.2700000000000003E-2</v>
      </c>
      <c r="H19">
        <f t="shared" si="5"/>
        <v>2540.0000000000005</v>
      </c>
      <c r="I19">
        <v>0.1239</v>
      </c>
      <c r="J19">
        <f t="shared" si="3"/>
        <v>1.799999999999996E-3</v>
      </c>
      <c r="K19">
        <f t="shared" si="0"/>
        <v>1.0900000000000007E-2</v>
      </c>
      <c r="L19">
        <f t="shared" si="4"/>
        <v>2180.0000000000014</v>
      </c>
      <c r="M19">
        <v>2855</v>
      </c>
      <c r="O19">
        <f t="shared" si="1"/>
        <v>2855</v>
      </c>
      <c r="R19" s="8">
        <v>0</v>
      </c>
    </row>
    <row r="20" spans="1:26" x14ac:dyDescent="0.2">
      <c r="A20">
        <v>190926</v>
      </c>
      <c r="B20" s="5">
        <v>43734</v>
      </c>
      <c r="C20">
        <f>A20-A19+C19</f>
        <v>59</v>
      </c>
      <c r="G20">
        <f t="shared" si="2"/>
        <v>0</v>
      </c>
      <c r="H20" t="e">
        <f t="shared" si="5"/>
        <v>#DIV/0!</v>
      </c>
      <c r="J20">
        <f t="shared" si="3"/>
        <v>0</v>
      </c>
      <c r="K20">
        <f t="shared" si="0"/>
        <v>0</v>
      </c>
      <c r="L20">
        <f t="shared" si="4"/>
        <v>0</v>
      </c>
      <c r="M20">
        <v>2905</v>
      </c>
      <c r="O20">
        <f t="shared" si="1"/>
        <v>2905</v>
      </c>
      <c r="P20" t="s">
        <v>33</v>
      </c>
      <c r="R20" s="8">
        <v>0</v>
      </c>
    </row>
    <row r="21" spans="1:26" x14ac:dyDescent="0.2">
      <c r="A21">
        <v>191007</v>
      </c>
      <c r="B21" s="5">
        <v>43757</v>
      </c>
      <c r="C21">
        <f>C20+B21-B20</f>
        <v>82</v>
      </c>
      <c r="D21">
        <v>0.1237</v>
      </c>
      <c r="E21">
        <v>5</v>
      </c>
      <c r="F21">
        <v>0.13270000000000001</v>
      </c>
      <c r="G21">
        <f t="shared" si="2"/>
        <v>9.000000000000008E-3</v>
      </c>
      <c r="H21">
        <f t="shared" si="5"/>
        <v>1800.0000000000014</v>
      </c>
      <c r="I21">
        <v>0.12529999999999999</v>
      </c>
      <c r="J21">
        <f t="shared" si="3"/>
        <v>1.5999999999999903E-3</v>
      </c>
      <c r="K21">
        <f t="shared" si="0"/>
        <v>7.4000000000000177E-3</v>
      </c>
      <c r="L21">
        <f t="shared" si="4"/>
        <v>1480.0000000000036</v>
      </c>
      <c r="M21">
        <v>2670</v>
      </c>
      <c r="O21">
        <f t="shared" si="1"/>
        <v>2670</v>
      </c>
      <c r="P21">
        <v>107</v>
      </c>
      <c r="R21">
        <f>P21</f>
        <v>107</v>
      </c>
    </row>
    <row r="23" spans="1:26" x14ac:dyDescent="0.2">
      <c r="B23" t="s">
        <v>0</v>
      </c>
      <c r="C23" s="9" t="s">
        <v>1</v>
      </c>
      <c r="D23" s="9"/>
      <c r="E23" s="9"/>
      <c r="F23" s="9"/>
      <c r="G23" s="9"/>
      <c r="H23" s="9" t="s">
        <v>2</v>
      </c>
      <c r="I23" s="9"/>
      <c r="J23" s="9"/>
      <c r="K23" s="9"/>
      <c r="L23" s="9" t="s">
        <v>3</v>
      </c>
      <c r="M23" s="9"/>
      <c r="N23" s="9"/>
      <c r="O23" s="9" t="s">
        <v>4</v>
      </c>
      <c r="P23" s="9"/>
      <c r="Q23" s="9"/>
      <c r="R23" s="9" t="s">
        <v>5</v>
      </c>
      <c r="S23" s="9"/>
      <c r="T23" s="9"/>
      <c r="U23" s="9" t="s">
        <v>23</v>
      </c>
      <c r="V23" s="9"/>
      <c r="W23" s="9"/>
      <c r="X23" s="9" t="s">
        <v>112</v>
      </c>
      <c r="Y23" s="9" t="s">
        <v>25</v>
      </c>
    </row>
    <row r="24" spans="1:26" x14ac:dyDescent="0.2">
      <c r="A24" t="s">
        <v>6</v>
      </c>
      <c r="B24" t="s">
        <v>7</v>
      </c>
      <c r="C24" t="s">
        <v>8</v>
      </c>
      <c r="D24" t="s">
        <v>9</v>
      </c>
      <c r="E24" t="s">
        <v>10</v>
      </c>
      <c r="F24" t="s">
        <v>11</v>
      </c>
      <c r="G24" t="s">
        <v>12</v>
      </c>
      <c r="H24" t="s">
        <v>13</v>
      </c>
      <c r="I24" t="s">
        <v>14</v>
      </c>
      <c r="J24" t="s">
        <v>15</v>
      </c>
      <c r="K24" t="s">
        <v>16</v>
      </c>
      <c r="L24" t="s">
        <v>17</v>
      </c>
      <c r="M24" t="s">
        <v>18</v>
      </c>
      <c r="N24" t="s">
        <v>19</v>
      </c>
      <c r="O24" t="s">
        <v>17</v>
      </c>
      <c r="P24" t="s">
        <v>18</v>
      </c>
      <c r="Q24" t="s">
        <v>20</v>
      </c>
      <c r="R24" t="s">
        <v>21</v>
      </c>
      <c r="S24" t="s">
        <v>18</v>
      </c>
      <c r="T24" t="s">
        <v>19</v>
      </c>
      <c r="U24" t="s">
        <v>21</v>
      </c>
      <c r="V24" t="s">
        <v>18</v>
      </c>
      <c r="W24" t="s">
        <v>19</v>
      </c>
      <c r="X24" s="9"/>
      <c r="Y24" s="9"/>
    </row>
    <row r="25" spans="1:26" x14ac:dyDescent="0.2">
      <c r="A25">
        <v>190729</v>
      </c>
      <c r="B25">
        <v>0</v>
      </c>
      <c r="C25">
        <v>0.12470000000000001</v>
      </c>
      <c r="D25">
        <v>3</v>
      </c>
      <c r="E25">
        <v>0.1381</v>
      </c>
      <c r="F25">
        <f t="shared" ref="F25:F35" si="8">E25-C25</f>
        <v>1.3399999999999995E-2</v>
      </c>
      <c r="G25">
        <f>(F25*1000)/(D25/1000)</f>
        <v>4466.6666666666652</v>
      </c>
      <c r="H25">
        <v>0.12590000000000001</v>
      </c>
      <c r="I25">
        <f>H25-C25</f>
        <v>1.2000000000000066E-3</v>
      </c>
      <c r="J25">
        <f>F25-I25</f>
        <v>1.2199999999999989E-2</v>
      </c>
      <c r="K25">
        <f>IF(H25=0,0,(J25*1000)/(D25/1000))</f>
        <v>4066.6666666666629</v>
      </c>
      <c r="L25">
        <v>6115</v>
      </c>
      <c r="M25" s="3"/>
      <c r="N25">
        <f>L25</f>
        <v>6115</v>
      </c>
      <c r="O25">
        <v>159</v>
      </c>
      <c r="P25" s="1">
        <v>4.2361111111111106E-2</v>
      </c>
      <c r="Q25">
        <f>O25*2</f>
        <v>318</v>
      </c>
      <c r="Y25">
        <v>6.76</v>
      </c>
    </row>
    <row r="26" spans="1:26" x14ac:dyDescent="0.2">
      <c r="A26">
        <v>190731</v>
      </c>
      <c r="B26">
        <v>2</v>
      </c>
      <c r="C26">
        <v>0.12620000000000001</v>
      </c>
      <c r="D26">
        <v>3</v>
      </c>
      <c r="E26">
        <v>0.13750000000000001</v>
      </c>
      <c r="F26">
        <f t="shared" si="8"/>
        <v>1.1300000000000004E-2</v>
      </c>
      <c r="G26">
        <f>(F26*1000)/(D26/1000)</f>
        <v>3766.6666666666679</v>
      </c>
      <c r="H26">
        <v>0.1273</v>
      </c>
      <c r="I26">
        <f>H26-C26</f>
        <v>1.0999999999999899E-3</v>
      </c>
      <c r="J26">
        <f>F26-I26</f>
        <v>1.0200000000000015E-2</v>
      </c>
      <c r="K26">
        <f t="shared" ref="K26:K35" si="9">IF(H26=0,0,(J26*1000)/(D26/1000))</f>
        <v>3400.000000000005</v>
      </c>
      <c r="L26">
        <v>4645</v>
      </c>
      <c r="N26">
        <f t="shared" ref="N26:N40" si="10">L26</f>
        <v>4645</v>
      </c>
      <c r="O26">
        <v>522</v>
      </c>
      <c r="P26" s="1"/>
      <c r="Q26">
        <f>O26</f>
        <v>522</v>
      </c>
      <c r="Y26">
        <v>6.79</v>
      </c>
    </row>
    <row r="27" spans="1:26" x14ac:dyDescent="0.2">
      <c r="A27">
        <v>190802</v>
      </c>
      <c r="B27">
        <v>4</v>
      </c>
      <c r="C27">
        <v>0.1242</v>
      </c>
      <c r="D27">
        <v>3</v>
      </c>
      <c r="E27">
        <v>0.1348</v>
      </c>
      <c r="F27">
        <f t="shared" si="8"/>
        <v>1.0599999999999998E-2</v>
      </c>
      <c r="G27">
        <f t="shared" ref="G27:G35" si="11">(F27*1000)/(D27/1000)</f>
        <v>3533.3333333333326</v>
      </c>
      <c r="H27">
        <v>0.1255</v>
      </c>
      <c r="I27">
        <f t="shared" ref="I27:I35" si="12">H27-C27</f>
        <v>1.2999999999999956E-3</v>
      </c>
      <c r="J27">
        <f t="shared" ref="J27:J35" si="13">F27-I27</f>
        <v>9.3000000000000027E-3</v>
      </c>
      <c r="K27">
        <f t="shared" si="9"/>
        <v>3100.0000000000009</v>
      </c>
      <c r="L27">
        <v>5430</v>
      </c>
      <c r="N27">
        <f t="shared" si="10"/>
        <v>5430</v>
      </c>
      <c r="O27">
        <v>498</v>
      </c>
      <c r="P27" s="1">
        <v>8.4027777777777771E-2</v>
      </c>
      <c r="Q27">
        <f>O27/(2/3)</f>
        <v>747</v>
      </c>
    </row>
    <row r="28" spans="1:26" x14ac:dyDescent="0.2">
      <c r="A28">
        <v>190805</v>
      </c>
      <c r="B28">
        <v>7</v>
      </c>
      <c r="C28">
        <v>0.12479999999999999</v>
      </c>
      <c r="D28">
        <v>3</v>
      </c>
      <c r="E28">
        <v>0.13450000000000001</v>
      </c>
      <c r="F28">
        <f t="shared" si="8"/>
        <v>9.7000000000000142E-3</v>
      </c>
      <c r="G28">
        <f t="shared" si="11"/>
        <v>3233.3333333333376</v>
      </c>
      <c r="H28">
        <v>0.126</v>
      </c>
      <c r="I28">
        <f t="shared" si="12"/>
        <v>1.2000000000000066E-3</v>
      </c>
      <c r="J28">
        <f t="shared" si="13"/>
        <v>8.5000000000000075E-3</v>
      </c>
      <c r="K28">
        <f t="shared" si="9"/>
        <v>2833.3333333333358</v>
      </c>
      <c r="L28">
        <v>5355</v>
      </c>
      <c r="N28">
        <f t="shared" si="10"/>
        <v>5355</v>
      </c>
      <c r="O28">
        <v>527</v>
      </c>
      <c r="P28" s="1">
        <v>8.4027777777777771E-2</v>
      </c>
      <c r="Q28">
        <f>O28/(2/3)</f>
        <v>790.5</v>
      </c>
      <c r="X28">
        <v>261</v>
      </c>
      <c r="Y28">
        <v>6.39</v>
      </c>
    </row>
    <row r="29" spans="1:26" x14ac:dyDescent="0.2">
      <c r="A29">
        <v>190809</v>
      </c>
      <c r="B29">
        <v>11</v>
      </c>
      <c r="C29">
        <v>0.12520000000000001</v>
      </c>
      <c r="D29">
        <v>3</v>
      </c>
      <c r="E29">
        <v>0.13550000000000001</v>
      </c>
      <c r="F29">
        <f t="shared" si="8"/>
        <v>1.0300000000000004E-2</v>
      </c>
      <c r="G29">
        <f t="shared" si="11"/>
        <v>3433.3333333333348</v>
      </c>
      <c r="H29">
        <v>0.12590000000000001</v>
      </c>
      <c r="I29">
        <f t="shared" si="12"/>
        <v>7.0000000000000617E-4</v>
      </c>
      <c r="J29">
        <f t="shared" si="13"/>
        <v>9.5999999999999974E-3</v>
      </c>
      <c r="K29">
        <f t="shared" si="9"/>
        <v>3199.9999999999991</v>
      </c>
      <c r="L29">
        <v>5360</v>
      </c>
      <c r="N29">
        <f t="shared" si="10"/>
        <v>5360</v>
      </c>
      <c r="O29">
        <v>471</v>
      </c>
      <c r="P29" s="1">
        <v>8.4027777777777771E-2</v>
      </c>
      <c r="Q29">
        <f>O29/(2/3)</f>
        <v>706.5</v>
      </c>
    </row>
    <row r="30" spans="1:26" x14ac:dyDescent="0.2">
      <c r="A30">
        <v>190812</v>
      </c>
      <c r="B30">
        <v>14</v>
      </c>
      <c r="C30">
        <v>0.12330000000000001</v>
      </c>
      <c r="D30">
        <v>3</v>
      </c>
      <c r="E30">
        <v>0.13189999999999999</v>
      </c>
      <c r="F30">
        <f t="shared" si="8"/>
        <v>8.5999999999999827E-3</v>
      </c>
      <c r="G30">
        <f t="shared" si="11"/>
        <v>2866.6666666666606</v>
      </c>
      <c r="H30">
        <v>0.12609999999999999</v>
      </c>
      <c r="I30">
        <f t="shared" si="12"/>
        <v>2.7999999999999831E-3</v>
      </c>
      <c r="J30">
        <f t="shared" si="13"/>
        <v>5.7999999999999996E-3</v>
      </c>
      <c r="K30">
        <f t="shared" si="9"/>
        <v>1933.3333333333333</v>
      </c>
      <c r="L30">
        <v>4760</v>
      </c>
      <c r="N30">
        <f t="shared" si="10"/>
        <v>4760</v>
      </c>
      <c r="O30">
        <v>497</v>
      </c>
      <c r="P30" t="s">
        <v>47</v>
      </c>
      <c r="Q30">
        <f>O30/(2.5/3)</f>
        <v>596.4</v>
      </c>
      <c r="Y30">
        <v>6.61</v>
      </c>
    </row>
    <row r="31" spans="1:26" x14ac:dyDescent="0.2">
      <c r="A31">
        <v>190814</v>
      </c>
      <c r="B31">
        <v>16</v>
      </c>
      <c r="C31">
        <v>0.1246</v>
      </c>
      <c r="D31">
        <v>3</v>
      </c>
      <c r="E31">
        <v>0.13320000000000001</v>
      </c>
      <c r="F31">
        <f t="shared" si="8"/>
        <v>8.6000000000000104E-3</v>
      </c>
      <c r="G31">
        <f t="shared" si="11"/>
        <v>2866.6666666666702</v>
      </c>
      <c r="H31">
        <v>0.1255</v>
      </c>
      <c r="I31">
        <f t="shared" si="12"/>
        <v>8.9999999999999802E-4</v>
      </c>
      <c r="J31">
        <f t="shared" si="13"/>
        <v>7.7000000000000124E-3</v>
      </c>
      <c r="K31">
        <f t="shared" si="9"/>
        <v>2566.6666666666706</v>
      </c>
      <c r="L31">
        <v>4970</v>
      </c>
      <c r="N31">
        <f t="shared" si="10"/>
        <v>4970</v>
      </c>
      <c r="O31">
        <v>562</v>
      </c>
      <c r="P31" s="1"/>
      <c r="Q31">
        <f>O31</f>
        <v>562</v>
      </c>
    </row>
    <row r="32" spans="1:26" x14ac:dyDescent="0.2">
      <c r="A32">
        <v>190816</v>
      </c>
      <c r="B32">
        <v>18</v>
      </c>
      <c r="C32">
        <v>0.1231</v>
      </c>
      <c r="D32">
        <v>3</v>
      </c>
      <c r="E32">
        <v>0.13070000000000001</v>
      </c>
      <c r="F32">
        <f t="shared" si="8"/>
        <v>7.6000000000000095E-3</v>
      </c>
      <c r="G32">
        <f t="shared" si="11"/>
        <v>2533.3333333333362</v>
      </c>
      <c r="H32">
        <v>0.1255</v>
      </c>
      <c r="I32">
        <f t="shared" si="12"/>
        <v>2.3999999999999994E-3</v>
      </c>
      <c r="J32">
        <f t="shared" si="13"/>
        <v>5.2000000000000102E-3</v>
      </c>
      <c r="K32">
        <f t="shared" si="9"/>
        <v>1733.3333333333367</v>
      </c>
      <c r="L32">
        <v>3690</v>
      </c>
      <c r="N32">
        <f t="shared" si="10"/>
        <v>3690</v>
      </c>
      <c r="O32">
        <v>342</v>
      </c>
      <c r="P32" s="1">
        <v>8.4027777777777771E-2</v>
      </c>
      <c r="Q32">
        <f>O32/(2/3)</f>
        <v>513</v>
      </c>
    </row>
    <row r="33" spans="1:25" x14ac:dyDescent="0.2">
      <c r="A33">
        <v>190819</v>
      </c>
      <c r="B33">
        <v>21</v>
      </c>
      <c r="C33">
        <v>0.12280000000000001</v>
      </c>
      <c r="D33">
        <v>3</v>
      </c>
      <c r="E33">
        <v>0.13020000000000001</v>
      </c>
      <c r="F33">
        <f t="shared" si="8"/>
        <v>7.4000000000000038E-3</v>
      </c>
      <c r="G33">
        <f t="shared" si="11"/>
        <v>2466.6666666666679</v>
      </c>
      <c r="H33">
        <v>0.12429999999999999</v>
      </c>
      <c r="I33">
        <f t="shared" si="12"/>
        <v>1.4999999999999875E-3</v>
      </c>
      <c r="J33">
        <f t="shared" si="13"/>
        <v>5.9000000000000163E-3</v>
      </c>
      <c r="K33">
        <f t="shared" si="9"/>
        <v>1966.666666666672</v>
      </c>
      <c r="L33">
        <v>4370</v>
      </c>
      <c r="N33">
        <f t="shared" si="10"/>
        <v>4370</v>
      </c>
      <c r="O33">
        <v>182</v>
      </c>
      <c r="P33" s="1">
        <v>8.4027777777777771E-2</v>
      </c>
      <c r="Q33">
        <f>O33/(2/3)</f>
        <v>273</v>
      </c>
    </row>
    <row r="34" spans="1:25" x14ac:dyDescent="0.2">
      <c r="A34">
        <v>190821</v>
      </c>
      <c r="B34">
        <v>23</v>
      </c>
      <c r="C34">
        <v>0.1221</v>
      </c>
      <c r="D34">
        <v>3</v>
      </c>
      <c r="E34">
        <v>0.1305</v>
      </c>
      <c r="F34">
        <f t="shared" si="8"/>
        <v>8.4000000000000047E-3</v>
      </c>
      <c r="G34">
        <f t="shared" si="11"/>
        <v>2800.0000000000014</v>
      </c>
      <c r="H34">
        <v>0.12330000000000001</v>
      </c>
      <c r="I34">
        <f t="shared" si="12"/>
        <v>1.2000000000000066E-3</v>
      </c>
      <c r="J34">
        <f t="shared" si="13"/>
        <v>7.1999999999999981E-3</v>
      </c>
      <c r="K34">
        <f t="shared" si="9"/>
        <v>2399.9999999999995</v>
      </c>
      <c r="L34">
        <v>4635</v>
      </c>
      <c r="N34">
        <f t="shared" si="10"/>
        <v>4635</v>
      </c>
      <c r="O34">
        <v>99</v>
      </c>
      <c r="P34" s="1">
        <v>8.4027777777777771E-2</v>
      </c>
      <c r="Q34">
        <f>O34/(2/3)</f>
        <v>148.5</v>
      </c>
    </row>
    <row r="35" spans="1:25" x14ac:dyDescent="0.2">
      <c r="A35">
        <v>190823</v>
      </c>
      <c r="B35">
        <v>25</v>
      </c>
      <c r="C35">
        <v>0.1225</v>
      </c>
      <c r="D35">
        <v>3</v>
      </c>
      <c r="E35">
        <v>0.1303</v>
      </c>
      <c r="F35">
        <f t="shared" si="8"/>
        <v>7.8000000000000014E-3</v>
      </c>
      <c r="G35">
        <f t="shared" si="11"/>
        <v>2600.0000000000005</v>
      </c>
      <c r="H35">
        <v>0.1232</v>
      </c>
      <c r="I35">
        <f t="shared" si="12"/>
        <v>7.0000000000000617E-4</v>
      </c>
      <c r="J35">
        <f t="shared" si="13"/>
        <v>7.0999999999999952E-3</v>
      </c>
      <c r="K35">
        <f t="shared" si="9"/>
        <v>2366.6666666666652</v>
      </c>
      <c r="L35">
        <v>4180</v>
      </c>
      <c r="N35">
        <f t="shared" si="10"/>
        <v>4180</v>
      </c>
      <c r="O35">
        <v>108</v>
      </c>
      <c r="Q35">
        <f>O35</f>
        <v>108</v>
      </c>
    </row>
    <row r="36" spans="1:25" x14ac:dyDescent="0.2">
      <c r="A36">
        <v>190828</v>
      </c>
      <c r="B36">
        <v>30</v>
      </c>
      <c r="D36">
        <v>3</v>
      </c>
      <c r="L36">
        <v>3900</v>
      </c>
      <c r="N36">
        <f t="shared" si="10"/>
        <v>3900</v>
      </c>
      <c r="O36">
        <v>64</v>
      </c>
      <c r="Q36">
        <f>O36</f>
        <v>64</v>
      </c>
    </row>
    <row r="37" spans="1:25" x14ac:dyDescent="0.2">
      <c r="A37">
        <v>190910</v>
      </c>
      <c r="B37">
        <v>43</v>
      </c>
      <c r="C37">
        <v>0.1231</v>
      </c>
      <c r="D37">
        <v>5</v>
      </c>
      <c r="E37">
        <v>0.1336</v>
      </c>
      <c r="F37">
        <f t="shared" ref="F37:F40" si="14">E37-C37</f>
        <v>1.0499999999999995E-2</v>
      </c>
      <c r="G37">
        <f t="shared" ref="G37:G40" si="15">(F37*1000)/(D37/1000)</f>
        <v>2099.9999999999991</v>
      </c>
      <c r="H37">
        <v>0.1249</v>
      </c>
      <c r="I37">
        <f t="shared" ref="I37:I38" si="16">H37-C37</f>
        <v>1.799999999999996E-3</v>
      </c>
      <c r="J37">
        <f t="shared" ref="J37:J38" si="17">F37-I37</f>
        <v>8.6999999999999994E-3</v>
      </c>
      <c r="K37">
        <f t="shared" ref="K37:K38" si="18">IF(H37=0,0,(J37*1000)/(D37/1000))</f>
        <v>1739.9999999999998</v>
      </c>
      <c r="L37">
        <v>2990</v>
      </c>
      <c r="N37">
        <f t="shared" si="10"/>
        <v>2990</v>
      </c>
      <c r="O37">
        <v>127</v>
      </c>
      <c r="Q37">
        <f>O37</f>
        <v>127</v>
      </c>
      <c r="R37">
        <v>67.099999999999994</v>
      </c>
      <c r="S37" s="1">
        <v>4.2361111111111106E-2</v>
      </c>
      <c r="T37">
        <f>R37*2</f>
        <v>134.19999999999999</v>
      </c>
      <c r="Y37">
        <v>6.71</v>
      </c>
    </row>
    <row r="38" spans="1:25" x14ac:dyDescent="0.2">
      <c r="A38">
        <v>190916</v>
      </c>
      <c r="B38">
        <v>49</v>
      </c>
      <c r="C38">
        <v>0.12280000000000001</v>
      </c>
      <c r="D38">
        <v>5</v>
      </c>
      <c r="E38">
        <v>0.13739999999999999</v>
      </c>
      <c r="F38">
        <f t="shared" si="14"/>
        <v>1.4599999999999988E-2</v>
      </c>
      <c r="G38">
        <f t="shared" si="15"/>
        <v>2919.9999999999973</v>
      </c>
      <c r="H38">
        <v>0.1242</v>
      </c>
      <c r="I38">
        <f t="shared" si="16"/>
        <v>1.3999999999999985E-3</v>
      </c>
      <c r="J38">
        <f t="shared" si="17"/>
        <v>1.319999999999999E-2</v>
      </c>
      <c r="K38">
        <f t="shared" si="18"/>
        <v>2639.9999999999977</v>
      </c>
      <c r="L38">
        <v>3345</v>
      </c>
      <c r="N38">
        <f t="shared" si="10"/>
        <v>3345</v>
      </c>
      <c r="Q38">
        <v>0</v>
      </c>
    </row>
    <row r="39" spans="1:25" x14ac:dyDescent="0.2">
      <c r="A39">
        <v>190926</v>
      </c>
      <c r="B39">
        <v>59</v>
      </c>
      <c r="L39">
        <v>2880</v>
      </c>
      <c r="N39">
        <f t="shared" si="10"/>
        <v>2880</v>
      </c>
      <c r="Q39">
        <v>0</v>
      </c>
    </row>
    <row r="40" spans="1:25" x14ac:dyDescent="0.2">
      <c r="A40">
        <v>191007</v>
      </c>
      <c r="B40">
        <v>82</v>
      </c>
      <c r="C40">
        <v>0.1215</v>
      </c>
      <c r="D40">
        <v>5</v>
      </c>
      <c r="E40">
        <v>0.13120000000000001</v>
      </c>
      <c r="F40">
        <f t="shared" si="14"/>
        <v>9.7000000000000142E-3</v>
      </c>
      <c r="G40">
        <f t="shared" si="15"/>
        <v>1940.0000000000027</v>
      </c>
      <c r="H40">
        <v>0.1236</v>
      </c>
      <c r="I40">
        <f t="shared" ref="I40" si="19">H40-C40</f>
        <v>2.1000000000000046E-3</v>
      </c>
      <c r="J40">
        <f t="shared" ref="J40" si="20">F40-I40</f>
        <v>7.6000000000000095E-3</v>
      </c>
      <c r="K40">
        <f t="shared" ref="K40" si="21">IF(H40=0,0,(J40*1000)/(D40/1000))</f>
        <v>1520.0000000000018</v>
      </c>
      <c r="L40">
        <v>3020</v>
      </c>
      <c r="N40">
        <f t="shared" si="10"/>
        <v>3020</v>
      </c>
      <c r="O40">
        <v>98</v>
      </c>
      <c r="P40" s="1"/>
      <c r="Q40">
        <f>O40</f>
        <v>98</v>
      </c>
    </row>
    <row r="42" spans="1:25" x14ac:dyDescent="0.2">
      <c r="B42" t="s">
        <v>0</v>
      </c>
      <c r="C42" s="9" t="s">
        <v>1</v>
      </c>
      <c r="D42" s="9"/>
      <c r="E42" s="9"/>
      <c r="F42" s="9"/>
      <c r="G42" s="9"/>
      <c r="H42" s="9" t="s">
        <v>2</v>
      </c>
      <c r="I42" s="9"/>
      <c r="J42" s="9"/>
      <c r="K42" s="9"/>
      <c r="L42" s="9" t="s">
        <v>3</v>
      </c>
      <c r="M42" s="9"/>
      <c r="N42" s="9"/>
      <c r="O42" s="9" t="s">
        <v>4</v>
      </c>
      <c r="P42" s="9"/>
      <c r="Q42" s="9"/>
      <c r="R42" s="9" t="s">
        <v>5</v>
      </c>
      <c r="S42" s="9"/>
      <c r="T42" s="9"/>
      <c r="U42" s="9" t="s">
        <v>23</v>
      </c>
      <c r="V42" s="9"/>
      <c r="W42" s="9"/>
      <c r="X42" s="9" t="s">
        <v>112</v>
      </c>
      <c r="Y42" s="9" t="s">
        <v>25</v>
      </c>
    </row>
    <row r="43" spans="1:25" x14ac:dyDescent="0.2">
      <c r="A43" t="s">
        <v>6</v>
      </c>
      <c r="B43" t="s">
        <v>7</v>
      </c>
      <c r="C43" t="s">
        <v>8</v>
      </c>
      <c r="D43" t="s">
        <v>9</v>
      </c>
      <c r="E43" t="s">
        <v>10</v>
      </c>
      <c r="F43" t="s">
        <v>11</v>
      </c>
      <c r="G43" t="s">
        <v>12</v>
      </c>
      <c r="H43" t="s">
        <v>13</v>
      </c>
      <c r="I43" t="s">
        <v>14</v>
      </c>
      <c r="J43" t="s">
        <v>15</v>
      </c>
      <c r="K43" t="s">
        <v>16</v>
      </c>
      <c r="L43" t="s">
        <v>17</v>
      </c>
      <c r="M43" t="s">
        <v>18</v>
      </c>
      <c r="N43" t="s">
        <v>19</v>
      </c>
      <c r="O43" t="s">
        <v>17</v>
      </c>
      <c r="P43" t="s">
        <v>18</v>
      </c>
      <c r="Q43" t="s">
        <v>20</v>
      </c>
      <c r="R43" t="s">
        <v>21</v>
      </c>
      <c r="S43" t="s">
        <v>18</v>
      </c>
      <c r="T43" t="s">
        <v>19</v>
      </c>
      <c r="U43" t="s">
        <v>21</v>
      </c>
      <c r="V43" t="s">
        <v>18</v>
      </c>
      <c r="W43" t="s">
        <v>19</v>
      </c>
      <c r="X43" s="9"/>
      <c r="Y43" s="9"/>
    </row>
    <row r="44" spans="1:25" x14ac:dyDescent="0.2">
      <c r="A44">
        <v>190729</v>
      </c>
      <c r="B44">
        <v>0</v>
      </c>
      <c r="C44">
        <v>0.1249</v>
      </c>
      <c r="D44">
        <v>3</v>
      </c>
      <c r="E44">
        <v>0.13789999999999999</v>
      </c>
      <c r="F44">
        <f t="shared" ref="F44:F54" si="22">E44-C44</f>
        <v>1.2999999999999998E-2</v>
      </c>
      <c r="G44">
        <f>(F44*1000)/(D44/1000)</f>
        <v>4333.333333333333</v>
      </c>
      <c r="H44">
        <v>0.12559999999999999</v>
      </c>
      <c r="I44">
        <f>H44-C44</f>
        <v>6.999999999999923E-4</v>
      </c>
      <c r="J44">
        <f>F44-I44</f>
        <v>1.2300000000000005E-2</v>
      </c>
      <c r="K44">
        <f>IF(H44=0,0,(J44*1000)/(D44/1000))</f>
        <v>4100.0000000000018</v>
      </c>
      <c r="L44">
        <v>5070</v>
      </c>
      <c r="M44" s="3"/>
      <c r="N44">
        <f>L44</f>
        <v>5070</v>
      </c>
      <c r="O44">
        <v>193</v>
      </c>
      <c r="P44" s="1">
        <v>4.2361111111111106E-2</v>
      </c>
      <c r="Q44">
        <f>O44*2</f>
        <v>386</v>
      </c>
      <c r="Y44">
        <v>6.98</v>
      </c>
    </row>
    <row r="45" spans="1:25" x14ac:dyDescent="0.2">
      <c r="A45">
        <v>190731</v>
      </c>
      <c r="B45">
        <v>2</v>
      </c>
      <c r="C45">
        <v>0.1234</v>
      </c>
      <c r="D45">
        <v>3</v>
      </c>
      <c r="E45">
        <v>0.1331</v>
      </c>
      <c r="F45">
        <f t="shared" si="22"/>
        <v>9.7000000000000003E-3</v>
      </c>
      <c r="G45">
        <f t="shared" ref="G45:G54" si="23">(F45*1000)/(D45/1000)</f>
        <v>3233.3333333333335</v>
      </c>
      <c r="H45">
        <v>0.12379999999999999</v>
      </c>
      <c r="I45">
        <f t="shared" ref="I45:I54" si="24">H45-C45</f>
        <v>3.9999999999999758E-4</v>
      </c>
      <c r="J45">
        <f t="shared" ref="J45:J54" si="25">F45-I45</f>
        <v>9.3000000000000027E-3</v>
      </c>
      <c r="K45">
        <f t="shared" ref="K45:K54" si="26">IF(H45=0,0,(J45*1000)/(D45/1000))</f>
        <v>3100.0000000000009</v>
      </c>
      <c r="L45">
        <v>5330</v>
      </c>
      <c r="N45">
        <f t="shared" ref="N45:N59" si="27">L45</f>
        <v>5330</v>
      </c>
      <c r="O45">
        <v>449</v>
      </c>
      <c r="P45" s="1"/>
      <c r="Q45">
        <f>O45</f>
        <v>449</v>
      </c>
      <c r="Y45">
        <v>6.76</v>
      </c>
    </row>
    <row r="46" spans="1:25" x14ac:dyDescent="0.2">
      <c r="A46">
        <v>190802</v>
      </c>
      <c r="B46">
        <v>4</v>
      </c>
      <c r="C46">
        <v>0.12620000000000001</v>
      </c>
      <c r="D46">
        <v>3</v>
      </c>
      <c r="E46">
        <v>0.13439999999999999</v>
      </c>
      <c r="F46">
        <f t="shared" si="22"/>
        <v>8.1999999999999851E-3</v>
      </c>
      <c r="G46">
        <f t="shared" si="23"/>
        <v>2733.3333333333285</v>
      </c>
      <c r="H46">
        <v>0.1249</v>
      </c>
      <c r="I46">
        <f t="shared" si="24"/>
        <v>-1.3000000000000095E-3</v>
      </c>
      <c r="J46">
        <f t="shared" si="25"/>
        <v>9.4999999999999946E-3</v>
      </c>
      <c r="K46">
        <f t="shared" si="26"/>
        <v>3166.6666666666647</v>
      </c>
      <c r="L46">
        <v>5805</v>
      </c>
      <c r="N46">
        <f t="shared" si="27"/>
        <v>5805</v>
      </c>
      <c r="O46">
        <v>455</v>
      </c>
      <c r="P46" s="1">
        <v>8.4027777777777771E-2</v>
      </c>
      <c r="Q46">
        <f>O46/(2/3)</f>
        <v>682.5</v>
      </c>
    </row>
    <row r="47" spans="1:25" x14ac:dyDescent="0.2">
      <c r="A47">
        <v>190805</v>
      </c>
      <c r="B47">
        <v>7</v>
      </c>
      <c r="C47">
        <v>0.1249</v>
      </c>
      <c r="D47">
        <v>3</v>
      </c>
      <c r="E47">
        <v>0.13539999999999999</v>
      </c>
      <c r="F47">
        <f t="shared" si="22"/>
        <v>1.0499999999999995E-2</v>
      </c>
      <c r="G47">
        <f t="shared" si="23"/>
        <v>3499.9999999999982</v>
      </c>
      <c r="H47">
        <v>0.12540000000000001</v>
      </c>
      <c r="I47">
        <f t="shared" si="24"/>
        <v>5.0000000000001432E-4</v>
      </c>
      <c r="J47">
        <f t="shared" si="25"/>
        <v>9.9999999999999811E-3</v>
      </c>
      <c r="K47">
        <f t="shared" si="26"/>
        <v>3333.3333333333267</v>
      </c>
      <c r="L47">
        <v>5135</v>
      </c>
      <c r="N47">
        <f t="shared" si="27"/>
        <v>5135</v>
      </c>
      <c r="O47">
        <v>478</v>
      </c>
      <c r="P47" s="1">
        <v>0.125694444444444</v>
      </c>
      <c r="Q47">
        <f>O47/(2/3)</f>
        <v>717</v>
      </c>
      <c r="X47">
        <v>184</v>
      </c>
      <c r="Y47">
        <v>6.36</v>
      </c>
    </row>
    <row r="48" spans="1:25" x14ac:dyDescent="0.2">
      <c r="A48">
        <v>190809</v>
      </c>
      <c r="B48">
        <v>11</v>
      </c>
      <c r="C48">
        <v>0.12520000000000001</v>
      </c>
      <c r="D48">
        <v>3</v>
      </c>
      <c r="E48">
        <v>0.13439999999999999</v>
      </c>
      <c r="F48">
        <f t="shared" si="22"/>
        <v>9.199999999999986E-3</v>
      </c>
      <c r="G48">
        <f t="shared" si="23"/>
        <v>3066.6666666666615</v>
      </c>
      <c r="H48">
        <v>0.12479999999999999</v>
      </c>
      <c r="I48">
        <f t="shared" si="24"/>
        <v>-4.0000000000001146E-4</v>
      </c>
      <c r="J48">
        <f t="shared" si="25"/>
        <v>9.5999999999999974E-3</v>
      </c>
      <c r="K48">
        <f t="shared" si="26"/>
        <v>3199.9999999999991</v>
      </c>
      <c r="L48">
        <v>4105</v>
      </c>
      <c r="N48">
        <f t="shared" si="27"/>
        <v>4105</v>
      </c>
      <c r="O48">
        <v>499</v>
      </c>
      <c r="P48" s="1">
        <v>8.4027777777777771E-2</v>
      </c>
      <c r="Q48">
        <f>O48/(2/3)</f>
        <v>748.5</v>
      </c>
    </row>
    <row r="49" spans="1:25" x14ac:dyDescent="0.2">
      <c r="A49">
        <v>190812</v>
      </c>
      <c r="B49">
        <v>14</v>
      </c>
      <c r="C49">
        <v>0.12379999999999999</v>
      </c>
      <c r="D49">
        <v>3</v>
      </c>
      <c r="E49">
        <v>0.1321</v>
      </c>
      <c r="F49">
        <f t="shared" si="22"/>
        <v>8.3000000000000018E-3</v>
      </c>
      <c r="G49">
        <f t="shared" si="23"/>
        <v>2766.6666666666674</v>
      </c>
      <c r="H49">
        <v>0.12659999999999999</v>
      </c>
      <c r="I49">
        <f t="shared" si="24"/>
        <v>2.7999999999999969E-3</v>
      </c>
      <c r="J49">
        <f t="shared" si="25"/>
        <v>5.5000000000000049E-3</v>
      </c>
      <c r="K49">
        <f t="shared" si="26"/>
        <v>1833.3333333333351</v>
      </c>
      <c r="L49">
        <v>4840</v>
      </c>
      <c r="N49">
        <f t="shared" si="27"/>
        <v>4840</v>
      </c>
      <c r="O49">
        <v>514</v>
      </c>
      <c r="P49" t="s">
        <v>47</v>
      </c>
      <c r="Q49">
        <f>O49/(2.5/3)</f>
        <v>616.79999999999995</v>
      </c>
      <c r="Y49">
        <v>6.71</v>
      </c>
    </row>
    <row r="50" spans="1:25" x14ac:dyDescent="0.2">
      <c r="A50">
        <v>190814</v>
      </c>
      <c r="B50">
        <v>16</v>
      </c>
      <c r="C50">
        <v>0.1244</v>
      </c>
      <c r="D50">
        <v>3</v>
      </c>
      <c r="E50">
        <v>0.1348</v>
      </c>
      <c r="F50">
        <f t="shared" si="22"/>
        <v>1.0400000000000006E-2</v>
      </c>
      <c r="G50">
        <f t="shared" si="23"/>
        <v>3466.6666666666683</v>
      </c>
      <c r="H50">
        <v>0.12659999999999999</v>
      </c>
      <c r="I50">
        <f t="shared" si="24"/>
        <v>2.1999999999999936E-3</v>
      </c>
      <c r="J50">
        <f t="shared" si="25"/>
        <v>8.2000000000000128E-3</v>
      </c>
      <c r="K50">
        <f t="shared" si="26"/>
        <v>2733.3333333333376</v>
      </c>
      <c r="L50">
        <v>4570</v>
      </c>
      <c r="N50">
        <f t="shared" si="27"/>
        <v>4570</v>
      </c>
      <c r="O50">
        <v>594</v>
      </c>
      <c r="P50" s="1"/>
      <c r="Q50">
        <f>O50</f>
        <v>594</v>
      </c>
    </row>
    <row r="51" spans="1:25" x14ac:dyDescent="0.2">
      <c r="A51">
        <v>190816</v>
      </c>
      <c r="B51">
        <v>18</v>
      </c>
      <c r="C51">
        <v>0.123</v>
      </c>
      <c r="D51">
        <v>3</v>
      </c>
      <c r="E51">
        <v>0.1313</v>
      </c>
      <c r="F51">
        <f t="shared" si="22"/>
        <v>8.3000000000000018E-3</v>
      </c>
      <c r="G51">
        <f t="shared" si="23"/>
        <v>2766.6666666666674</v>
      </c>
      <c r="H51">
        <v>0.126</v>
      </c>
      <c r="I51">
        <f t="shared" si="24"/>
        <v>3.0000000000000027E-3</v>
      </c>
      <c r="J51">
        <f t="shared" si="25"/>
        <v>5.2999999999999992E-3</v>
      </c>
      <c r="K51">
        <f t="shared" si="26"/>
        <v>1766.6666666666663</v>
      </c>
      <c r="L51">
        <v>4600</v>
      </c>
      <c r="N51">
        <f t="shared" si="27"/>
        <v>4600</v>
      </c>
      <c r="O51">
        <v>315</v>
      </c>
      <c r="P51" s="1">
        <v>8.4027777777777771E-2</v>
      </c>
      <c r="Q51">
        <f>O51/(2/3)</f>
        <v>472.5</v>
      </c>
      <c r="S51" s="1"/>
    </row>
    <row r="52" spans="1:25" x14ac:dyDescent="0.2">
      <c r="A52">
        <v>190819</v>
      </c>
      <c r="B52">
        <v>21</v>
      </c>
      <c r="C52">
        <v>0.1232</v>
      </c>
      <c r="D52">
        <v>3</v>
      </c>
      <c r="E52">
        <v>0.13189999999999999</v>
      </c>
      <c r="F52">
        <f t="shared" si="22"/>
        <v>8.6999999999999855E-3</v>
      </c>
      <c r="G52">
        <f t="shared" si="23"/>
        <v>2899.999999999995</v>
      </c>
      <c r="H52">
        <v>0.1244</v>
      </c>
      <c r="I52">
        <f t="shared" si="24"/>
        <v>1.1999999999999927E-3</v>
      </c>
      <c r="J52">
        <f t="shared" si="25"/>
        <v>7.4999999999999928E-3</v>
      </c>
      <c r="K52">
        <f t="shared" si="26"/>
        <v>2499.9999999999977</v>
      </c>
      <c r="L52">
        <v>3800</v>
      </c>
      <c r="N52">
        <f t="shared" si="27"/>
        <v>3800</v>
      </c>
      <c r="O52">
        <v>141</v>
      </c>
      <c r="P52" s="1">
        <v>8.4027777777777771E-2</v>
      </c>
      <c r="Q52">
        <f>O52/(2/3)</f>
        <v>211.5</v>
      </c>
    </row>
    <row r="53" spans="1:25" x14ac:dyDescent="0.2">
      <c r="A53">
        <v>190821</v>
      </c>
      <c r="B53">
        <v>23</v>
      </c>
      <c r="C53">
        <v>0.1226</v>
      </c>
      <c r="D53">
        <v>3</v>
      </c>
      <c r="E53">
        <v>0.13059999999999999</v>
      </c>
      <c r="F53">
        <f t="shared" si="22"/>
        <v>7.9999999999999932E-3</v>
      </c>
      <c r="G53">
        <f t="shared" si="23"/>
        <v>2666.6666666666642</v>
      </c>
      <c r="H53">
        <v>0.1244</v>
      </c>
      <c r="I53">
        <f t="shared" si="24"/>
        <v>1.799999999999996E-3</v>
      </c>
      <c r="J53">
        <f t="shared" si="25"/>
        <v>6.1999999999999972E-3</v>
      </c>
      <c r="K53">
        <f t="shared" si="26"/>
        <v>2066.6666666666656</v>
      </c>
      <c r="L53">
        <v>3700</v>
      </c>
      <c r="N53">
        <f t="shared" si="27"/>
        <v>3700</v>
      </c>
      <c r="O53">
        <v>199</v>
      </c>
      <c r="Q53">
        <f>O53</f>
        <v>199</v>
      </c>
    </row>
    <row r="54" spans="1:25" x14ac:dyDescent="0.2">
      <c r="A54">
        <v>190823</v>
      </c>
      <c r="B54">
        <v>25</v>
      </c>
      <c r="C54">
        <v>0.1227</v>
      </c>
      <c r="D54">
        <v>3</v>
      </c>
      <c r="E54">
        <v>0.13100000000000001</v>
      </c>
      <c r="F54">
        <f t="shared" si="22"/>
        <v>8.3000000000000018E-3</v>
      </c>
      <c r="G54">
        <f t="shared" si="23"/>
        <v>2766.6666666666674</v>
      </c>
      <c r="H54">
        <v>0.12379999999999999</v>
      </c>
      <c r="I54">
        <f t="shared" si="24"/>
        <v>1.0999999999999899E-3</v>
      </c>
      <c r="J54">
        <f t="shared" si="25"/>
        <v>7.2000000000000119E-3</v>
      </c>
      <c r="K54">
        <f t="shared" si="26"/>
        <v>2400.0000000000036</v>
      </c>
      <c r="L54">
        <v>4125</v>
      </c>
      <c r="N54">
        <f t="shared" si="27"/>
        <v>4125</v>
      </c>
      <c r="O54">
        <v>108</v>
      </c>
      <c r="Q54">
        <f>O54</f>
        <v>108</v>
      </c>
    </row>
    <row r="55" spans="1:25" x14ac:dyDescent="0.2">
      <c r="A55">
        <v>190828</v>
      </c>
      <c r="B55">
        <v>30</v>
      </c>
      <c r="L55">
        <v>3520</v>
      </c>
      <c r="N55">
        <f t="shared" si="27"/>
        <v>3520</v>
      </c>
      <c r="O55">
        <v>75</v>
      </c>
      <c r="Q55">
        <f>O55</f>
        <v>75</v>
      </c>
    </row>
    <row r="56" spans="1:25" x14ac:dyDescent="0.2">
      <c r="A56">
        <v>190910</v>
      </c>
      <c r="B56">
        <v>43</v>
      </c>
      <c r="C56">
        <v>0.1231</v>
      </c>
      <c r="D56">
        <v>5</v>
      </c>
      <c r="E56">
        <v>0.13400000000000001</v>
      </c>
      <c r="F56">
        <f t="shared" ref="F56:F57" si="28">E56-C56</f>
        <v>1.0900000000000007E-2</v>
      </c>
      <c r="G56">
        <f t="shared" ref="G56:G57" si="29">(F56*1000)/(D56/1000)</f>
        <v>2180.0000000000014</v>
      </c>
      <c r="H56">
        <v>0.12470000000000001</v>
      </c>
      <c r="I56">
        <f t="shared" ref="I56:I57" si="30">H56-C56</f>
        <v>1.6000000000000042E-3</v>
      </c>
      <c r="J56">
        <f t="shared" ref="J56:J57" si="31">F56-I56</f>
        <v>9.3000000000000027E-3</v>
      </c>
      <c r="K56">
        <f t="shared" ref="K56:K57" si="32">IF(H56=0,0,(J56*1000)/(D56/1000))</f>
        <v>1860.0000000000005</v>
      </c>
      <c r="L56">
        <v>2915</v>
      </c>
      <c r="N56">
        <f t="shared" si="27"/>
        <v>2915</v>
      </c>
      <c r="O56">
        <v>215</v>
      </c>
      <c r="Q56">
        <f>O56</f>
        <v>215</v>
      </c>
      <c r="R56">
        <v>68.2</v>
      </c>
      <c r="S56" s="1">
        <v>4.2361111111111106E-2</v>
      </c>
      <c r="T56">
        <f>R56*2</f>
        <v>136.4</v>
      </c>
      <c r="Y56">
        <v>6.74</v>
      </c>
    </row>
    <row r="57" spans="1:25" x14ac:dyDescent="0.2">
      <c r="A57">
        <v>190916</v>
      </c>
      <c r="B57">
        <v>49</v>
      </c>
      <c r="C57">
        <v>0.12429999999999999</v>
      </c>
      <c r="D57">
        <v>5</v>
      </c>
      <c r="E57">
        <v>0.13320000000000001</v>
      </c>
      <c r="F57">
        <f t="shared" si="28"/>
        <v>8.900000000000019E-3</v>
      </c>
      <c r="G57">
        <f t="shared" si="29"/>
        <v>1780.0000000000039</v>
      </c>
      <c r="H57">
        <v>0.12570000000000001</v>
      </c>
      <c r="I57">
        <f t="shared" si="30"/>
        <v>1.4000000000000123E-3</v>
      </c>
      <c r="J57">
        <f t="shared" si="31"/>
        <v>7.5000000000000067E-3</v>
      </c>
      <c r="K57">
        <f t="shared" si="32"/>
        <v>1500.0000000000014</v>
      </c>
      <c r="L57">
        <v>3245</v>
      </c>
      <c r="N57">
        <f t="shared" si="27"/>
        <v>3245</v>
      </c>
      <c r="Q57">
        <v>0</v>
      </c>
    </row>
    <row r="58" spans="1:25" x14ac:dyDescent="0.2">
      <c r="A58">
        <v>190926</v>
      </c>
      <c r="B58">
        <v>59</v>
      </c>
      <c r="L58">
        <v>3005</v>
      </c>
      <c r="N58">
        <f t="shared" si="27"/>
        <v>3005</v>
      </c>
      <c r="Q58">
        <v>0</v>
      </c>
    </row>
    <row r="59" spans="1:25" x14ac:dyDescent="0.2">
      <c r="A59">
        <v>191007</v>
      </c>
      <c r="B59">
        <v>82</v>
      </c>
      <c r="C59">
        <v>0.1231</v>
      </c>
      <c r="D59">
        <v>5</v>
      </c>
      <c r="E59">
        <v>0.13120000000000001</v>
      </c>
      <c r="F59">
        <f t="shared" ref="F59" si="33">E59-C59</f>
        <v>8.10000000000001E-3</v>
      </c>
      <c r="G59">
        <f t="shared" ref="G59" si="34">(F59*1000)/(D59/1000)</f>
        <v>1620.000000000002</v>
      </c>
      <c r="H59">
        <v>0.1249</v>
      </c>
      <c r="I59">
        <f t="shared" ref="I59" si="35">H59-C59</f>
        <v>1.799999999999996E-3</v>
      </c>
      <c r="J59">
        <f t="shared" ref="J59" si="36">F59-I59</f>
        <v>6.3000000000000139E-3</v>
      </c>
      <c r="K59">
        <f t="shared" ref="K59" si="37">IF(H59=0,0,(J59*1000)/(D59/1000))</f>
        <v>1260.0000000000027</v>
      </c>
      <c r="L59" s="8">
        <v>3210</v>
      </c>
      <c r="N59">
        <f t="shared" si="27"/>
        <v>3210</v>
      </c>
      <c r="O59">
        <v>48</v>
      </c>
      <c r="Q59">
        <f>O59</f>
        <v>48</v>
      </c>
    </row>
  </sheetData>
  <mergeCells count="24">
    <mergeCell ref="X42:X43"/>
    <mergeCell ref="Y42:Y43"/>
    <mergeCell ref="C42:G42"/>
    <mergeCell ref="H42:K42"/>
    <mergeCell ref="L42:N42"/>
    <mergeCell ref="O42:Q42"/>
    <mergeCell ref="R42:T42"/>
    <mergeCell ref="U42:W42"/>
    <mergeCell ref="Y4:Y5"/>
    <mergeCell ref="Z4:Z5"/>
    <mergeCell ref="C23:G23"/>
    <mergeCell ref="H23:K23"/>
    <mergeCell ref="L23:N23"/>
    <mergeCell ref="O23:Q23"/>
    <mergeCell ref="R23:T23"/>
    <mergeCell ref="U23:W23"/>
    <mergeCell ref="X23:X24"/>
    <mergeCell ref="Y23:Y24"/>
    <mergeCell ref="D4:H4"/>
    <mergeCell ref="I4:L4"/>
    <mergeCell ref="M4:O4"/>
    <mergeCell ref="P4:R4"/>
    <mergeCell ref="S4:U4"/>
    <mergeCell ref="V4:X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E5F7-3D34-4968-941F-8E6D00B25FC2}">
  <dimension ref="A1:Z27"/>
  <sheetViews>
    <sheetView workbookViewId="0">
      <selection activeCell="J29" sqref="J29"/>
    </sheetView>
  </sheetViews>
  <sheetFormatPr defaultRowHeight="14.25" x14ac:dyDescent="0.2"/>
  <sheetData>
    <row r="1" spans="1:26" x14ac:dyDescent="0.2">
      <c r="B1" t="s">
        <v>1</v>
      </c>
      <c r="G1" t="s">
        <v>2</v>
      </c>
      <c r="L1" t="s">
        <v>40</v>
      </c>
      <c r="Q1" t="s">
        <v>41</v>
      </c>
      <c r="V1" t="s">
        <v>42</v>
      </c>
    </row>
    <row r="2" spans="1:26" x14ac:dyDescent="0.2">
      <c r="A2" t="s">
        <v>7</v>
      </c>
      <c r="B2" t="s">
        <v>113</v>
      </c>
      <c r="C2" t="s">
        <v>114</v>
      </c>
      <c r="D2" t="s">
        <v>115</v>
      </c>
      <c r="E2" t="s">
        <v>39</v>
      </c>
      <c r="F2" t="s">
        <v>44</v>
      </c>
      <c r="G2" t="s">
        <v>113</v>
      </c>
      <c r="H2" t="s">
        <v>114</v>
      </c>
      <c r="I2" t="s">
        <v>115</v>
      </c>
      <c r="J2" t="s">
        <v>39</v>
      </c>
      <c r="K2" t="s">
        <v>44</v>
      </c>
      <c r="L2" t="s">
        <v>113</v>
      </c>
      <c r="M2" t="s">
        <v>114</v>
      </c>
      <c r="N2" t="s">
        <v>115</v>
      </c>
      <c r="O2" t="s">
        <v>39</v>
      </c>
      <c r="P2" t="s">
        <v>44</v>
      </c>
      <c r="Q2" t="s">
        <v>113</v>
      </c>
      <c r="R2" t="s">
        <v>114</v>
      </c>
      <c r="S2" t="s">
        <v>115</v>
      </c>
      <c r="T2" t="s">
        <v>39</v>
      </c>
      <c r="U2" t="s">
        <v>44</v>
      </c>
      <c r="V2" t="s">
        <v>113</v>
      </c>
      <c r="W2" t="s">
        <v>114</v>
      </c>
      <c r="X2" t="s">
        <v>115</v>
      </c>
      <c r="Y2" t="s">
        <v>39</v>
      </c>
      <c r="Z2" t="s">
        <v>44</v>
      </c>
    </row>
    <row r="3" spans="1:26" x14ac:dyDescent="0.2">
      <c r="A3">
        <v>0</v>
      </c>
      <c r="B3">
        <v>4099.9999999999973</v>
      </c>
      <c r="C3">
        <v>4466.6666666666652</v>
      </c>
      <c r="D3">
        <v>4333.333333333333</v>
      </c>
      <c r="E3">
        <v>4299.9999999999991</v>
      </c>
      <c r="F3">
        <v>185.59214542766816</v>
      </c>
      <c r="G3">
        <v>3799.9999999999977</v>
      </c>
      <c r="H3">
        <v>4066.6666666666629</v>
      </c>
      <c r="I3">
        <v>4100.0000000000018</v>
      </c>
      <c r="J3">
        <v>3988.8888888888873</v>
      </c>
      <c r="K3">
        <v>164.42942874387595</v>
      </c>
      <c r="L3">
        <v>6370</v>
      </c>
      <c r="M3">
        <v>6115</v>
      </c>
      <c r="N3">
        <v>5070</v>
      </c>
      <c r="O3">
        <v>5851.666666666667</v>
      </c>
      <c r="P3">
        <v>688.84565276506851</v>
      </c>
      <c r="Q3">
        <v>326</v>
      </c>
      <c r="R3">
        <v>318</v>
      </c>
      <c r="S3">
        <v>386</v>
      </c>
      <c r="T3">
        <v>343.33333333333331</v>
      </c>
      <c r="U3">
        <v>37.166292972710281</v>
      </c>
      <c r="V3">
        <v>6044</v>
      </c>
      <c r="W3">
        <v>5797</v>
      </c>
      <c r="X3">
        <v>4684</v>
      </c>
      <c r="Y3">
        <v>5508.333333333333</v>
      </c>
      <c r="Z3">
        <v>724.49729698138685</v>
      </c>
    </row>
    <row r="4" spans="1:26" x14ac:dyDescent="0.2">
      <c r="A4">
        <v>2</v>
      </c>
      <c r="B4">
        <v>3766.6666666666679</v>
      </c>
      <c r="C4">
        <v>3766.6666666666679</v>
      </c>
      <c r="D4">
        <v>3233.3333333333335</v>
      </c>
      <c r="E4">
        <v>3588.8888888888901</v>
      </c>
      <c r="F4">
        <v>307.92014356780101</v>
      </c>
      <c r="G4">
        <v>3466.6666666666683</v>
      </c>
      <c r="H4">
        <v>3400.000000000005</v>
      </c>
      <c r="I4">
        <v>3100.0000000000009</v>
      </c>
      <c r="J4">
        <v>3322.2222222222249</v>
      </c>
      <c r="K4">
        <v>195.31550923607827</v>
      </c>
      <c r="L4">
        <v>5860</v>
      </c>
      <c r="M4">
        <v>4645</v>
      </c>
      <c r="N4">
        <v>5330</v>
      </c>
      <c r="O4">
        <v>5278.333333333333</v>
      </c>
      <c r="P4">
        <v>609.14557647029937</v>
      </c>
      <c r="Q4">
        <v>486</v>
      </c>
      <c r="R4">
        <v>522</v>
      </c>
      <c r="S4">
        <v>449</v>
      </c>
      <c r="T4">
        <v>485.66666666666669</v>
      </c>
      <c r="U4">
        <v>36.501141534660711</v>
      </c>
      <c r="V4">
        <v>5374</v>
      </c>
      <c r="W4">
        <v>4123</v>
      </c>
      <c r="X4">
        <v>4881</v>
      </c>
      <c r="Y4">
        <v>4792.666666666667</v>
      </c>
      <c r="Z4">
        <v>630.16056155025751</v>
      </c>
    </row>
    <row r="5" spans="1:26" x14ac:dyDescent="0.2">
      <c r="A5">
        <v>4</v>
      </c>
      <c r="B5">
        <v>3100.0000000000055</v>
      </c>
      <c r="C5">
        <v>3533.3333333333326</v>
      </c>
      <c r="D5">
        <v>2733.3333333333285</v>
      </c>
      <c r="E5">
        <v>3122.2222222222222</v>
      </c>
      <c r="F5">
        <v>400.46269535422789</v>
      </c>
      <c r="G5">
        <v>2966.6666666666733</v>
      </c>
      <c r="H5">
        <v>3100.0000000000009</v>
      </c>
      <c r="I5">
        <v>3166.6666666666647</v>
      </c>
      <c r="J5">
        <v>3077.7777777777796</v>
      </c>
      <c r="K5">
        <v>101.83501544345872</v>
      </c>
      <c r="L5">
        <v>4635</v>
      </c>
      <c r="M5">
        <v>5430</v>
      </c>
      <c r="N5">
        <v>5805</v>
      </c>
      <c r="O5">
        <v>5290</v>
      </c>
      <c r="P5">
        <v>597.43200449925678</v>
      </c>
      <c r="Q5">
        <v>492</v>
      </c>
      <c r="R5">
        <v>747</v>
      </c>
      <c r="S5">
        <v>682.5</v>
      </c>
      <c r="T5">
        <v>640.5</v>
      </c>
      <c r="U5">
        <v>132.5867640452847</v>
      </c>
      <c r="V5">
        <v>4143</v>
      </c>
      <c r="W5">
        <v>4683</v>
      </c>
      <c r="X5">
        <v>5122.5</v>
      </c>
      <c r="Y5">
        <v>4649.5</v>
      </c>
      <c r="Z5">
        <v>490.60855067966355</v>
      </c>
    </row>
    <row r="6" spans="1:26" x14ac:dyDescent="0.2">
      <c r="A6">
        <v>7</v>
      </c>
      <c r="B6">
        <v>2899.9999999999995</v>
      </c>
      <c r="C6">
        <v>3233.3333333333376</v>
      </c>
      <c r="D6">
        <v>3499.9999999999982</v>
      </c>
      <c r="E6">
        <v>3211.1111111111118</v>
      </c>
      <c r="F6">
        <v>300.61665018819247</v>
      </c>
      <c r="G6">
        <v>2666.6666666666688</v>
      </c>
      <c r="H6">
        <v>2833.3333333333358</v>
      </c>
      <c r="I6">
        <v>3333.3333333333267</v>
      </c>
      <c r="J6">
        <v>2944.4444444444439</v>
      </c>
      <c r="K6">
        <v>346.9443332443505</v>
      </c>
      <c r="L6">
        <v>4895</v>
      </c>
      <c r="M6">
        <v>5355</v>
      </c>
      <c r="N6">
        <v>5135</v>
      </c>
      <c r="O6">
        <v>5128.333333333333</v>
      </c>
      <c r="P6">
        <v>230.07245235649864</v>
      </c>
      <c r="Q6">
        <v>637</v>
      </c>
      <c r="R6">
        <v>790.5</v>
      </c>
      <c r="S6">
        <v>717</v>
      </c>
      <c r="T6">
        <v>714.83333333333337</v>
      </c>
      <c r="U6">
        <v>76.77293359858885</v>
      </c>
      <c r="V6">
        <v>4258</v>
      </c>
      <c r="W6">
        <v>4564.5</v>
      </c>
      <c r="X6">
        <v>4418</v>
      </c>
      <c r="Y6">
        <v>4413.5</v>
      </c>
      <c r="Z6">
        <v>153.29954337831538</v>
      </c>
    </row>
    <row r="7" spans="1:26" x14ac:dyDescent="0.2">
      <c r="A7">
        <v>11</v>
      </c>
      <c r="B7">
        <v>2166.6666666666683</v>
      </c>
      <c r="C7">
        <v>3433.3333333333348</v>
      </c>
      <c r="D7">
        <v>3066.6666666666615</v>
      </c>
      <c r="E7">
        <v>2888.8888888888882</v>
      </c>
      <c r="F7">
        <v>651.77819449166259</v>
      </c>
      <c r="G7">
        <v>2433.3333333333335</v>
      </c>
      <c r="H7">
        <v>3199.9999999999991</v>
      </c>
      <c r="I7">
        <v>3199.9999999999991</v>
      </c>
      <c r="J7">
        <v>2944.4444444444439</v>
      </c>
      <c r="K7">
        <v>442.63520637871034</v>
      </c>
      <c r="L7">
        <v>3965</v>
      </c>
      <c r="M7">
        <v>5360</v>
      </c>
      <c r="N7">
        <v>4105</v>
      </c>
      <c r="O7">
        <v>4476.666666666667</v>
      </c>
      <c r="P7">
        <v>768.18509054350443</v>
      </c>
      <c r="R7">
        <v>706.5</v>
      </c>
      <c r="S7">
        <v>748.5</v>
      </c>
      <c r="T7">
        <v>727.5</v>
      </c>
      <c r="U7">
        <v>29.698484809834994</v>
      </c>
      <c r="W7">
        <v>4653.5</v>
      </c>
      <c r="X7">
        <v>3356.5</v>
      </c>
      <c r="Y7">
        <v>4005</v>
      </c>
      <c r="Z7">
        <v>917.11749519895216</v>
      </c>
    </row>
    <row r="8" spans="1:26" x14ac:dyDescent="0.2">
      <c r="A8">
        <v>14</v>
      </c>
      <c r="B8">
        <v>2866.6666666666652</v>
      </c>
      <c r="C8">
        <v>2866.6666666666606</v>
      </c>
      <c r="D8">
        <v>2766.6666666666674</v>
      </c>
      <c r="E8">
        <v>2833.3333333333308</v>
      </c>
      <c r="F8">
        <v>57.735026918959953</v>
      </c>
      <c r="L8">
        <v>4970</v>
      </c>
      <c r="M8">
        <v>4760</v>
      </c>
      <c r="N8">
        <v>4840</v>
      </c>
      <c r="O8">
        <v>4856.666666666667</v>
      </c>
      <c r="P8">
        <v>105.98742063723097</v>
      </c>
      <c r="Q8">
        <v>441</v>
      </c>
      <c r="R8">
        <v>596.4</v>
      </c>
      <c r="S8">
        <v>616.79999999999995</v>
      </c>
      <c r="T8">
        <v>551.4</v>
      </c>
      <c r="U8">
        <v>96.151755054184918</v>
      </c>
      <c r="V8">
        <v>4529</v>
      </c>
      <c r="W8">
        <v>4163.6000000000004</v>
      </c>
      <c r="X8">
        <v>4223.2</v>
      </c>
      <c r="Y8">
        <v>4305.2666666666664</v>
      </c>
      <c r="Z8">
        <v>196.03696930256112</v>
      </c>
    </row>
    <row r="9" spans="1:26" x14ac:dyDescent="0.2">
      <c r="A9">
        <v>16</v>
      </c>
      <c r="B9">
        <v>2699.9999999999986</v>
      </c>
      <c r="C9">
        <v>2866.6666666666702</v>
      </c>
      <c r="D9">
        <v>3466.6666666666683</v>
      </c>
      <c r="E9">
        <v>3011.1111111111127</v>
      </c>
      <c r="F9">
        <v>403.22771803608867</v>
      </c>
      <c r="G9">
        <v>2466.6666666666679</v>
      </c>
      <c r="H9">
        <v>2566.6666666666706</v>
      </c>
      <c r="I9">
        <v>2733.3333333333376</v>
      </c>
      <c r="J9">
        <v>2588.8888888888919</v>
      </c>
      <c r="K9">
        <v>134.71506281091408</v>
      </c>
      <c r="L9">
        <v>4400</v>
      </c>
      <c r="M9">
        <v>4970</v>
      </c>
      <c r="N9">
        <v>4570</v>
      </c>
      <c r="O9">
        <v>4646.666666666667</v>
      </c>
      <c r="P9">
        <v>292.63173671584792</v>
      </c>
      <c r="Q9">
        <v>366</v>
      </c>
      <c r="R9">
        <v>562</v>
      </c>
      <c r="S9">
        <v>594</v>
      </c>
      <c r="T9">
        <v>507.33333333333331</v>
      </c>
      <c r="U9">
        <v>123.4395938640974</v>
      </c>
      <c r="V9">
        <v>4034</v>
      </c>
      <c r="W9">
        <v>4408</v>
      </c>
      <c r="X9">
        <v>3976</v>
      </c>
      <c r="Y9">
        <v>4139.333333333333</v>
      </c>
      <c r="Z9">
        <v>234.4724575154475</v>
      </c>
    </row>
    <row r="10" spans="1:26" x14ac:dyDescent="0.2">
      <c r="A10">
        <v>18</v>
      </c>
      <c r="B10">
        <v>2433.3333333333289</v>
      </c>
      <c r="C10">
        <v>2533.3333333333362</v>
      </c>
      <c r="D10">
        <v>2766.6666666666674</v>
      </c>
      <c r="E10">
        <v>2577.7777777777774</v>
      </c>
      <c r="F10">
        <v>171.05338131489805</v>
      </c>
      <c r="G10">
        <v>2333.3333333333308</v>
      </c>
      <c r="H10">
        <v>1733.3333333333367</v>
      </c>
      <c r="I10">
        <v>1766.6666666666663</v>
      </c>
      <c r="J10">
        <v>1944.4444444444446</v>
      </c>
      <c r="K10">
        <v>337.19979789985268</v>
      </c>
      <c r="L10">
        <v>3900</v>
      </c>
      <c r="M10">
        <v>3690</v>
      </c>
      <c r="N10">
        <v>4600</v>
      </c>
      <c r="O10">
        <v>4063.3333333333335</v>
      </c>
      <c r="P10">
        <v>476.48014998878318</v>
      </c>
      <c r="Q10">
        <v>261</v>
      </c>
      <c r="R10">
        <v>513</v>
      </c>
      <c r="S10">
        <v>472.5</v>
      </c>
      <c r="T10">
        <v>415.5</v>
      </c>
      <c r="U10">
        <v>135.32460973525843</v>
      </c>
      <c r="V10">
        <v>3639</v>
      </c>
      <c r="W10">
        <v>3177</v>
      </c>
      <c r="X10">
        <v>4127.5</v>
      </c>
      <c r="Y10">
        <v>3647.8333333333335</v>
      </c>
      <c r="Z10">
        <v>475.31156448516174</v>
      </c>
    </row>
    <row r="11" spans="1:26" x14ac:dyDescent="0.2">
      <c r="A11">
        <v>21</v>
      </c>
      <c r="B11">
        <v>2100</v>
      </c>
      <c r="C11">
        <v>2466.6666666666679</v>
      </c>
      <c r="D11">
        <v>2899.999999999995</v>
      </c>
      <c r="E11">
        <v>2488.8888888888873</v>
      </c>
      <c r="F11">
        <v>400.46269535422323</v>
      </c>
      <c r="G11">
        <v>1400.000000000003</v>
      </c>
      <c r="H11">
        <v>1966.666666666672</v>
      </c>
      <c r="I11">
        <v>2499.9999999999977</v>
      </c>
      <c r="J11">
        <v>1955.5555555555577</v>
      </c>
      <c r="K11">
        <v>550.08416864384276</v>
      </c>
      <c r="L11">
        <v>3040</v>
      </c>
      <c r="M11">
        <v>4370</v>
      </c>
      <c r="N11">
        <v>3800</v>
      </c>
      <c r="O11">
        <v>3736.6666666666665</v>
      </c>
      <c r="P11">
        <v>667.25807101400585</v>
      </c>
      <c r="Q11">
        <v>65</v>
      </c>
      <c r="R11">
        <v>273</v>
      </c>
      <c r="S11">
        <v>211.5</v>
      </c>
      <c r="T11">
        <v>183.16666666666666</v>
      </c>
      <c r="U11">
        <v>106.85543193180838</v>
      </c>
      <c r="V11">
        <v>2975</v>
      </c>
      <c r="W11">
        <v>4097</v>
      </c>
      <c r="X11">
        <v>3588.5</v>
      </c>
      <c r="Y11">
        <v>3553.5</v>
      </c>
      <c r="Z11">
        <v>561.81825353044553</v>
      </c>
    </row>
    <row r="12" spans="1:26" x14ac:dyDescent="0.2">
      <c r="A12">
        <v>23</v>
      </c>
      <c r="B12">
        <v>2666.6666666666642</v>
      </c>
      <c r="C12">
        <v>2800.0000000000014</v>
      </c>
      <c r="D12">
        <v>2666.6666666666642</v>
      </c>
      <c r="E12">
        <v>2711.1111111111099</v>
      </c>
      <c r="F12">
        <v>76.980035891952298</v>
      </c>
      <c r="G12">
        <v>2499.9999999999977</v>
      </c>
      <c r="H12">
        <v>2399.9999999999995</v>
      </c>
      <c r="I12">
        <v>2066.6666666666656</v>
      </c>
      <c r="J12">
        <v>2322.2222222222208</v>
      </c>
      <c r="K12">
        <v>226.89530951846783</v>
      </c>
      <c r="L12">
        <v>3480</v>
      </c>
      <c r="M12">
        <v>4635</v>
      </c>
      <c r="N12">
        <v>3700</v>
      </c>
      <c r="O12">
        <v>3938.3333333333335</v>
      </c>
      <c r="P12">
        <v>613.27671840151584</v>
      </c>
      <c r="Q12">
        <v>78</v>
      </c>
      <c r="R12">
        <v>148.5</v>
      </c>
      <c r="S12">
        <v>199</v>
      </c>
      <c r="T12">
        <v>141.83333333333334</v>
      </c>
      <c r="U12">
        <v>60.774857740132411</v>
      </c>
      <c r="V12">
        <v>3402</v>
      </c>
      <c r="W12">
        <v>4486.5</v>
      </c>
      <c r="X12">
        <v>3501</v>
      </c>
      <c r="Y12">
        <v>3796.5</v>
      </c>
      <c r="Z12">
        <v>599.60424448130789</v>
      </c>
    </row>
    <row r="13" spans="1:26" x14ac:dyDescent="0.2">
      <c r="A13">
        <v>25</v>
      </c>
      <c r="B13">
        <v>2066.6666666666656</v>
      </c>
      <c r="C13">
        <v>2600.0000000000005</v>
      </c>
      <c r="D13">
        <v>2766.6666666666674</v>
      </c>
      <c r="E13">
        <v>2477.7777777777778</v>
      </c>
      <c r="F13">
        <v>365.65517048675997</v>
      </c>
      <c r="G13">
        <v>2033.3333333333314</v>
      </c>
      <c r="H13">
        <v>2366.6666666666652</v>
      </c>
      <c r="I13">
        <v>2400.0000000000036</v>
      </c>
      <c r="J13">
        <v>2266.6666666666665</v>
      </c>
      <c r="K13">
        <v>202.75875100994259</v>
      </c>
      <c r="L13">
        <v>2640</v>
      </c>
      <c r="M13">
        <v>4180</v>
      </c>
      <c r="N13">
        <v>4125</v>
      </c>
      <c r="O13">
        <v>3648.3333333333335</v>
      </c>
      <c r="P13">
        <v>873.67518754588195</v>
      </c>
      <c r="Q13">
        <v>97</v>
      </c>
      <c r="R13">
        <v>108</v>
      </c>
      <c r="S13">
        <v>108</v>
      </c>
      <c r="T13">
        <v>104.33333333333333</v>
      </c>
      <c r="U13">
        <v>6.3508529610858826</v>
      </c>
      <c r="V13">
        <v>2543</v>
      </c>
      <c r="W13">
        <v>4072</v>
      </c>
      <c r="X13">
        <v>4017</v>
      </c>
      <c r="Y13">
        <v>3544</v>
      </c>
      <c r="Z13">
        <v>867.32750446414411</v>
      </c>
    </row>
    <row r="14" spans="1:26" x14ac:dyDescent="0.2">
      <c r="A14">
        <v>30</v>
      </c>
      <c r="L14">
        <v>3305</v>
      </c>
      <c r="M14">
        <v>3900</v>
      </c>
      <c r="N14">
        <v>3520</v>
      </c>
      <c r="O14">
        <v>3575</v>
      </c>
      <c r="P14">
        <v>301.28889790365656</v>
      </c>
      <c r="Q14">
        <v>60</v>
      </c>
      <c r="R14">
        <v>64</v>
      </c>
      <c r="S14">
        <v>75</v>
      </c>
      <c r="T14">
        <v>66.333333333333329</v>
      </c>
      <c r="U14">
        <v>7.7674534651540288</v>
      </c>
      <c r="V14">
        <v>3245</v>
      </c>
      <c r="W14">
        <v>3836</v>
      </c>
      <c r="X14">
        <v>3445</v>
      </c>
      <c r="Y14">
        <v>3508.6666666666665</v>
      </c>
      <c r="Z14">
        <v>300.59995564426379</v>
      </c>
    </row>
    <row r="15" spans="1:26" x14ac:dyDescent="0.2">
      <c r="A15">
        <v>43</v>
      </c>
      <c r="B15">
        <v>2060.0000000000009</v>
      </c>
      <c r="C15">
        <v>2099.9999999999991</v>
      </c>
      <c r="D15">
        <v>2180.0000000000014</v>
      </c>
      <c r="E15">
        <v>2113.3333333333339</v>
      </c>
      <c r="F15">
        <v>61.101009266078307</v>
      </c>
      <c r="G15">
        <v>1819.9999999999995</v>
      </c>
      <c r="H15">
        <v>1739.9999999999998</v>
      </c>
      <c r="I15">
        <v>1860.0000000000005</v>
      </c>
      <c r="J15">
        <v>1806.6666666666667</v>
      </c>
      <c r="K15">
        <v>61.101009266078137</v>
      </c>
      <c r="L15">
        <v>2480</v>
      </c>
      <c r="M15">
        <v>2990</v>
      </c>
      <c r="N15">
        <v>2915</v>
      </c>
      <c r="O15">
        <v>2795</v>
      </c>
      <c r="P15">
        <v>275.36339626028729</v>
      </c>
      <c r="Q15">
        <v>46</v>
      </c>
      <c r="R15">
        <v>127</v>
      </c>
      <c r="S15">
        <v>215</v>
      </c>
      <c r="T15">
        <v>129.33333333333334</v>
      </c>
      <c r="U15">
        <v>84.524158282312001</v>
      </c>
      <c r="V15">
        <v>2434</v>
      </c>
      <c r="W15">
        <v>2863</v>
      </c>
      <c r="X15">
        <v>2700</v>
      </c>
      <c r="Y15">
        <v>2665.6666666666665</v>
      </c>
      <c r="Z15">
        <v>216.55099476412786</v>
      </c>
    </row>
    <row r="16" spans="1:26" x14ac:dyDescent="0.2">
      <c r="A16">
        <v>49</v>
      </c>
      <c r="B16">
        <v>2540.0000000000005</v>
      </c>
      <c r="C16">
        <v>2919.9999999999973</v>
      </c>
      <c r="D16">
        <v>1780.0000000000039</v>
      </c>
      <c r="E16">
        <v>2413.3333333333339</v>
      </c>
      <c r="F16">
        <v>580.45958802773544</v>
      </c>
      <c r="G16">
        <v>2180.0000000000014</v>
      </c>
      <c r="H16">
        <v>2639.9999999999977</v>
      </c>
      <c r="I16">
        <v>1500.0000000000014</v>
      </c>
      <c r="J16">
        <v>2106.6666666666665</v>
      </c>
      <c r="K16">
        <v>573.52709904008123</v>
      </c>
      <c r="L16">
        <v>2855</v>
      </c>
      <c r="M16">
        <v>3345</v>
      </c>
      <c r="N16">
        <v>3245</v>
      </c>
      <c r="O16">
        <v>3148.3333333333335</v>
      </c>
      <c r="P16">
        <v>258.90796305508513</v>
      </c>
      <c r="Q16">
        <v>0</v>
      </c>
      <c r="R16">
        <v>0</v>
      </c>
      <c r="S16">
        <v>0</v>
      </c>
      <c r="T16">
        <v>0</v>
      </c>
      <c r="U16">
        <v>0</v>
      </c>
      <c r="V16">
        <v>2855</v>
      </c>
      <c r="W16">
        <v>3345</v>
      </c>
      <c r="X16">
        <v>3245</v>
      </c>
      <c r="Y16">
        <v>3148.3333333333335</v>
      </c>
      <c r="Z16">
        <v>258.90796305508513</v>
      </c>
    </row>
    <row r="17" spans="1:26" x14ac:dyDescent="0.2">
      <c r="A17">
        <v>59</v>
      </c>
      <c r="L17">
        <v>2905</v>
      </c>
      <c r="M17">
        <v>2880</v>
      </c>
      <c r="N17">
        <v>3005</v>
      </c>
      <c r="O17">
        <v>2930</v>
      </c>
      <c r="P17">
        <v>66.143782776614771</v>
      </c>
      <c r="Q17">
        <v>0</v>
      </c>
      <c r="R17">
        <v>0</v>
      </c>
      <c r="S17">
        <v>0</v>
      </c>
      <c r="T17">
        <v>0</v>
      </c>
      <c r="U17">
        <v>0</v>
      </c>
      <c r="V17">
        <v>2905</v>
      </c>
      <c r="W17">
        <v>2880</v>
      </c>
      <c r="X17">
        <v>3005</v>
      </c>
      <c r="Y17">
        <v>2930</v>
      </c>
      <c r="Z17">
        <v>66.143782776614771</v>
      </c>
    </row>
    <row r="18" spans="1:26" x14ac:dyDescent="0.2">
      <c r="A18">
        <v>82</v>
      </c>
      <c r="B18">
        <v>1800.0000000000014</v>
      </c>
      <c r="C18">
        <v>1940.0000000000027</v>
      </c>
      <c r="D18">
        <v>1620.000000000002</v>
      </c>
      <c r="E18">
        <v>1786.6666666666688</v>
      </c>
      <c r="F18">
        <v>160.41612554021316</v>
      </c>
      <c r="G18">
        <v>1480.0000000000036</v>
      </c>
      <c r="H18">
        <v>1520.0000000000018</v>
      </c>
      <c r="I18">
        <v>1260.0000000000027</v>
      </c>
      <c r="J18">
        <v>1420.0000000000027</v>
      </c>
      <c r="K18">
        <v>139.99999999999986</v>
      </c>
      <c r="L18">
        <v>2670</v>
      </c>
      <c r="M18">
        <v>3020</v>
      </c>
      <c r="N18">
        <v>3210</v>
      </c>
      <c r="O18">
        <v>2966.6666666666665</v>
      </c>
      <c r="P18">
        <v>273.92213005402346</v>
      </c>
      <c r="Q18">
        <v>107</v>
      </c>
      <c r="R18">
        <v>98</v>
      </c>
      <c r="S18">
        <v>48</v>
      </c>
      <c r="T18">
        <v>84.333333333333329</v>
      </c>
      <c r="U18">
        <v>31.78574103797698</v>
      </c>
      <c r="V18">
        <v>2563</v>
      </c>
      <c r="W18">
        <v>2922</v>
      </c>
      <c r="X18">
        <v>3162</v>
      </c>
      <c r="Y18">
        <v>2882.3333333333335</v>
      </c>
      <c r="Z18">
        <v>301.46365176142439</v>
      </c>
    </row>
    <row r="22" spans="1:26" x14ac:dyDescent="0.2">
      <c r="E22" t="s">
        <v>63</v>
      </c>
      <c r="G22" t="s">
        <v>65</v>
      </c>
    </row>
    <row r="23" spans="1:26" x14ac:dyDescent="0.2">
      <c r="C23" t="s">
        <v>74</v>
      </c>
      <c r="D23" t="s">
        <v>65</v>
      </c>
      <c r="E23" t="s">
        <v>69</v>
      </c>
      <c r="F23" t="s">
        <v>70</v>
      </c>
      <c r="G23" t="s">
        <v>69</v>
      </c>
      <c r="H23" t="s">
        <v>70</v>
      </c>
    </row>
    <row r="24" spans="1:26" x14ac:dyDescent="0.2">
      <c r="B24" t="s">
        <v>75</v>
      </c>
      <c r="C24">
        <v>2.1395108999999999E-2</v>
      </c>
      <c r="D24">
        <v>5408.9440940000004</v>
      </c>
      <c r="E24">
        <v>1.3756574000000001E-2</v>
      </c>
      <c r="F24">
        <v>2.9033643000000001E-2</v>
      </c>
      <c r="G24">
        <v>4769.660715</v>
      </c>
      <c r="H24">
        <v>6048.2274740000003</v>
      </c>
    </row>
    <row r="25" spans="1:26" x14ac:dyDescent="0.2">
      <c r="B25" t="s">
        <v>76</v>
      </c>
      <c r="C25">
        <v>8.789425E-3</v>
      </c>
      <c r="D25">
        <v>4907.9133730000003</v>
      </c>
      <c r="E25">
        <v>2.1550240000000002E-3</v>
      </c>
      <c r="F25">
        <v>1.5423825E-2</v>
      </c>
      <c r="G25">
        <v>4323.1070790000003</v>
      </c>
      <c r="H25">
        <v>5492.7196670000003</v>
      </c>
    </row>
    <row r="26" spans="1:26" x14ac:dyDescent="0.2">
      <c r="B26" t="s">
        <v>77</v>
      </c>
      <c r="C26">
        <v>1.2778349E-2</v>
      </c>
      <c r="D26">
        <v>4940.3996459999998</v>
      </c>
      <c r="E26">
        <v>7.6634069999999997E-3</v>
      </c>
      <c r="F26">
        <v>1.7893292000000002E-2</v>
      </c>
      <c r="G26">
        <v>4510.4296160000004</v>
      </c>
      <c r="H26">
        <v>5370.3696769999997</v>
      </c>
    </row>
    <row r="27" spans="1:26" x14ac:dyDescent="0.2">
      <c r="B27" t="s">
        <v>78</v>
      </c>
      <c r="C27">
        <v>1.4269485E-2</v>
      </c>
      <c r="D27">
        <v>5062.9737770000002</v>
      </c>
      <c r="E27">
        <v>1.0599765000000001E-2</v>
      </c>
      <c r="F27">
        <v>1.7939204E-2</v>
      </c>
      <c r="G27">
        <v>4750.6217809999998</v>
      </c>
      <c r="H27">
        <v>5375.3257720000001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2FE2D-BC36-44BD-AE1B-40B7C689F0DD}">
  <dimension ref="A1:BO92"/>
  <sheetViews>
    <sheetView workbookViewId="0">
      <selection activeCell="J35" sqref="J35"/>
    </sheetView>
  </sheetViews>
  <sheetFormatPr defaultRowHeight="14.25" x14ac:dyDescent="0.2"/>
  <sheetData>
    <row r="1" spans="1:67" x14ac:dyDescent="0.2">
      <c r="BC1" t="s">
        <v>101</v>
      </c>
      <c r="BD1">
        <v>1.1304581551946309E-2</v>
      </c>
    </row>
    <row r="2" spans="1:67" x14ac:dyDescent="0.2">
      <c r="A2" t="s">
        <v>79</v>
      </c>
      <c r="B2">
        <v>11.072720952715581</v>
      </c>
      <c r="V2" t="s">
        <v>101</v>
      </c>
      <c r="W2">
        <v>1.0663163662724486E-2</v>
      </c>
      <c r="AE2" t="s">
        <v>79</v>
      </c>
      <c r="AF2">
        <v>8.091380701166162E-2</v>
      </c>
      <c r="BC2" t="s">
        <v>91</v>
      </c>
      <c r="BD2">
        <v>4685.3459499167311</v>
      </c>
    </row>
    <row r="3" spans="1:67" x14ac:dyDescent="0.2">
      <c r="A3" t="s">
        <v>80</v>
      </c>
      <c r="B3">
        <v>634.91090519690556</v>
      </c>
      <c r="V3" t="s">
        <v>91</v>
      </c>
      <c r="W3">
        <v>4851.7156981740281</v>
      </c>
      <c r="AE3" t="s">
        <v>80</v>
      </c>
      <c r="AF3">
        <v>95.725219523076092</v>
      </c>
      <c r="BC3" t="s">
        <v>116</v>
      </c>
      <c r="BD3">
        <v>0.24751075503202632</v>
      </c>
    </row>
    <row r="4" spans="1:67" x14ac:dyDescent="0.2">
      <c r="A4" t="s">
        <v>81</v>
      </c>
      <c r="B4">
        <v>0.1</v>
      </c>
      <c r="AE4" t="s">
        <v>81</v>
      </c>
      <c r="AF4">
        <v>0.1</v>
      </c>
      <c r="BD4">
        <f>BD3*BD2</f>
        <v>1159.6735136501368</v>
      </c>
    </row>
    <row r="5" spans="1:67" x14ac:dyDescent="0.2">
      <c r="A5" t="s">
        <v>82</v>
      </c>
      <c r="B5">
        <v>0.192</v>
      </c>
      <c r="F5" t="s">
        <v>7</v>
      </c>
      <c r="G5" t="s">
        <v>83</v>
      </c>
      <c r="H5" t="s">
        <v>84</v>
      </c>
      <c r="I5" t="s">
        <v>85</v>
      </c>
      <c r="J5" t="s">
        <v>95</v>
      </c>
      <c r="N5" t="s">
        <v>86</v>
      </c>
      <c r="O5" t="s">
        <v>87</v>
      </c>
      <c r="P5" t="s">
        <v>88</v>
      </c>
      <c r="S5" t="s">
        <v>89</v>
      </c>
      <c r="V5" t="s">
        <v>117</v>
      </c>
      <c r="W5">
        <f>AC24</f>
        <v>4017.9716891949356</v>
      </c>
      <c r="AE5" t="s">
        <v>82</v>
      </c>
      <c r="AF5">
        <v>0.192</v>
      </c>
      <c r="AJ5" t="s">
        <v>7</v>
      </c>
      <c r="AK5" t="s">
        <v>83</v>
      </c>
      <c r="AL5" t="s">
        <v>84</v>
      </c>
      <c r="AM5" t="s">
        <v>85</v>
      </c>
      <c r="AN5" t="s">
        <v>95</v>
      </c>
      <c r="AR5" t="s">
        <v>86</v>
      </c>
      <c r="AS5" t="s">
        <v>87</v>
      </c>
      <c r="AT5" t="s">
        <v>88</v>
      </c>
      <c r="AW5" t="s">
        <v>89</v>
      </c>
      <c r="BC5" t="s">
        <v>117</v>
      </c>
      <c r="BD5">
        <f>BK23</f>
        <v>3874.8128527101258</v>
      </c>
      <c r="BF5" t="s">
        <v>7</v>
      </c>
      <c r="BG5" t="s">
        <v>83</v>
      </c>
    </row>
    <row r="6" spans="1:67" x14ac:dyDescent="0.2">
      <c r="A6" t="s">
        <v>90</v>
      </c>
      <c r="B6">
        <v>6150</v>
      </c>
      <c r="F6">
        <v>0</v>
      </c>
      <c r="G6">
        <v>5508.333333333333</v>
      </c>
      <c r="H6">
        <f>$N$6</f>
        <v>4987.8730980429646</v>
      </c>
      <c r="I6">
        <v>4719.5386254880777</v>
      </c>
      <c r="J6">
        <v>7002.6657435410916</v>
      </c>
      <c r="M6">
        <v>0</v>
      </c>
      <c r="N6">
        <f>B7</f>
        <v>4987.8730980429646</v>
      </c>
      <c r="O6">
        <f>B6</f>
        <v>6150</v>
      </c>
      <c r="R6">
        <f>G6</f>
        <v>5508.333333333333</v>
      </c>
      <c r="S6">
        <f t="shared" ref="S6:S31" si="0">((R6-N6)^2)^0.5</f>
        <v>520.46023529036847</v>
      </c>
      <c r="Y6" t="s">
        <v>7</v>
      </c>
      <c r="Z6" t="s">
        <v>83</v>
      </c>
      <c r="AE6" t="s">
        <v>90</v>
      </c>
      <c r="AF6">
        <v>6150</v>
      </c>
      <c r="AJ6">
        <v>0</v>
      </c>
      <c r="AK6">
        <v>5508.333333333333</v>
      </c>
      <c r="AL6">
        <f>$AR$6</f>
        <v>5508.4441160485576</v>
      </c>
      <c r="AM6">
        <v>4719.5386254880777</v>
      </c>
      <c r="AN6">
        <v>7002.6657435410916</v>
      </c>
      <c r="AQ6">
        <v>0</v>
      </c>
      <c r="AR6">
        <f>AF7</f>
        <v>5508.4441160485576</v>
      </c>
      <c r="AS6">
        <f>AF6</f>
        <v>6150</v>
      </c>
      <c r="AV6">
        <f>AK6</f>
        <v>5508.333333333333</v>
      </c>
      <c r="AW6">
        <f>((AV6-AR6)^2)^0.5</f>
        <v>0.11078271522455907</v>
      </c>
      <c r="BF6">
        <v>0</v>
      </c>
      <c r="BG6">
        <v>5508.333333333333</v>
      </c>
      <c r="BH6">
        <f>$W$3*EXP(-$W$2*BF6)</f>
        <v>4851.7156981740281</v>
      </c>
      <c r="BI6">
        <f>BD2-$BD$1*BP5*(BO6-BO5)</f>
        <v>4685.3459499167311</v>
      </c>
      <c r="BK6">
        <f t="shared" ref="BK6:BK20" si="1">((BI6-BG6)^2)^0.5</f>
        <v>822.98738341660192</v>
      </c>
      <c r="BM6">
        <v>0</v>
      </c>
      <c r="BN6">
        <f>BD2-$BD$1*BN5*(BM6-BM5)</f>
        <v>4685.3459499167311</v>
      </c>
      <c r="BO6">
        <v>4851.7156981740281</v>
      </c>
    </row>
    <row r="7" spans="1:67" x14ac:dyDescent="0.2">
      <c r="A7" t="s">
        <v>91</v>
      </c>
      <c r="B7">
        <v>4987.8730980429646</v>
      </c>
      <c r="F7">
        <v>2</v>
      </c>
      <c r="G7">
        <v>4792.666666666667</v>
      </c>
      <c r="H7">
        <f>$N$8</f>
        <v>4815.6569374408755</v>
      </c>
      <c r="I7">
        <v>4631.063709100581</v>
      </c>
      <c r="J7">
        <v>6439.7754571380783</v>
      </c>
      <c r="M7">
        <v>1</v>
      </c>
      <c r="N7">
        <f>B7-B2*B6*(B7/(B3*B6+B7))</f>
        <v>4900.9965513027082</v>
      </c>
      <c r="O7">
        <f>B6+$B$4*(N7-N6)-$B$5*O6</f>
        <v>4960.5123453259739</v>
      </c>
      <c r="P7">
        <f>N7-$B$2*O7*(N7/($B$3*O7+N7))</f>
        <v>4815.6569374408755</v>
      </c>
      <c r="Y7">
        <v>0</v>
      </c>
      <c r="Z7">
        <v>5508.333333333333</v>
      </c>
      <c r="AA7">
        <f>$W$3*EXP(-$W$2*Y7)</f>
        <v>4851.7156981740281</v>
      </c>
      <c r="AC7">
        <f>((AA7-Z7)^2)^0.5</f>
        <v>656.61763515930488</v>
      </c>
      <c r="AE7" t="s">
        <v>91</v>
      </c>
      <c r="AF7">
        <v>5508.4441160485576</v>
      </c>
      <c r="AJ7">
        <v>2</v>
      </c>
      <c r="AK7">
        <v>4792.666666666667</v>
      </c>
      <c r="AL7">
        <f>$AR$8</f>
        <v>5108.6645069774095</v>
      </c>
      <c r="AM7">
        <v>4631.063709100581</v>
      </c>
      <c r="AN7">
        <v>6439.7754571380783</v>
      </c>
      <c r="AQ7">
        <v>1</v>
      </c>
      <c r="AR7">
        <f>AF7-AF2*AF6*(AF7/(AF3*AF6+AF7))</f>
        <v>5503.8311474542625</v>
      </c>
      <c r="AS7">
        <f>AF6+$B$4*(AR7-AR6)-$B$5*AS6</f>
        <v>4968.7387031405706</v>
      </c>
      <c r="AT7">
        <f>AR7-$AF$2*AS7*(AR7/($AF$3+AR7))</f>
        <v>5108.6645069774095</v>
      </c>
      <c r="BF7">
        <v>2</v>
      </c>
      <c r="BG7">
        <v>4792.666666666667</v>
      </c>
      <c r="BH7">
        <f>$W$3*EXP(-$W$2*BF7)</f>
        <v>4749.3419293968136</v>
      </c>
      <c r="BI7">
        <f>BI6-$BD$1*(BI6-$BD$4)*(BM7-BM6)</f>
        <v>4605.6334467542811</v>
      </c>
      <c r="BK7">
        <f t="shared" si="1"/>
        <v>187.0332199123859</v>
      </c>
      <c r="BM7">
        <v>2</v>
      </c>
      <c r="BN7">
        <f>BN6-$BD$1*BN6*(BM7-BM6)</f>
        <v>4579.4141991369006</v>
      </c>
      <c r="BO7">
        <v>4749.3419293968136</v>
      </c>
    </row>
    <row r="8" spans="1:67" x14ac:dyDescent="0.2">
      <c r="A8" t="s">
        <v>92</v>
      </c>
      <c r="B8">
        <f>$S$92</f>
        <v>3884.2904039258365</v>
      </c>
      <c r="F8">
        <v>4</v>
      </c>
      <c r="G8">
        <v>4649.5</v>
      </c>
      <c r="H8">
        <f>$N$10</f>
        <v>4649.4999490710507</v>
      </c>
      <c r="I8">
        <v>4544.2473893368106</v>
      </c>
      <c r="J8">
        <v>6086.1045435560773</v>
      </c>
      <c r="M8">
        <v>2</v>
      </c>
      <c r="N8">
        <f>P7</f>
        <v>4815.6569374408755</v>
      </c>
      <c r="O8">
        <f>O7+$B$4*(N8-N7)-$B$5*O7</f>
        <v>3999.5600136372036</v>
      </c>
      <c r="P8">
        <f>N8-$B$2*O8*(N8/($B$3*O8+N8))</f>
        <v>4731.8317965361593</v>
      </c>
      <c r="R8">
        <f>G7</f>
        <v>4792.666666666667</v>
      </c>
      <c r="S8">
        <f t="shared" si="0"/>
        <v>22.990270774208511</v>
      </c>
      <c r="Y8">
        <v>2</v>
      </c>
      <c r="Z8">
        <v>4792.666666666667</v>
      </c>
      <c r="AA8">
        <f>$W$3*EXP(-$W$2*Y8)</f>
        <v>4749.3419293968136</v>
      </c>
      <c r="AC8">
        <f t="shared" ref="AC8:AC22" si="2">((AA8-Z8)^2)^0.5</f>
        <v>43.324737269853358</v>
      </c>
      <c r="AE8" t="s">
        <v>92</v>
      </c>
      <c r="AF8">
        <f>AW92</f>
        <v>4647.0545801524095</v>
      </c>
      <c r="AJ8">
        <v>4</v>
      </c>
      <c r="AK8">
        <v>4649.5</v>
      </c>
      <c r="AL8">
        <f>$AR$10</f>
        <v>4540.6302352222183</v>
      </c>
      <c r="AM8">
        <v>4544.2473893368106</v>
      </c>
      <c r="AN8">
        <v>6086.1045435560773</v>
      </c>
      <c r="AQ8">
        <v>2</v>
      </c>
      <c r="AR8">
        <f>AT7</f>
        <v>5108.6645069774095</v>
      </c>
      <c r="AS8">
        <f>AS7+$B$4*(AR8-AR7)-$B$5*AS7</f>
        <v>3975.2242080898955</v>
      </c>
      <c r="AT8">
        <f>AR8-$AF$2*AS8*(AR8/($AF$3+AR8))</f>
        <v>4792.9301550142281</v>
      </c>
      <c r="AV8">
        <f>AK7</f>
        <v>4792.666666666667</v>
      </c>
      <c r="AW8">
        <f t="shared" ref="AW8" si="3">((AV8-AR8)^2)^0.5</f>
        <v>315.9978403107425</v>
      </c>
      <c r="BF8">
        <v>4</v>
      </c>
      <c r="BG8">
        <v>4649.5</v>
      </c>
      <c r="BH8">
        <f t="shared" ref="BH8:BH21" si="4">$W$3*EXP(-$W$2*BF8)</f>
        <v>4649.1283013173725</v>
      </c>
      <c r="BI8">
        <f t="shared" ref="BI8:BI21" si="5">BI7-$BD$1*(BI7-$BD$4)*(BM8-BM7)</f>
        <v>4527.7231765772503</v>
      </c>
      <c r="BK8">
        <f t="shared" si="1"/>
        <v>121.77682342274966</v>
      </c>
      <c r="BM8">
        <v>4</v>
      </c>
      <c r="BN8">
        <f t="shared" ref="BN8:BN21" si="6">BN7-$BD$1*BN7*(BM8-BM7)</f>
        <v>4475.8774765883327</v>
      </c>
      <c r="BO8">
        <v>4649.1283013173725</v>
      </c>
    </row>
    <row r="9" spans="1:67" x14ac:dyDescent="0.2">
      <c r="F9">
        <v>7</v>
      </c>
      <c r="G9">
        <v>4413.5</v>
      </c>
      <c r="H9">
        <f>$N$13</f>
        <v>4411.2754803050993</v>
      </c>
      <c r="I9">
        <v>4417.0649222988532</v>
      </c>
      <c r="J9">
        <v>5782.7755911033864</v>
      </c>
      <c r="M9">
        <v>3</v>
      </c>
      <c r="N9">
        <f t="shared" ref="N9:N72" si="7">P8</f>
        <v>4731.8317965361593</v>
      </c>
      <c r="O9">
        <f>O8+$B$4*(N9-N8)-$B$5*O8</f>
        <v>3223.2619769283892</v>
      </c>
      <c r="P9">
        <f>N9-$B$2*O9*(N9/($B$3*O9+N9))</f>
        <v>4649.4999490710507</v>
      </c>
      <c r="Y9">
        <v>4</v>
      </c>
      <c r="Z9">
        <v>4649.5</v>
      </c>
      <c r="AA9">
        <f t="shared" ref="AA9:AA22" si="8">$W$3*EXP(-$W$2*Y9)</f>
        <v>4649.1283013173725</v>
      </c>
      <c r="AC9">
        <f t="shared" si="2"/>
        <v>0.3716986826275388</v>
      </c>
      <c r="AJ9">
        <v>7</v>
      </c>
      <c r="AK9">
        <v>4413.5</v>
      </c>
      <c r="AL9">
        <f>$AR$13</f>
        <v>4048.97956206453</v>
      </c>
      <c r="AM9">
        <v>4417.0649222988532</v>
      </c>
      <c r="AN9">
        <v>5782.7755911033864</v>
      </c>
      <c r="AQ9">
        <v>3</v>
      </c>
      <c r="AR9">
        <f t="shared" ref="AR9:AR72" si="9">AT8</f>
        <v>4792.9301550142281</v>
      </c>
      <c r="AS9">
        <f>AS8+$B$4*(AR9-AR8)-$B$5*AS8</f>
        <v>3180.4077249403172</v>
      </c>
      <c r="AT9">
        <f>AR9-$AF$2*AS9*(AR9/($AF$3+AR9))</f>
        <v>4540.6302352222183</v>
      </c>
      <c r="BF9">
        <v>7</v>
      </c>
      <c r="BG9">
        <v>4413.5</v>
      </c>
      <c r="BH9">
        <f t="shared" si="4"/>
        <v>4502.7586800521349</v>
      </c>
      <c r="BI9">
        <f t="shared" si="5"/>
        <v>4413.500000320556</v>
      </c>
      <c r="BK9">
        <f t="shared" si="1"/>
        <v>3.2055595511337742E-7</v>
      </c>
      <c r="BM9">
        <v>7</v>
      </c>
      <c r="BN9">
        <f t="shared" si="6"/>
        <v>4324.083710736495</v>
      </c>
      <c r="BO9">
        <v>4502.7586800521349</v>
      </c>
    </row>
    <row r="10" spans="1:67" x14ac:dyDescent="0.2">
      <c r="A10" t="s">
        <v>93</v>
      </c>
      <c r="B10">
        <f>B8/(COUNT(F6:F25))</f>
        <v>242.76815024536478</v>
      </c>
      <c r="F10">
        <v>11</v>
      </c>
      <c r="G10">
        <v>4005</v>
      </c>
      <c r="H10">
        <f>$N$17</f>
        <v>4113.5833328034678</v>
      </c>
      <c r="I10">
        <v>4253.0080447454684</v>
      </c>
      <c r="J10">
        <v>5668.6579131280541</v>
      </c>
      <c r="M10">
        <v>4</v>
      </c>
      <c r="N10">
        <f t="shared" si="7"/>
        <v>4649.4999490710507</v>
      </c>
      <c r="O10">
        <f t="shared" ref="O10:O73" si="10">O9+$B$4*(N10-N9)-$B$5*O9</f>
        <v>2596.1624926116278</v>
      </c>
      <c r="P10">
        <f>N10-$B$2*O10*(N10/($B$3*O10+N10))</f>
        <v>4568.6416664778253</v>
      </c>
      <c r="R10">
        <f>G8</f>
        <v>4649.5</v>
      </c>
      <c r="S10">
        <f t="shared" si="0"/>
        <v>5.0928949349327013E-5</v>
      </c>
      <c r="Y10">
        <v>7</v>
      </c>
      <c r="Z10">
        <v>4413.5</v>
      </c>
      <c r="AA10">
        <f t="shared" si="8"/>
        <v>4502.7586800521349</v>
      </c>
      <c r="AC10">
        <f t="shared" si="2"/>
        <v>89.258680052134878</v>
      </c>
      <c r="AE10" t="s">
        <v>93</v>
      </c>
      <c r="AF10">
        <f>AF8/(COUNT(AJ6:AJ25))</f>
        <v>290.44091125952559</v>
      </c>
      <c r="AJ10">
        <v>11</v>
      </c>
      <c r="AK10">
        <v>4005</v>
      </c>
      <c r="AL10">
        <f>$AR$17</f>
        <v>3745.0448328216876</v>
      </c>
      <c r="AM10">
        <v>4253.0080447454684</v>
      </c>
      <c r="AN10">
        <v>5668.6579131280541</v>
      </c>
      <c r="AQ10">
        <v>4</v>
      </c>
      <c r="AR10">
        <f t="shared" si="9"/>
        <v>4540.6302352222183</v>
      </c>
      <c r="AS10">
        <f>AS9+$B$4*(AR10-AR9)-$B$5*AS9</f>
        <v>2544.5394497725756</v>
      </c>
      <c r="AT10">
        <f>AR10-$AF$2*AS10*(AR10/($AF$3+AR10))</f>
        <v>4338.9927669424187</v>
      </c>
      <c r="AV10">
        <f>AK8</f>
        <v>4649.5</v>
      </c>
      <c r="AW10">
        <f t="shared" ref="AW10" si="11">((AV10-AR10)^2)^0.5</f>
        <v>108.86976477778171</v>
      </c>
      <c r="BF10">
        <v>11</v>
      </c>
      <c r="BG10">
        <v>4005</v>
      </c>
      <c r="BH10">
        <f t="shared" si="4"/>
        <v>4314.7422717517084</v>
      </c>
      <c r="BI10">
        <f t="shared" si="5"/>
        <v>4266.3674128227613</v>
      </c>
      <c r="BK10">
        <f t="shared" si="1"/>
        <v>261.36741282276125</v>
      </c>
      <c r="BM10">
        <v>11</v>
      </c>
      <c r="BN10">
        <f t="shared" si="6"/>
        <v>4128.5558829546417</v>
      </c>
      <c r="BO10">
        <v>4314.7422717517084</v>
      </c>
    </row>
    <row r="11" spans="1:67" x14ac:dyDescent="0.2">
      <c r="F11">
        <v>14</v>
      </c>
      <c r="G11">
        <v>4305.2666666666664</v>
      </c>
      <c r="H11">
        <f>$N$20</f>
        <v>3905.1066744428676</v>
      </c>
      <c r="I11">
        <v>4133.976660861691</v>
      </c>
      <c r="J11">
        <v>5595.5233397380516</v>
      </c>
      <c r="M11">
        <v>5</v>
      </c>
      <c r="N11">
        <f t="shared" si="7"/>
        <v>4568.6416664778253</v>
      </c>
      <c r="O11">
        <f t="shared" si="10"/>
        <v>2089.6134657708726</v>
      </c>
      <c r="P11">
        <f t="shared" ref="P11:P74" si="12">N11-$B$2*O11*(N11/($B$3*O11+N11))</f>
        <v>4489.2388856415628</v>
      </c>
      <c r="Y11">
        <v>11</v>
      </c>
      <c r="Z11">
        <v>4005</v>
      </c>
      <c r="AA11">
        <f t="shared" si="8"/>
        <v>4314.7422717517084</v>
      </c>
      <c r="AC11">
        <f t="shared" si="2"/>
        <v>309.74227175170836</v>
      </c>
      <c r="AJ11">
        <v>14</v>
      </c>
      <c r="AK11">
        <v>4305.2666666666664</v>
      </c>
      <c r="AL11">
        <f>$AR$20</f>
        <v>3642.2434671192655</v>
      </c>
      <c r="AM11">
        <v>4133.976660861691</v>
      </c>
      <c r="AN11">
        <v>5595.5233397380516</v>
      </c>
      <c r="AQ11">
        <v>5</v>
      </c>
      <c r="AR11">
        <f t="shared" si="9"/>
        <v>4338.9927669424187</v>
      </c>
      <c r="AS11">
        <f t="shared" ref="AS11:AS74" si="13">AS10+$B$4*(AR11-AR10)-$B$5*AS10</f>
        <v>2035.8241285882609</v>
      </c>
      <c r="AT11">
        <f>AR11-$AF$2*AS11*(AR11/($AF$3+AR11))</f>
        <v>4177.8221711010974</v>
      </c>
      <c r="BF11">
        <v>14</v>
      </c>
      <c r="BG11">
        <v>4305.2666666666664</v>
      </c>
      <c r="BH11">
        <f t="shared" si="4"/>
        <v>4178.9002060478106</v>
      </c>
      <c r="BI11">
        <f t="shared" si="5"/>
        <v>4161.0077892023683</v>
      </c>
      <c r="BK11">
        <f t="shared" si="1"/>
        <v>144.25887746429817</v>
      </c>
      <c r="BM11">
        <v>14</v>
      </c>
      <c r="BN11">
        <f t="shared" si="6"/>
        <v>3988.5410929427562</v>
      </c>
      <c r="BO11">
        <v>4178.9002060478106</v>
      </c>
    </row>
    <row r="12" spans="1:67" x14ac:dyDescent="0.2">
      <c r="A12" t="s">
        <v>94</v>
      </c>
      <c r="F12">
        <v>16</v>
      </c>
      <c r="G12">
        <v>4139.333333333333</v>
      </c>
      <c r="H12">
        <f>$N$22</f>
        <v>3773.3783630358867</v>
      </c>
      <c r="I12">
        <v>4056.4789924577644</v>
      </c>
      <c r="J12">
        <v>5518.3146976594935</v>
      </c>
      <c r="M12">
        <v>6</v>
      </c>
      <c r="N12">
        <f t="shared" si="7"/>
        <v>4489.2388856415628</v>
      </c>
      <c r="O12">
        <f t="shared" si="10"/>
        <v>1680.4674022592387</v>
      </c>
      <c r="P12">
        <f t="shared" si="12"/>
        <v>4411.2754803050993</v>
      </c>
      <c r="Y12">
        <v>14</v>
      </c>
      <c r="Z12">
        <v>4305.2666666666664</v>
      </c>
      <c r="AA12">
        <f t="shared" si="8"/>
        <v>4178.9002060478106</v>
      </c>
      <c r="AC12">
        <f t="shared" si="2"/>
        <v>126.36646061885585</v>
      </c>
      <c r="AE12" t="s">
        <v>94</v>
      </c>
      <c r="AJ12">
        <v>16</v>
      </c>
      <c r="AK12">
        <v>4139.333333333333</v>
      </c>
      <c r="AL12">
        <f>$AR$22</f>
        <v>3603.4216969030872</v>
      </c>
      <c r="AM12">
        <v>4056.4789924577644</v>
      </c>
      <c r="AN12">
        <v>5518.3146976594935</v>
      </c>
      <c r="AQ12">
        <v>6</v>
      </c>
      <c r="AR12">
        <f t="shared" si="9"/>
        <v>4177.8221711010974</v>
      </c>
      <c r="AS12">
        <f t="shared" si="13"/>
        <v>1628.8288363151826</v>
      </c>
      <c r="AT12">
        <f t="shared" ref="AT12:AT13" si="14">AR12-$AF$2*AS12*(AR12/($AF$3+AR12))</f>
        <v>4048.97956206453</v>
      </c>
      <c r="BF12">
        <v>16</v>
      </c>
      <c r="BG12">
        <v>4139.333333333333</v>
      </c>
      <c r="BH12">
        <f t="shared" si="4"/>
        <v>4090.7232002108849</v>
      </c>
      <c r="BI12">
        <f t="shared" si="5"/>
        <v>4093.1501330371043</v>
      </c>
      <c r="BK12">
        <f t="shared" si="1"/>
        <v>46.183200296228733</v>
      </c>
      <c r="BM12">
        <v>16</v>
      </c>
      <c r="BN12">
        <f t="shared" si="6"/>
        <v>3898.3635168258352</v>
      </c>
      <c r="BO12">
        <v>4090.7232002108849</v>
      </c>
    </row>
    <row r="13" spans="1:67" x14ac:dyDescent="0.2">
      <c r="B13">
        <f>B8+B10*2</f>
        <v>4369.8267044165659</v>
      </c>
      <c r="F13">
        <v>18</v>
      </c>
      <c r="G13">
        <v>3647.8333333333335</v>
      </c>
      <c r="H13">
        <f>$N$24</f>
        <v>3647.9308095693209</v>
      </c>
      <c r="I13">
        <v>3980.4341354992685</v>
      </c>
      <c r="J13">
        <v>5507.514936931897</v>
      </c>
      <c r="M13">
        <v>7</v>
      </c>
      <c r="N13">
        <f t="shared" si="7"/>
        <v>4411.2754803050993</v>
      </c>
      <c r="O13">
        <f t="shared" si="10"/>
        <v>1350.0213204918186</v>
      </c>
      <c r="P13">
        <f t="shared" si="12"/>
        <v>4334.7376071030776</v>
      </c>
      <c r="R13">
        <f>G9</f>
        <v>4413.5</v>
      </c>
      <c r="S13">
        <f t="shared" si="0"/>
        <v>2.224519694900664</v>
      </c>
      <c r="Y13">
        <v>16</v>
      </c>
      <c r="Z13">
        <v>4139.333333333333</v>
      </c>
      <c r="AA13">
        <f t="shared" si="8"/>
        <v>4090.7232002108849</v>
      </c>
      <c r="AC13">
        <f t="shared" si="2"/>
        <v>48.610133122448133</v>
      </c>
      <c r="AF13">
        <f>AF8+AF10*2</f>
        <v>5227.9364026714611</v>
      </c>
      <c r="AJ13">
        <v>18</v>
      </c>
      <c r="AK13">
        <v>3647.8333333333335</v>
      </c>
      <c r="AL13">
        <f>$AR$24</f>
        <v>3578.5747707446776</v>
      </c>
      <c r="AM13">
        <v>3980.4341354992685</v>
      </c>
      <c r="AN13">
        <v>5507.514936931897</v>
      </c>
      <c r="AQ13">
        <v>7</v>
      </c>
      <c r="AR13">
        <f t="shared" si="9"/>
        <v>4048.97956206453</v>
      </c>
      <c r="AS13">
        <f t="shared" si="13"/>
        <v>1303.2094388390108</v>
      </c>
      <c r="AT13">
        <f t="shared" si="14"/>
        <v>3945.9673212170869</v>
      </c>
      <c r="AV13">
        <f>AK9</f>
        <v>4413.5</v>
      </c>
      <c r="AW13">
        <f t="shared" ref="AW13" si="15">((AV13-AR13)^2)^0.5</f>
        <v>364.52043793547</v>
      </c>
      <c r="BF13">
        <v>18</v>
      </c>
      <c r="BG13">
        <v>3647.8333333333335</v>
      </c>
      <c r="BH13">
        <f t="shared" si="4"/>
        <v>4004.4067758607134</v>
      </c>
      <c r="BI13">
        <f t="shared" si="5"/>
        <v>4026.8266816879286</v>
      </c>
      <c r="BK13">
        <f t="shared" si="1"/>
        <v>378.99334835459513</v>
      </c>
      <c r="BM13">
        <v>18</v>
      </c>
      <c r="BN13">
        <f t="shared" si="6"/>
        <v>3810.2247802356555</v>
      </c>
      <c r="BO13">
        <v>4004.4067758607134</v>
      </c>
    </row>
    <row r="14" spans="1:67" x14ac:dyDescent="0.2">
      <c r="F14">
        <v>21</v>
      </c>
      <c r="G14">
        <v>3553.5</v>
      </c>
      <c r="H14">
        <f>$N$27</f>
        <v>3473.9975178267068</v>
      </c>
      <c r="I14">
        <v>3869.0314344881394</v>
      </c>
      <c r="J14">
        <v>5491.8862156161513</v>
      </c>
      <c r="M14">
        <v>8</v>
      </c>
      <c r="N14">
        <f t="shared" si="7"/>
        <v>4334.7376071030776</v>
      </c>
      <c r="O14">
        <f t="shared" si="10"/>
        <v>1083.1634396371874</v>
      </c>
      <c r="P14">
        <f t="shared" si="12"/>
        <v>4259.6141509064364</v>
      </c>
      <c r="Y14">
        <v>18</v>
      </c>
      <c r="Z14">
        <v>3647.8333333333335</v>
      </c>
      <c r="AA14">
        <f t="shared" si="8"/>
        <v>4004.4067758607134</v>
      </c>
      <c r="AC14">
        <f t="shared" si="2"/>
        <v>356.57344252737994</v>
      </c>
      <c r="AJ14">
        <v>21</v>
      </c>
      <c r="AK14">
        <v>3553.5</v>
      </c>
      <c r="AL14">
        <f>$AR$27</f>
        <v>3557.0150008871547</v>
      </c>
      <c r="AM14">
        <v>3869.0314344881394</v>
      </c>
      <c r="AN14">
        <v>5491.8862156161513</v>
      </c>
      <c r="AQ14">
        <v>8</v>
      </c>
      <c r="AR14">
        <f>AT13</f>
        <v>3945.9673212170869</v>
      </c>
      <c r="AS14">
        <f t="shared" si="13"/>
        <v>1042.6920024971764</v>
      </c>
      <c r="AT14">
        <f>AR14-$AF$2*AS14*(AR14/($AF$3+AR14))</f>
        <v>3863.5973547353551</v>
      </c>
      <c r="BF14">
        <v>21</v>
      </c>
      <c r="BG14">
        <v>3553.5</v>
      </c>
      <c r="BH14">
        <f t="shared" si="4"/>
        <v>3878.3350769986714</v>
      </c>
      <c r="BI14">
        <f t="shared" si="5"/>
        <v>3929.5907812579153</v>
      </c>
      <c r="BK14">
        <f t="shared" si="1"/>
        <v>376.0907812579153</v>
      </c>
      <c r="BM14">
        <v>21</v>
      </c>
      <c r="BN14">
        <f t="shared" si="6"/>
        <v>3681.0057899573935</v>
      </c>
      <c r="BO14">
        <v>3878.3350769986714</v>
      </c>
    </row>
    <row r="15" spans="1:67" x14ac:dyDescent="0.2">
      <c r="F15">
        <v>23</v>
      </c>
      <c r="G15">
        <v>3796.5</v>
      </c>
      <c r="H15">
        <f>$N$29</f>
        <v>3372.0242198122228</v>
      </c>
      <c r="I15">
        <v>3796.5005665727331</v>
      </c>
      <c r="J15">
        <v>5478.2074381203884</v>
      </c>
      <c r="M15">
        <v>9</v>
      </c>
      <c r="N15">
        <f t="shared" si="7"/>
        <v>4259.6141509064364</v>
      </c>
      <c r="O15">
        <f t="shared" si="10"/>
        <v>867.68371360718334</v>
      </c>
      <c r="P15">
        <f t="shared" si="12"/>
        <v>4185.8973044555396</v>
      </c>
      <c r="Y15">
        <v>21</v>
      </c>
      <c r="Z15">
        <v>3553.5</v>
      </c>
      <c r="AA15">
        <f t="shared" si="8"/>
        <v>3878.3350769986714</v>
      </c>
      <c r="AC15">
        <f t="shared" si="2"/>
        <v>324.83507699867141</v>
      </c>
      <c r="AJ15">
        <v>23</v>
      </c>
      <c r="AK15">
        <v>3796.5</v>
      </c>
      <c r="AL15">
        <f>$AR$29</f>
        <v>3548.8695862170894</v>
      </c>
      <c r="AM15">
        <v>3796.5005665727331</v>
      </c>
      <c r="AN15">
        <v>5478.2074381203884</v>
      </c>
      <c r="AQ15">
        <v>9</v>
      </c>
      <c r="AR15">
        <f t="shared" si="9"/>
        <v>3863.5973547353551</v>
      </c>
      <c r="AS15">
        <f t="shared" si="13"/>
        <v>834.25814136954546</v>
      </c>
      <c r="AT15">
        <f>AR15-$AF$2*AS15*(AR15/($AF$3+AR15))</f>
        <v>3797.7263841252998</v>
      </c>
      <c r="BF15">
        <v>23</v>
      </c>
      <c r="BG15">
        <v>3796.5</v>
      </c>
      <c r="BH15">
        <f t="shared" si="4"/>
        <v>3796.5001544448514</v>
      </c>
      <c r="BI15">
        <f t="shared" si="5"/>
        <v>3866.9652699702824</v>
      </c>
      <c r="BK15">
        <f t="shared" si="1"/>
        <v>70.465269970282407</v>
      </c>
      <c r="BM15">
        <v>23</v>
      </c>
      <c r="BN15">
        <f t="shared" si="6"/>
        <v>3597.7813296658737</v>
      </c>
      <c r="BO15">
        <v>3796.5001544448514</v>
      </c>
    </row>
    <row r="16" spans="1:67" x14ac:dyDescent="0.2">
      <c r="F16">
        <v>25</v>
      </c>
      <c r="G16">
        <v>3544</v>
      </c>
      <c r="H16">
        <f>$N$31</f>
        <v>3293.2698134359366</v>
      </c>
      <c r="I16">
        <v>3725.3293998873737</v>
      </c>
      <c r="J16">
        <v>5472.9891318001546</v>
      </c>
      <c r="M16">
        <v>10</v>
      </c>
      <c r="N16">
        <f t="shared" si="7"/>
        <v>4185.8973044555396</v>
      </c>
      <c r="O16">
        <f t="shared" si="10"/>
        <v>693.71675594951444</v>
      </c>
      <c r="P16">
        <f t="shared" si="12"/>
        <v>4113.5833328034678</v>
      </c>
      <c r="Y16">
        <v>23</v>
      </c>
      <c r="Z16">
        <v>3796.5</v>
      </c>
      <c r="AA16">
        <f t="shared" si="8"/>
        <v>3796.5001544448514</v>
      </c>
      <c r="AC16">
        <f t="shared" si="2"/>
        <v>1.5444485143234488E-4</v>
      </c>
      <c r="AJ16">
        <v>25</v>
      </c>
      <c r="AK16">
        <v>3544</v>
      </c>
      <c r="AL16">
        <f>$AR$31</f>
        <v>3543.6552310334805</v>
      </c>
      <c r="AM16">
        <v>3725.3293998873737</v>
      </c>
      <c r="AN16">
        <v>5472.9891318001546</v>
      </c>
      <c r="AQ16">
        <v>10</v>
      </c>
      <c r="AR16">
        <f t="shared" si="9"/>
        <v>3797.7263841252998</v>
      </c>
      <c r="AS16">
        <f t="shared" si="13"/>
        <v>667.49348116558713</v>
      </c>
      <c r="AT16">
        <f t="shared" ref="AT16:AT79" si="16">AR16-$AF$2*AS16*(AR16/($AF$3+AR16))</f>
        <v>3745.0448328216876</v>
      </c>
      <c r="BF16">
        <v>25</v>
      </c>
      <c r="BG16">
        <v>3544</v>
      </c>
      <c r="BH16">
        <f t="shared" si="4"/>
        <v>3716.3919920642584</v>
      </c>
      <c r="BI16">
        <f t="shared" si="5"/>
        <v>3805.7556690818164</v>
      </c>
      <c r="BK16">
        <f t="shared" si="1"/>
        <v>261.75566908181645</v>
      </c>
      <c r="BM16">
        <v>25</v>
      </c>
      <c r="BN16">
        <f t="shared" si="6"/>
        <v>3516.4385047713185</v>
      </c>
      <c r="BO16">
        <v>3716.3919920642584</v>
      </c>
    </row>
    <row r="17" spans="6:67" x14ac:dyDescent="0.2">
      <c r="F17">
        <v>30</v>
      </c>
      <c r="G17">
        <v>3508.6666666666665</v>
      </c>
      <c r="H17">
        <f>$N$36</f>
        <v>3269.8183641776136</v>
      </c>
      <c r="I17">
        <v>3553.1840738694909</v>
      </c>
      <c r="J17">
        <v>5469.6228269874209</v>
      </c>
      <c r="M17">
        <v>11</v>
      </c>
      <c r="N17">
        <f t="shared" si="7"/>
        <v>4113.5833328034678</v>
      </c>
      <c r="O17">
        <f t="shared" si="10"/>
        <v>553.29174164200049</v>
      </c>
      <c r="P17">
        <f t="shared" si="12"/>
        <v>4042.6735970490417</v>
      </c>
      <c r="R17">
        <f>G10</f>
        <v>4005</v>
      </c>
      <c r="S17">
        <f t="shared" si="0"/>
        <v>108.58333280346778</v>
      </c>
      <c r="Y17">
        <v>25</v>
      </c>
      <c r="Z17">
        <v>3544</v>
      </c>
      <c r="AA17">
        <f t="shared" si="8"/>
        <v>3716.3919920642584</v>
      </c>
      <c r="AC17">
        <f t="shared" si="2"/>
        <v>172.39199206425837</v>
      </c>
      <c r="AJ17">
        <v>30</v>
      </c>
      <c r="AK17">
        <v>3508.6666666666665</v>
      </c>
      <c r="AL17">
        <f>$AR$36</f>
        <v>3537.4201927578229</v>
      </c>
      <c r="AM17">
        <v>3553.1840738694909</v>
      </c>
      <c r="AN17">
        <v>5469.6228269874209</v>
      </c>
      <c r="AQ17">
        <v>11</v>
      </c>
      <c r="AR17">
        <f t="shared" si="9"/>
        <v>3745.0448328216876</v>
      </c>
      <c r="AS17">
        <f t="shared" si="13"/>
        <v>534.06657765143314</v>
      </c>
      <c r="AT17">
        <f t="shared" si="16"/>
        <v>3702.9084986089465</v>
      </c>
      <c r="AV17">
        <f>AK10</f>
        <v>4005</v>
      </c>
      <c r="AW17">
        <f t="shared" ref="AW17" si="17">((AV17-AR17)^2)^0.5</f>
        <v>259.95516717831242</v>
      </c>
      <c r="BF17">
        <v>30</v>
      </c>
      <c r="BG17">
        <v>3508.6666666666665</v>
      </c>
      <c r="BH17">
        <f t="shared" si="4"/>
        <v>3523.4389415438181</v>
      </c>
      <c r="BI17">
        <f t="shared" si="5"/>
        <v>3656.19141148568</v>
      </c>
      <c r="BK17">
        <f t="shared" si="1"/>
        <v>147.52474481901345</v>
      </c>
      <c r="BM17">
        <v>30</v>
      </c>
      <c r="BN17">
        <f t="shared" si="6"/>
        <v>3317.6791755233608</v>
      </c>
      <c r="BO17">
        <v>3523.4389415438181</v>
      </c>
    </row>
    <row r="18" spans="6:67" x14ac:dyDescent="0.2">
      <c r="F18">
        <v>43</v>
      </c>
      <c r="G18">
        <v>2665.6666666666665</v>
      </c>
      <c r="H18">
        <f>$N$49</f>
        <v>3269.8010867659673</v>
      </c>
      <c r="I18">
        <v>3141.9232865706667</v>
      </c>
      <c r="J18">
        <v>5466.6738775555868</v>
      </c>
      <c r="M18">
        <v>12</v>
      </c>
      <c r="N18">
        <f t="shared" si="7"/>
        <v>4042.6735970490417</v>
      </c>
      <c r="O18">
        <f t="shared" si="10"/>
        <v>439.96875367129377</v>
      </c>
      <c r="P18">
        <f t="shared" si="12"/>
        <v>3973.1759496184445</v>
      </c>
      <c r="Y18">
        <v>30</v>
      </c>
      <c r="Z18">
        <v>3508.6666666666665</v>
      </c>
      <c r="AA18">
        <f t="shared" si="8"/>
        <v>3523.4389415438181</v>
      </c>
      <c r="AC18">
        <f t="shared" si="2"/>
        <v>14.772274877151631</v>
      </c>
      <c r="AJ18">
        <v>43</v>
      </c>
      <c r="AK18">
        <v>2665.6666666666665</v>
      </c>
      <c r="AL18">
        <f>$AR$49</f>
        <v>3534.5455669679086</v>
      </c>
      <c r="AM18">
        <v>3141.9232865706667</v>
      </c>
      <c r="AN18">
        <v>5466.6738775555868</v>
      </c>
      <c r="AQ18">
        <v>12</v>
      </c>
      <c r="AR18">
        <f t="shared" si="9"/>
        <v>3702.9084986089465</v>
      </c>
      <c r="AS18">
        <f t="shared" si="13"/>
        <v>427.31216132108381</v>
      </c>
      <c r="AT18">
        <f t="shared" si="16"/>
        <v>3669.2043431013899</v>
      </c>
      <c r="BF18">
        <v>43</v>
      </c>
      <c r="BG18">
        <v>2665.6666666666665</v>
      </c>
      <c r="BH18">
        <f t="shared" si="4"/>
        <v>3067.3572403217113</v>
      </c>
      <c r="BI18">
        <f t="shared" si="5"/>
        <v>3289.3042392499988</v>
      </c>
      <c r="BK18">
        <f t="shared" si="1"/>
        <v>623.63757258333226</v>
      </c>
      <c r="BM18">
        <v>43</v>
      </c>
      <c r="BN18">
        <f t="shared" si="6"/>
        <v>2830.1145030856892</v>
      </c>
      <c r="BO18">
        <v>3067.3572403217113</v>
      </c>
    </row>
    <row r="19" spans="6:67" x14ac:dyDescent="0.2">
      <c r="F19">
        <v>49</v>
      </c>
      <c r="G19">
        <v>3148.3333333333335</v>
      </c>
      <c r="H19">
        <f>$N$55</f>
        <v>3269.8010867686316</v>
      </c>
      <c r="I19">
        <v>2968.5147382681171</v>
      </c>
      <c r="J19">
        <v>5463.6845652978373</v>
      </c>
      <c r="M19">
        <v>13</v>
      </c>
      <c r="N19">
        <f t="shared" si="7"/>
        <v>3973.1759496184445</v>
      </c>
      <c r="O19">
        <f t="shared" si="10"/>
        <v>348.54498822334563</v>
      </c>
      <c r="P19">
        <f t="shared" si="12"/>
        <v>3905.1066744428676</v>
      </c>
      <c r="Y19">
        <v>43</v>
      </c>
      <c r="Z19">
        <v>2665.6666666666665</v>
      </c>
      <c r="AA19">
        <f t="shared" si="8"/>
        <v>3067.3572403217113</v>
      </c>
      <c r="AC19">
        <f t="shared" si="2"/>
        <v>401.69057365504477</v>
      </c>
      <c r="AJ19">
        <v>49</v>
      </c>
      <c r="AK19">
        <v>3148.3333333333335</v>
      </c>
      <c r="AL19">
        <f>$AR$55</f>
        <v>3534.4219597600845</v>
      </c>
      <c r="AM19">
        <v>2968.5147382681171</v>
      </c>
      <c r="AN19">
        <v>5463.6845652978373</v>
      </c>
      <c r="AQ19">
        <v>13</v>
      </c>
      <c r="AR19">
        <f t="shared" si="9"/>
        <v>3669.2043431013899</v>
      </c>
      <c r="AS19">
        <f t="shared" si="13"/>
        <v>341.89781079668006</v>
      </c>
      <c r="AT19">
        <f t="shared" si="16"/>
        <v>3642.2434671192655</v>
      </c>
      <c r="BF19">
        <v>49</v>
      </c>
      <c r="BG19">
        <v>3148.3333333333335</v>
      </c>
      <c r="BH19">
        <f t="shared" si="4"/>
        <v>2877.2569003866151</v>
      </c>
      <c r="BI19">
        <f t="shared" si="5"/>
        <v>3144.8567339715532</v>
      </c>
      <c r="BK19">
        <f t="shared" si="1"/>
        <v>3.4765993617802451</v>
      </c>
      <c r="BM19">
        <v>49</v>
      </c>
      <c r="BN19">
        <f t="shared" si="6"/>
        <v>2638.15494187682</v>
      </c>
      <c r="BO19">
        <v>2877.2569003866151</v>
      </c>
    </row>
    <row r="20" spans="6:67" x14ac:dyDescent="0.2">
      <c r="F20">
        <v>59</v>
      </c>
      <c r="G20">
        <v>2930</v>
      </c>
      <c r="H20">
        <f>$N$65</f>
        <v>3269.8010867686335</v>
      </c>
      <c r="I20">
        <v>2700.5067273010627</v>
      </c>
      <c r="J20">
        <v>5463.5402316326363</v>
      </c>
      <c r="M20">
        <v>14</v>
      </c>
      <c r="N20">
        <f t="shared" si="7"/>
        <v>3905.1066744428676</v>
      </c>
      <c r="O20">
        <f t="shared" si="10"/>
        <v>274.81742296690555</v>
      </c>
      <c r="P20">
        <f t="shared" si="12"/>
        <v>3838.4932469521004</v>
      </c>
      <c r="R20">
        <f>G12</f>
        <v>4139.333333333333</v>
      </c>
      <c r="S20">
        <f>((R20-N21)^2)^0.5</f>
        <v>300.8400863812326</v>
      </c>
      <c r="Y20">
        <v>49</v>
      </c>
      <c r="Z20">
        <v>3148.3333333333335</v>
      </c>
      <c r="AA20">
        <f t="shared" si="8"/>
        <v>2877.2569003866151</v>
      </c>
      <c r="AC20">
        <f t="shared" si="2"/>
        <v>271.07643294671834</v>
      </c>
      <c r="AJ20">
        <v>59</v>
      </c>
      <c r="AK20">
        <v>2930</v>
      </c>
      <c r="AL20">
        <f>$AR$65</f>
        <v>3534.3827187596598</v>
      </c>
      <c r="AM20">
        <v>2700.5067273010627</v>
      </c>
      <c r="AN20">
        <v>5463.5402316326363</v>
      </c>
      <c r="AQ20">
        <v>14</v>
      </c>
      <c r="AR20">
        <f t="shared" si="9"/>
        <v>3642.2434671192655</v>
      </c>
      <c r="AS20">
        <f t="shared" si="13"/>
        <v>273.55734352550508</v>
      </c>
      <c r="AT20">
        <f t="shared" si="16"/>
        <v>3620.6757426314466</v>
      </c>
      <c r="AV20">
        <f>AK12</f>
        <v>4139.333333333333</v>
      </c>
      <c r="AW20">
        <f>((AV20-AR21)^2)^0.5</f>
        <v>518.65759070188642</v>
      </c>
      <c r="BF20">
        <v>59</v>
      </c>
      <c r="BG20">
        <v>2930</v>
      </c>
      <c r="BH20">
        <f t="shared" si="4"/>
        <v>2586.2416940550052</v>
      </c>
      <c r="BI20">
        <f t="shared" si="5"/>
        <v>2920.4400778747649</v>
      </c>
      <c r="BK20">
        <f t="shared" si="1"/>
        <v>9.5599221252350617</v>
      </c>
      <c r="BM20">
        <v>59</v>
      </c>
      <c r="BN20">
        <f t="shared" si="6"/>
        <v>2339.9225650056533</v>
      </c>
      <c r="BO20">
        <v>2586.2416940550052</v>
      </c>
    </row>
    <row r="21" spans="6:67" x14ac:dyDescent="0.2">
      <c r="F21">
        <v>82</v>
      </c>
      <c r="G21">
        <v>2882.3333333333335</v>
      </c>
      <c r="H21">
        <f>$N$88</f>
        <v>3269.8010867686335</v>
      </c>
      <c r="I21">
        <v>2172.3469461321952</v>
      </c>
      <c r="J21">
        <v>5463.5090741797876</v>
      </c>
      <c r="M21">
        <v>15</v>
      </c>
      <c r="N21">
        <f t="shared" si="7"/>
        <v>3838.4932469521004</v>
      </c>
      <c r="O21">
        <f t="shared" si="10"/>
        <v>215.39113500818297</v>
      </c>
      <c r="P21">
        <f t="shared" si="12"/>
        <v>3773.3783630358867</v>
      </c>
      <c r="Y21">
        <v>59</v>
      </c>
      <c r="Z21">
        <v>2930</v>
      </c>
      <c r="AA21">
        <f t="shared" si="8"/>
        <v>2586.2416940550052</v>
      </c>
      <c r="AC21">
        <f t="shared" si="2"/>
        <v>343.75830594499485</v>
      </c>
      <c r="AJ21">
        <v>82</v>
      </c>
      <c r="AK21">
        <v>2882.3333333333335</v>
      </c>
      <c r="AL21">
        <f>$AR$88</f>
        <v>3534.3780183897261</v>
      </c>
      <c r="AM21">
        <v>2172.3469461321952</v>
      </c>
      <c r="AN21">
        <v>5463.5090741797876</v>
      </c>
      <c r="AQ21">
        <v>15</v>
      </c>
      <c r="AR21">
        <f t="shared" si="9"/>
        <v>3620.6757426314466</v>
      </c>
      <c r="AS21">
        <f t="shared" si="13"/>
        <v>218.8775611198262</v>
      </c>
      <c r="AT21">
        <f t="shared" si="16"/>
        <v>3603.4216969030872</v>
      </c>
      <c r="BF21">
        <v>82</v>
      </c>
      <c r="BG21">
        <v>2882.3333333333335</v>
      </c>
      <c r="BH21">
        <f t="shared" si="4"/>
        <v>2023.7515142544016</v>
      </c>
      <c r="BI21">
        <f t="shared" si="5"/>
        <v>2462.6313058327596</v>
      </c>
      <c r="BK21">
        <f>((BI21-BG21)^2)^0.5</f>
        <v>419.70202750057388</v>
      </c>
      <c r="BM21">
        <v>82</v>
      </c>
      <c r="BN21">
        <f t="shared" si="6"/>
        <v>1731.5301193946998</v>
      </c>
      <c r="BO21">
        <v>2023.7515142544016</v>
      </c>
    </row>
    <row r="22" spans="6:67" x14ac:dyDescent="0.2">
      <c r="M22">
        <v>16</v>
      </c>
      <c r="N22">
        <f t="shared" si="7"/>
        <v>3773.3783630358867</v>
      </c>
      <c r="O22">
        <f t="shared" si="10"/>
        <v>167.52454869499047</v>
      </c>
      <c r="P22">
        <f t="shared" si="12"/>
        <v>3709.8259956375359</v>
      </c>
      <c r="Y22">
        <v>82</v>
      </c>
      <c r="Z22">
        <v>2882.3333333333335</v>
      </c>
      <c r="AA22">
        <f t="shared" si="8"/>
        <v>2023.7515142544016</v>
      </c>
      <c r="AC22">
        <f t="shared" si="2"/>
        <v>858.58181907893186</v>
      </c>
      <c r="AQ22">
        <v>16</v>
      </c>
      <c r="AR22">
        <f t="shared" si="9"/>
        <v>3603.4216969030872</v>
      </c>
      <c r="AS22">
        <f t="shared" si="13"/>
        <v>175.12766481198364</v>
      </c>
      <c r="AT22">
        <f t="shared" si="16"/>
        <v>3589.6181434613022</v>
      </c>
    </row>
    <row r="23" spans="6:67" x14ac:dyDescent="0.2">
      <c r="M23">
        <v>17</v>
      </c>
      <c r="N23">
        <f t="shared" si="7"/>
        <v>3709.8259956375359</v>
      </c>
      <c r="O23">
        <f t="shared" si="10"/>
        <v>129.00459860571721</v>
      </c>
      <c r="P23">
        <f>N23-$B$2*O23*(N23/($B$3*O23+N23))</f>
        <v>3647.9308095693209</v>
      </c>
      <c r="AQ23">
        <v>17</v>
      </c>
      <c r="AR23">
        <f t="shared" si="9"/>
        <v>3589.6181434613022</v>
      </c>
      <c r="AS23">
        <f t="shared" si="13"/>
        <v>140.12279782390428</v>
      </c>
      <c r="AT23">
        <f t="shared" si="16"/>
        <v>3578.5747707446776</v>
      </c>
      <c r="BK23">
        <f>SUM(BK6:BK21)</f>
        <v>3874.8128527101258</v>
      </c>
    </row>
    <row r="24" spans="6:67" x14ac:dyDescent="0.2">
      <c r="M24">
        <v>18</v>
      </c>
      <c r="N24">
        <f t="shared" si="7"/>
        <v>3647.9308095693209</v>
      </c>
      <c r="O24">
        <f t="shared" si="10"/>
        <v>98.046197066597998</v>
      </c>
      <c r="P24">
        <f t="shared" si="12"/>
        <v>3587.8333698454821</v>
      </c>
      <c r="R24">
        <f>G13</f>
        <v>3647.8333333333335</v>
      </c>
      <c r="S24">
        <f t="shared" si="0"/>
        <v>9.7476235987414839E-2</v>
      </c>
      <c r="AC24">
        <f>SUM(AC7:AC22)</f>
        <v>4017.9716891949356</v>
      </c>
      <c r="AQ24">
        <v>18</v>
      </c>
      <c r="AR24">
        <f t="shared" si="9"/>
        <v>3578.5747707446776</v>
      </c>
      <c r="AS24">
        <f t="shared" si="13"/>
        <v>112.11488337005218</v>
      </c>
      <c r="AT24">
        <f t="shared" si="16"/>
        <v>3569.7394689441326</v>
      </c>
      <c r="AV24">
        <f>AK13</f>
        <v>3647.8333333333335</v>
      </c>
      <c r="AW24">
        <f t="shared" ref="AW24" si="18">((AV24-AR24)^2)^0.5</f>
        <v>69.258562588655877</v>
      </c>
    </row>
    <row r="25" spans="6:67" x14ac:dyDescent="0.2">
      <c r="M25">
        <v>19</v>
      </c>
      <c r="N25">
        <f t="shared" si="7"/>
        <v>3587.8333698454821</v>
      </c>
      <c r="O25">
        <f t="shared" si="10"/>
        <v>73.211583257427307</v>
      </c>
      <c r="P25">
        <f t="shared" si="12"/>
        <v>3529.7458209266292</v>
      </c>
      <c r="AQ25">
        <v>19</v>
      </c>
      <c r="AR25">
        <f t="shared" si="9"/>
        <v>3569.7394689441326</v>
      </c>
      <c r="AS25">
        <f t="shared" si="13"/>
        <v>89.705295582947656</v>
      </c>
      <c r="AT25">
        <f t="shared" si="16"/>
        <v>3562.6706281929296</v>
      </c>
    </row>
    <row r="26" spans="6:67" x14ac:dyDescent="0.2">
      <c r="M26">
        <v>20</v>
      </c>
      <c r="N26">
        <f t="shared" si="7"/>
        <v>3529.7458209266292</v>
      </c>
      <c r="O26">
        <f t="shared" si="10"/>
        <v>53.346204380115978</v>
      </c>
      <c r="P26">
        <f t="shared" si="12"/>
        <v>3473.9975178267068</v>
      </c>
      <c r="AQ26">
        <v>20</v>
      </c>
      <c r="AR26">
        <f t="shared" si="9"/>
        <v>3562.6706281929296</v>
      </c>
      <c r="AS26">
        <f t="shared" si="13"/>
        <v>71.774994755901403</v>
      </c>
      <c r="AT26">
        <f t="shared" si="16"/>
        <v>3557.0150008871547</v>
      </c>
    </row>
    <row r="27" spans="6:67" x14ac:dyDescent="0.2">
      <c r="M27">
        <v>21</v>
      </c>
      <c r="N27">
        <f t="shared" si="7"/>
        <v>3473.9975178267068</v>
      </c>
      <c r="O27">
        <f t="shared" si="10"/>
        <v>37.528902829141472</v>
      </c>
      <c r="P27">
        <f t="shared" si="12"/>
        <v>3421.120968725269</v>
      </c>
      <c r="R27">
        <f>G14</f>
        <v>3553.5</v>
      </c>
      <c r="S27">
        <f t="shared" si="0"/>
        <v>79.502482173293174</v>
      </c>
      <c r="Y27" t="s">
        <v>118</v>
      </c>
      <c r="AB27" t="s">
        <v>119</v>
      </c>
      <c r="AQ27">
        <v>21</v>
      </c>
      <c r="AR27">
        <f t="shared" si="9"/>
        <v>3557.0150008871547</v>
      </c>
      <c r="AS27">
        <f t="shared" si="13"/>
        <v>57.428633032190838</v>
      </c>
      <c r="AT27">
        <f t="shared" si="16"/>
        <v>3552.4900067141475</v>
      </c>
      <c r="AV27">
        <f>AK14</f>
        <v>3553.5</v>
      </c>
      <c r="AW27">
        <f t="shared" ref="AW27" si="19">((AV27-AR27)^2)^0.5</f>
        <v>3.5150008871546561</v>
      </c>
    </row>
    <row r="28" spans="6:67" x14ac:dyDescent="0.2">
      <c r="M28">
        <v>22</v>
      </c>
      <c r="N28">
        <f t="shared" si="7"/>
        <v>3421.120968725269</v>
      </c>
      <c r="O28">
        <f t="shared" si="10"/>
        <v>25.035698575802524</v>
      </c>
      <c r="P28">
        <f t="shared" si="12"/>
        <v>3372.0242198122228</v>
      </c>
      <c r="AQ28">
        <v>22</v>
      </c>
      <c r="AR28">
        <f t="shared" si="9"/>
        <v>3552.4900067141475</v>
      </c>
      <c r="AS28">
        <f t="shared" si="13"/>
        <v>45.949836072709481</v>
      </c>
      <c r="AT28">
        <f t="shared" si="16"/>
        <v>3548.8695862170894</v>
      </c>
    </row>
    <row r="29" spans="6:67" x14ac:dyDescent="0.2">
      <c r="M29">
        <v>23</v>
      </c>
      <c r="N29">
        <f t="shared" si="7"/>
        <v>3372.0242198122228</v>
      </c>
      <c r="O29">
        <f t="shared" si="10"/>
        <v>15.319169557943816</v>
      </c>
      <c r="P29">
        <f t="shared" si="12"/>
        <v>3328.3561225954618</v>
      </c>
      <c r="R29">
        <f>G15</f>
        <v>3796.5</v>
      </c>
      <c r="S29">
        <f t="shared" si="0"/>
        <v>424.47578018777722</v>
      </c>
      <c r="Y29" t="s">
        <v>101</v>
      </c>
      <c r="Z29">
        <v>1.1166919097454439E-2</v>
      </c>
      <c r="AB29" t="s">
        <v>101</v>
      </c>
      <c r="AC29">
        <v>1.0663163662724486E-2</v>
      </c>
      <c r="AQ29">
        <v>23</v>
      </c>
      <c r="AR29">
        <f t="shared" si="9"/>
        <v>3548.8695862170894</v>
      </c>
      <c r="AS29">
        <f t="shared" si="13"/>
        <v>36.765425497043445</v>
      </c>
      <c r="AT29">
        <f t="shared" si="16"/>
        <v>3545.9728895464787</v>
      </c>
      <c r="AV29">
        <f>AK15</f>
        <v>3796.5</v>
      </c>
      <c r="AW29">
        <f t="shared" ref="AW29" si="20">((AV29-AR29)^2)^0.5</f>
        <v>247.63041378291064</v>
      </c>
    </row>
    <row r="30" spans="6:67" x14ac:dyDescent="0.2">
      <c r="M30">
        <v>24</v>
      </c>
      <c r="N30">
        <f t="shared" si="7"/>
        <v>3328.3561225954618</v>
      </c>
      <c r="O30">
        <f t="shared" si="10"/>
        <v>8.0110792811425036</v>
      </c>
      <c r="P30">
        <f t="shared" si="12"/>
        <v>3293.2698134359366</v>
      </c>
      <c r="Y30" t="s">
        <v>91</v>
      </c>
      <c r="Z30">
        <v>4861.8977525314122</v>
      </c>
      <c r="AB30" t="s">
        <v>91</v>
      </c>
      <c r="AC30">
        <v>4851.7156981740281</v>
      </c>
      <c r="AQ30">
        <v>24</v>
      </c>
      <c r="AR30">
        <f t="shared" si="9"/>
        <v>3545.9728895464787</v>
      </c>
      <c r="AS30">
        <f t="shared" si="13"/>
        <v>29.416794134550035</v>
      </c>
      <c r="AT30">
        <f t="shared" si="16"/>
        <v>3543.6552310334805</v>
      </c>
    </row>
    <row r="31" spans="6:67" x14ac:dyDescent="0.2">
      <c r="M31">
        <v>25</v>
      </c>
      <c r="N31">
        <f t="shared" si="7"/>
        <v>3293.2698134359366</v>
      </c>
      <c r="O31">
        <f t="shared" si="10"/>
        <v>2.9643211432106256</v>
      </c>
      <c r="P31">
        <f t="shared" si="12"/>
        <v>3272.3832386523809</v>
      </c>
      <c r="R31">
        <f>G16</f>
        <v>3544</v>
      </c>
      <c r="S31">
        <f t="shared" si="0"/>
        <v>250.73018656406339</v>
      </c>
      <c r="AQ31">
        <v>25</v>
      </c>
      <c r="AR31">
        <f t="shared" si="9"/>
        <v>3543.6552310334805</v>
      </c>
      <c r="AS31">
        <f t="shared" si="13"/>
        <v>23.537003809416611</v>
      </c>
      <c r="AT31">
        <f t="shared" si="16"/>
        <v>3541.8008549518236</v>
      </c>
      <c r="AV31">
        <f>AK16</f>
        <v>3544</v>
      </c>
      <c r="AW31">
        <f t="shared" ref="AW31" si="21">((AV31-AR31)^2)^0.5</f>
        <v>0.34476896651949573</v>
      </c>
    </row>
    <row r="32" spans="6:67" x14ac:dyDescent="0.2">
      <c r="M32">
        <v>26</v>
      </c>
      <c r="N32">
        <f t="shared" si="7"/>
        <v>3272.3832386523809</v>
      </c>
      <c r="O32">
        <f t="shared" si="10"/>
        <v>0.30651400535861384</v>
      </c>
      <c r="P32">
        <f t="shared" si="12"/>
        <v>3269.1798033445452</v>
      </c>
      <c r="Y32" t="s">
        <v>117</v>
      </c>
      <c r="Z32">
        <v>2780.945979074801</v>
      </c>
      <c r="AB32" t="s">
        <v>117</v>
      </c>
      <c r="AC32">
        <v>4017.9716891949356</v>
      </c>
      <c r="AQ32">
        <v>26</v>
      </c>
      <c r="AR32">
        <f t="shared" si="9"/>
        <v>3541.8008549518236</v>
      </c>
      <c r="AS32">
        <f t="shared" si="13"/>
        <v>18.832461469842929</v>
      </c>
      <c r="AT32">
        <f t="shared" si="16"/>
        <v>3540.3171493165337</v>
      </c>
    </row>
    <row r="33" spans="13:49" x14ac:dyDescent="0.2">
      <c r="M33">
        <v>27</v>
      </c>
      <c r="N33">
        <f t="shared" si="7"/>
        <v>3269.1798033445452</v>
      </c>
      <c r="O33">
        <f t="shared" si="10"/>
        <v>-7.2680214453806222E-2</v>
      </c>
      <c r="P33">
        <f t="shared" si="12"/>
        <v>3269.9960932567387</v>
      </c>
      <c r="AQ33">
        <v>27</v>
      </c>
      <c r="AR33">
        <f t="shared" si="9"/>
        <v>3540.3171493165337</v>
      </c>
      <c r="AS33">
        <f t="shared" si="13"/>
        <v>15.068258304104098</v>
      </c>
      <c r="AT33">
        <f t="shared" si="16"/>
        <v>3539.130017553096</v>
      </c>
    </row>
    <row r="34" spans="13:49" x14ac:dyDescent="0.2">
      <c r="M34">
        <v>28</v>
      </c>
      <c r="N34">
        <f t="shared" si="7"/>
        <v>3269.9960932567387</v>
      </c>
      <c r="O34">
        <f t="shared" si="10"/>
        <v>2.2903377940674277E-2</v>
      </c>
      <c r="P34">
        <f t="shared" si="12"/>
        <v>3269.7436133169531</v>
      </c>
      <c r="AQ34">
        <v>28</v>
      </c>
      <c r="AR34">
        <f t="shared" si="9"/>
        <v>3539.130017553096</v>
      </c>
      <c r="AS34">
        <f t="shared" si="13"/>
        <v>12.056439533372341</v>
      </c>
      <c r="AT34">
        <f t="shared" si="16"/>
        <v>3538.1801761285064</v>
      </c>
    </row>
    <row r="35" spans="13:49" x14ac:dyDescent="0.2">
      <c r="M35">
        <v>29</v>
      </c>
      <c r="N35">
        <f t="shared" si="7"/>
        <v>3269.7436133169531</v>
      </c>
      <c r="O35">
        <f t="shared" si="10"/>
        <v>-6.7420646024995944E-3</v>
      </c>
      <c r="P35">
        <f t="shared" si="12"/>
        <v>3269.8183641776136</v>
      </c>
      <c r="AQ35">
        <v>29</v>
      </c>
      <c r="AR35">
        <f t="shared" si="9"/>
        <v>3538.1801761285064</v>
      </c>
      <c r="AS35">
        <f t="shared" si="13"/>
        <v>9.6466190005059005</v>
      </c>
      <c r="AT35">
        <f t="shared" si="16"/>
        <v>3537.4201927578229</v>
      </c>
    </row>
    <row r="36" spans="13:49" x14ac:dyDescent="0.2">
      <c r="M36">
        <v>30</v>
      </c>
      <c r="N36">
        <f t="shared" si="7"/>
        <v>3269.8183641776136</v>
      </c>
      <c r="O36">
        <f t="shared" si="10"/>
        <v>2.027497867231845E-3</v>
      </c>
      <c r="P36">
        <f t="shared" si="12"/>
        <v>3269.7959230942297</v>
      </c>
      <c r="R36">
        <f>G17</f>
        <v>3508.6666666666665</v>
      </c>
      <c r="S36">
        <f t="shared" ref="S36" si="22">((R36-N36)^2)^0.5</f>
        <v>238.84830248905291</v>
      </c>
      <c r="AQ36">
        <v>30</v>
      </c>
      <c r="AR36">
        <f t="shared" si="9"/>
        <v>3537.4201927578229</v>
      </c>
      <c r="AS36">
        <f t="shared" si="13"/>
        <v>7.7184698153404083</v>
      </c>
      <c r="AT36">
        <f t="shared" si="16"/>
        <v>3536.812116963687</v>
      </c>
      <c r="AV36">
        <f>AK17</f>
        <v>3508.6666666666665</v>
      </c>
      <c r="AW36">
        <f t="shared" ref="AW36" si="23">((AV36-AR36)^2)^0.5</f>
        <v>28.753526091156346</v>
      </c>
    </row>
    <row r="37" spans="13:49" x14ac:dyDescent="0.2">
      <c r="M37">
        <v>31</v>
      </c>
      <c r="N37">
        <f t="shared" si="7"/>
        <v>3269.7959230942297</v>
      </c>
      <c r="O37">
        <f t="shared" si="10"/>
        <v>-6.0589006166768484E-4</v>
      </c>
      <c r="P37">
        <f t="shared" si="12"/>
        <v>3269.802632735189</v>
      </c>
      <c r="AQ37">
        <v>31</v>
      </c>
      <c r="AR37">
        <f t="shared" si="9"/>
        <v>3536.812116963687</v>
      </c>
      <c r="AS37">
        <f t="shared" si="13"/>
        <v>6.1757160313814641</v>
      </c>
      <c r="AT37">
        <f t="shared" si="16"/>
        <v>3536.3255844632195</v>
      </c>
    </row>
    <row r="38" spans="13:49" x14ac:dyDescent="0.2">
      <c r="M38">
        <v>32</v>
      </c>
      <c r="N38">
        <f t="shared" si="7"/>
        <v>3269.802632735189</v>
      </c>
      <c r="O38">
        <f t="shared" si="10"/>
        <v>1.8140492610683399E-4</v>
      </c>
      <c r="P38">
        <f t="shared" si="12"/>
        <v>3269.8006241598132</v>
      </c>
      <c r="AQ38">
        <v>32</v>
      </c>
      <c r="AR38">
        <f t="shared" si="9"/>
        <v>3536.3255844632195</v>
      </c>
      <c r="AS38">
        <f t="shared" si="13"/>
        <v>4.9413253033094682</v>
      </c>
      <c r="AT38">
        <f t="shared" si="16"/>
        <v>3535.9363005928185</v>
      </c>
    </row>
    <row r="39" spans="13:49" x14ac:dyDescent="0.2">
      <c r="M39">
        <v>33</v>
      </c>
      <c r="N39">
        <f t="shared" si="7"/>
        <v>3269.8006241598132</v>
      </c>
      <c r="O39">
        <f t="shared" si="10"/>
        <v>-5.4282357289620917E-5</v>
      </c>
      <c r="P39">
        <f t="shared" si="12"/>
        <v>3269.8012252195435</v>
      </c>
      <c r="AQ39">
        <v>33</v>
      </c>
      <c r="AR39">
        <f t="shared" si="9"/>
        <v>3535.9363005928185</v>
      </c>
      <c r="AS39">
        <f t="shared" si="13"/>
        <v>3.9536624580339539</v>
      </c>
      <c r="AT39">
        <f t="shared" si="16"/>
        <v>3535.624826956976</v>
      </c>
    </row>
    <row r="40" spans="13:49" x14ac:dyDescent="0.2">
      <c r="M40">
        <v>34</v>
      </c>
      <c r="N40">
        <f t="shared" si="7"/>
        <v>3269.8012252195435</v>
      </c>
      <c r="O40">
        <f t="shared" si="10"/>
        <v>1.6245828344283066E-5</v>
      </c>
      <c r="P40">
        <f t="shared" si="12"/>
        <v>3269.8010453345869</v>
      </c>
      <c r="AQ40">
        <v>34</v>
      </c>
      <c r="AR40">
        <f t="shared" si="9"/>
        <v>3535.624826956976</v>
      </c>
      <c r="AS40">
        <f t="shared" si="13"/>
        <v>3.1634119025071841</v>
      </c>
      <c r="AT40">
        <f t="shared" si="16"/>
        <v>3535.3756106595756</v>
      </c>
    </row>
    <row r="41" spans="13:49" x14ac:dyDescent="0.2">
      <c r="M41">
        <v>35</v>
      </c>
      <c r="N41">
        <f t="shared" si="7"/>
        <v>3269.8010453345869</v>
      </c>
      <c r="O41">
        <f t="shared" si="10"/>
        <v>-4.8618663629414574E-6</v>
      </c>
      <c r="P41">
        <f t="shared" si="12"/>
        <v>3269.8010991687274</v>
      </c>
      <c r="AQ41">
        <v>35</v>
      </c>
      <c r="AR41">
        <f t="shared" si="9"/>
        <v>3535.3756106595756</v>
      </c>
      <c r="AS41">
        <f t="shared" si="13"/>
        <v>2.5311151874857667</v>
      </c>
      <c r="AT41">
        <f t="shared" si="16"/>
        <v>3535.176207609135</v>
      </c>
    </row>
    <row r="42" spans="13:49" x14ac:dyDescent="0.2">
      <c r="M42">
        <v>36</v>
      </c>
      <c r="N42">
        <f t="shared" si="7"/>
        <v>3269.8010991687274</v>
      </c>
      <c r="O42">
        <f t="shared" si="10"/>
        <v>1.4550260331928342E-6</v>
      </c>
      <c r="P42">
        <f t="shared" si="12"/>
        <v>3269.8010830576345</v>
      </c>
      <c r="AQ42">
        <v>36</v>
      </c>
      <c r="AR42">
        <f t="shared" si="9"/>
        <v>3535.176207609135</v>
      </c>
      <c r="AS42">
        <f t="shared" si="13"/>
        <v>2.0252007664444345</v>
      </c>
      <c r="AT42">
        <f t="shared" si="16"/>
        <v>3535.0166610930037</v>
      </c>
    </row>
    <row r="43" spans="13:49" x14ac:dyDescent="0.2">
      <c r="M43">
        <v>37</v>
      </c>
      <c r="N43">
        <f t="shared" si="7"/>
        <v>3269.8010830576345</v>
      </c>
      <c r="O43">
        <f t="shared" si="10"/>
        <v>-4.354482570237944E-7</v>
      </c>
      <c r="P43">
        <f t="shared" si="12"/>
        <v>3269.801087879232</v>
      </c>
      <c r="AQ43">
        <v>37</v>
      </c>
      <c r="AR43">
        <f t="shared" si="9"/>
        <v>3535.0166610930037</v>
      </c>
      <c r="AS43">
        <f t="shared" si="13"/>
        <v>1.6204075676739744</v>
      </c>
      <c r="AT43">
        <f t="shared" si="16"/>
        <v>3534.889004576773</v>
      </c>
    </row>
    <row r="44" spans="13:49" x14ac:dyDescent="0.2">
      <c r="M44">
        <v>38</v>
      </c>
      <c r="N44">
        <f t="shared" si="7"/>
        <v>3269.801087879232</v>
      </c>
      <c r="O44">
        <f t="shared" si="10"/>
        <v>1.3031755689634974E-7</v>
      </c>
      <c r="P44">
        <f t="shared" si="12"/>
        <v>3269.8010864362623</v>
      </c>
      <c r="AQ44">
        <v>38</v>
      </c>
      <c r="AR44">
        <f t="shared" si="9"/>
        <v>3534.889004576773</v>
      </c>
      <c r="AS44">
        <f t="shared" si="13"/>
        <v>1.2965236630575041</v>
      </c>
      <c r="AT44">
        <f t="shared" si="16"/>
        <v>3534.786863893311</v>
      </c>
    </row>
    <row r="45" spans="13:49" x14ac:dyDescent="0.2">
      <c r="M45">
        <v>39</v>
      </c>
      <c r="N45">
        <f t="shared" si="7"/>
        <v>3269.8010864362623</v>
      </c>
      <c r="O45">
        <f t="shared" si="10"/>
        <v>-3.9000387331175476E-8</v>
      </c>
      <c r="P45">
        <f t="shared" si="12"/>
        <v>3269.8010868681026</v>
      </c>
      <c r="AQ45">
        <v>39</v>
      </c>
      <c r="AR45">
        <f t="shared" si="9"/>
        <v>3534.786863893311</v>
      </c>
      <c r="AS45">
        <f t="shared" si="13"/>
        <v>1.0373770514042593</v>
      </c>
      <c r="AT45">
        <f t="shared" si="16"/>
        <v>3534.7051389519693</v>
      </c>
    </row>
    <row r="46" spans="13:49" x14ac:dyDescent="0.2">
      <c r="M46">
        <v>40</v>
      </c>
      <c r="N46">
        <f t="shared" si="7"/>
        <v>3269.8010868681026</v>
      </c>
      <c r="O46">
        <f t="shared" si="10"/>
        <v>1.1671723294436247E-8</v>
      </c>
      <c r="P46">
        <f t="shared" si="12"/>
        <v>3269.8010867388648</v>
      </c>
      <c r="AQ46">
        <v>40</v>
      </c>
      <c r="AR46">
        <f t="shared" si="9"/>
        <v>3534.7051389519693</v>
      </c>
      <c r="AS46">
        <f t="shared" si="13"/>
        <v>0.83002816340047247</v>
      </c>
      <c r="AT46">
        <f t="shared" si="16"/>
        <v>3534.639749071288</v>
      </c>
    </row>
    <row r="47" spans="13:49" x14ac:dyDescent="0.2">
      <c r="M47">
        <v>41</v>
      </c>
      <c r="N47">
        <f t="shared" si="7"/>
        <v>3269.8010867388648</v>
      </c>
      <c r="O47">
        <f t="shared" si="10"/>
        <v>-3.4930308660835569E-9</v>
      </c>
      <c r="P47">
        <f t="shared" si="12"/>
        <v>3269.801086777542</v>
      </c>
      <c r="AQ47">
        <v>41</v>
      </c>
      <c r="AR47">
        <f t="shared" si="9"/>
        <v>3534.639749071288</v>
      </c>
      <c r="AS47">
        <f t="shared" si="13"/>
        <v>0.66412376795944938</v>
      </c>
      <c r="AT47">
        <f t="shared" si="16"/>
        <v>3534.5874292167623</v>
      </c>
    </row>
    <row r="48" spans="13:49" x14ac:dyDescent="0.2">
      <c r="M48">
        <v>42</v>
      </c>
      <c r="N48">
        <f t="shared" si="7"/>
        <v>3269.801086777542</v>
      </c>
      <c r="O48">
        <f t="shared" si="10"/>
        <v>1.0453482289640412E-9</v>
      </c>
      <c r="P48">
        <f t="shared" si="12"/>
        <v>3269.8010867659673</v>
      </c>
      <c r="AQ48">
        <v>42</v>
      </c>
      <c r="AR48">
        <f t="shared" si="9"/>
        <v>3534.5874292167623</v>
      </c>
      <c r="AS48">
        <f t="shared" si="13"/>
        <v>0.53138001905867027</v>
      </c>
      <c r="AT48">
        <f t="shared" si="16"/>
        <v>3534.5455669679086</v>
      </c>
    </row>
    <row r="49" spans="13:49" x14ac:dyDescent="0.2">
      <c r="M49">
        <v>43</v>
      </c>
      <c r="N49">
        <f t="shared" si="7"/>
        <v>3269.8010867659673</v>
      </c>
      <c r="O49">
        <f t="shared" si="10"/>
        <v>-3.1282706320837198E-10</v>
      </c>
      <c r="P49">
        <f t="shared" si="12"/>
        <v>3269.8010867694311</v>
      </c>
      <c r="R49">
        <f>$G$18</f>
        <v>2665.6666666666665</v>
      </c>
      <c r="S49">
        <f t="shared" ref="S49" si="24">((R49-N49)^2)^0.5</f>
        <v>604.13442009930077</v>
      </c>
      <c r="AQ49">
        <v>43</v>
      </c>
      <c r="AR49">
        <f t="shared" si="9"/>
        <v>3534.5455669679086</v>
      </c>
      <c r="AS49">
        <f t="shared" si="13"/>
        <v>0.4251688305140352</v>
      </c>
      <c r="AT49">
        <f t="shared" si="16"/>
        <v>3534.5120720731234</v>
      </c>
      <c r="AV49">
        <f>$G$18</f>
        <v>2665.6666666666665</v>
      </c>
      <c r="AW49">
        <f t="shared" ref="AW49" si="25">((AV49-AR49)^2)^0.5</f>
        <v>868.87890030124208</v>
      </c>
    </row>
    <row r="50" spans="13:49" x14ac:dyDescent="0.2">
      <c r="M50">
        <v>44</v>
      </c>
      <c r="N50">
        <f t="shared" si="7"/>
        <v>3269.8010867694311</v>
      </c>
      <c r="O50">
        <f t="shared" si="10"/>
        <v>9.3616790097855186E-11</v>
      </c>
      <c r="P50">
        <f t="shared" si="12"/>
        <v>3269.8010867683947</v>
      </c>
      <c r="AQ50">
        <v>44</v>
      </c>
      <c r="AR50">
        <f t="shared" si="9"/>
        <v>3534.5120720731234</v>
      </c>
      <c r="AS50">
        <f t="shared" si="13"/>
        <v>0.3401869255768169</v>
      </c>
      <c r="AT50">
        <f t="shared" si="16"/>
        <v>3534.4852720783579</v>
      </c>
    </row>
    <row r="51" spans="13:49" x14ac:dyDescent="0.2">
      <c r="M51">
        <v>45</v>
      </c>
      <c r="N51">
        <f t="shared" si="7"/>
        <v>3269.8010867683947</v>
      </c>
      <c r="O51">
        <f t="shared" si="10"/>
        <v>-2.7994554867958184E-11</v>
      </c>
      <c r="P51">
        <f t="shared" si="12"/>
        <v>3269.8010867687049</v>
      </c>
      <c r="AQ51">
        <v>45</v>
      </c>
      <c r="AR51">
        <f t="shared" si="9"/>
        <v>3534.4852720783579</v>
      </c>
      <c r="AS51">
        <f t="shared" si="13"/>
        <v>0.2721910363895183</v>
      </c>
      <c r="AT51">
        <f t="shared" si="16"/>
        <v>3534.4638288177753</v>
      </c>
    </row>
    <row r="52" spans="13:49" x14ac:dyDescent="0.2">
      <c r="M52">
        <v>46</v>
      </c>
      <c r="N52">
        <f t="shared" si="7"/>
        <v>3269.8010867687049</v>
      </c>
      <c r="O52">
        <f t="shared" si="10"/>
        <v>8.3941689971466427E-12</v>
      </c>
      <c r="P52">
        <f t="shared" si="12"/>
        <v>3269.8010867686121</v>
      </c>
      <c r="AQ52">
        <v>46</v>
      </c>
      <c r="AR52">
        <f t="shared" si="9"/>
        <v>3534.4638288177753</v>
      </c>
      <c r="AS52">
        <f t="shared" si="13"/>
        <v>0.21778603134447075</v>
      </c>
      <c r="AT52">
        <f t="shared" si="16"/>
        <v>3534.4466715963758</v>
      </c>
    </row>
    <row r="53" spans="13:49" x14ac:dyDescent="0.2">
      <c r="M53">
        <v>47</v>
      </c>
      <c r="N53">
        <f t="shared" si="7"/>
        <v>3269.8010867686121</v>
      </c>
      <c r="O53">
        <f t="shared" si="10"/>
        <v>-2.4943574083893817E-12</v>
      </c>
      <c r="P53">
        <f t="shared" si="12"/>
        <v>3269.8010867686398</v>
      </c>
      <c r="AQ53">
        <v>47</v>
      </c>
      <c r="AR53">
        <f t="shared" si="9"/>
        <v>3534.4466715963758</v>
      </c>
      <c r="AS53">
        <f t="shared" si="13"/>
        <v>0.17425539118638941</v>
      </c>
      <c r="AT53">
        <f t="shared" si="16"/>
        <v>3534.4329437281308</v>
      </c>
    </row>
    <row r="54" spans="13:49" x14ac:dyDescent="0.2">
      <c r="M54">
        <v>48</v>
      </c>
      <c r="N54">
        <f t="shared" si="7"/>
        <v>3269.8010867686398</v>
      </c>
      <c r="O54">
        <f t="shared" si="10"/>
        <v>7.58518054428811E-13</v>
      </c>
      <c r="P54">
        <f t="shared" si="12"/>
        <v>3269.8010867686316</v>
      </c>
      <c r="AQ54">
        <v>48</v>
      </c>
      <c r="AR54">
        <f t="shared" si="9"/>
        <v>3534.4329437281308</v>
      </c>
      <c r="AS54">
        <f t="shared" si="13"/>
        <v>0.13942556925409849</v>
      </c>
      <c r="AT54">
        <f t="shared" si="16"/>
        <v>3534.4219597600845</v>
      </c>
    </row>
    <row r="55" spans="13:49" x14ac:dyDescent="0.2">
      <c r="M55">
        <v>49</v>
      </c>
      <c r="N55">
        <f t="shared" si="7"/>
        <v>3269.8010867686316</v>
      </c>
      <c r="O55">
        <f t="shared" si="10"/>
        <v>-2.0566264361715614E-13</v>
      </c>
      <c r="P55">
        <f t="shared" si="12"/>
        <v>3269.8010867686339</v>
      </c>
      <c r="R55">
        <f>$G$19</f>
        <v>3148.3333333333335</v>
      </c>
      <c r="S55">
        <f>$S$49</f>
        <v>604.13442009930077</v>
      </c>
      <c r="AQ55">
        <v>49</v>
      </c>
      <c r="AR55">
        <f t="shared" si="9"/>
        <v>3534.4219597600845</v>
      </c>
      <c r="AS55">
        <f t="shared" si="13"/>
        <v>0.11155746315268403</v>
      </c>
      <c r="AT55">
        <f t="shared" si="16"/>
        <v>3534.4131712464946</v>
      </c>
      <c r="AV55">
        <f>$G$19</f>
        <v>3148.3333333333335</v>
      </c>
      <c r="AW55">
        <f>$S$49</f>
        <v>604.13442009930077</v>
      </c>
    </row>
    <row r="56" spans="13:49" x14ac:dyDescent="0.2">
      <c r="M56">
        <v>50</v>
      </c>
      <c r="N56">
        <f t="shared" si="7"/>
        <v>3269.8010867686339</v>
      </c>
      <c r="O56">
        <f t="shared" si="10"/>
        <v>6.1198259400569897E-14</v>
      </c>
      <c r="P56">
        <f t="shared" si="12"/>
        <v>3269.8010867686335</v>
      </c>
      <c r="AQ56">
        <v>50</v>
      </c>
      <c r="AR56">
        <f t="shared" si="9"/>
        <v>3534.4131712464946</v>
      </c>
      <c r="AS56">
        <f t="shared" si="13"/>
        <v>8.9259578868375281E-2</v>
      </c>
      <c r="AT56">
        <f t="shared" si="16"/>
        <v>3534.4061393640163</v>
      </c>
    </row>
    <row r="57" spans="13:49" x14ac:dyDescent="0.2">
      <c r="M57">
        <v>51</v>
      </c>
      <c r="N57">
        <f t="shared" si="7"/>
        <v>3269.8010867686335</v>
      </c>
      <c r="O57">
        <f t="shared" si="10"/>
        <v>3.973458507014062E-15</v>
      </c>
      <c r="P57">
        <f t="shared" si="12"/>
        <v>3269.8010867686335</v>
      </c>
      <c r="AQ57">
        <v>51</v>
      </c>
      <c r="AR57">
        <f t="shared" si="9"/>
        <v>3534.4061393640163</v>
      </c>
      <c r="AS57">
        <f t="shared" si="13"/>
        <v>7.1418551477821335E-2</v>
      </c>
      <c r="AT57">
        <f t="shared" si="16"/>
        <v>3534.4005130005403</v>
      </c>
    </row>
    <row r="58" spans="13:49" x14ac:dyDescent="0.2">
      <c r="M58">
        <v>52</v>
      </c>
      <c r="N58">
        <f t="shared" si="7"/>
        <v>3269.8010867686335</v>
      </c>
      <c r="O58">
        <f t="shared" si="10"/>
        <v>3.2105544736673623E-15</v>
      </c>
      <c r="P58">
        <f t="shared" si="12"/>
        <v>3269.8010867686335</v>
      </c>
      <c r="AQ58">
        <v>52</v>
      </c>
      <c r="AR58">
        <f t="shared" si="9"/>
        <v>3534.4005130005403</v>
      </c>
      <c r="AS58">
        <f t="shared" si="13"/>
        <v>5.7143553246475659E-2</v>
      </c>
      <c r="AT58">
        <f t="shared" si="16"/>
        <v>3534.3960112236109</v>
      </c>
    </row>
    <row r="59" spans="13:49" x14ac:dyDescent="0.2">
      <c r="M59">
        <v>53</v>
      </c>
      <c r="N59">
        <f t="shared" si="7"/>
        <v>3269.8010867686335</v>
      </c>
      <c r="O59">
        <f t="shared" si="10"/>
        <v>2.5941280147232287E-15</v>
      </c>
      <c r="P59">
        <f t="shared" si="12"/>
        <v>3269.8010867686335</v>
      </c>
      <c r="AQ59">
        <v>53</v>
      </c>
      <c r="AR59">
        <f t="shared" si="9"/>
        <v>3534.3960112236109</v>
      </c>
      <c r="AS59">
        <f t="shared" si="13"/>
        <v>4.5721813330214973E-2</v>
      </c>
      <c r="AT59">
        <f t="shared" si="16"/>
        <v>3534.3924092530328</v>
      </c>
    </row>
    <row r="60" spans="13:49" x14ac:dyDescent="0.2">
      <c r="M60">
        <v>54</v>
      </c>
      <c r="N60">
        <f t="shared" si="7"/>
        <v>3269.8010867686335</v>
      </c>
      <c r="O60">
        <f t="shared" si="10"/>
        <v>2.0960554358963689E-15</v>
      </c>
      <c r="P60">
        <f t="shared" si="12"/>
        <v>3269.8010867686335</v>
      </c>
      <c r="AQ60">
        <v>54</v>
      </c>
      <c r="AR60">
        <f t="shared" si="9"/>
        <v>3534.3924092530328</v>
      </c>
      <c r="AS60">
        <f t="shared" si="13"/>
        <v>3.6583028113006247E-2</v>
      </c>
      <c r="AT60">
        <f t="shared" si="16"/>
        <v>3534.3895272372561</v>
      </c>
    </row>
    <row r="61" spans="13:49" x14ac:dyDescent="0.2">
      <c r="M61">
        <v>55</v>
      </c>
      <c r="N61">
        <f t="shared" si="7"/>
        <v>3269.8010867686335</v>
      </c>
      <c r="O61">
        <f t="shared" si="10"/>
        <v>1.6936127922042661E-15</v>
      </c>
      <c r="P61">
        <f t="shared" si="12"/>
        <v>3269.8010867686335</v>
      </c>
      <c r="AQ61">
        <v>55</v>
      </c>
      <c r="AR61">
        <f t="shared" si="9"/>
        <v>3534.3895272372561</v>
      </c>
      <c r="AS61">
        <f t="shared" si="13"/>
        <v>2.9270885137631361E-2</v>
      </c>
      <c r="AT61">
        <f t="shared" si="16"/>
        <v>3534.3872212731162</v>
      </c>
    </row>
    <row r="62" spans="13:49" x14ac:dyDescent="0.2">
      <c r="M62">
        <v>56</v>
      </c>
      <c r="N62">
        <f t="shared" si="7"/>
        <v>3269.8010867686335</v>
      </c>
      <c r="O62">
        <f t="shared" si="10"/>
        <v>1.3684391361010471E-15</v>
      </c>
      <c r="P62">
        <f t="shared" si="12"/>
        <v>3269.8010867686335</v>
      </c>
      <c r="AQ62">
        <v>56</v>
      </c>
      <c r="AR62">
        <f t="shared" si="9"/>
        <v>3534.3872212731162</v>
      </c>
      <c r="AS62">
        <f t="shared" si="13"/>
        <v>2.3420278777221099E-2</v>
      </c>
      <c r="AT62">
        <f t="shared" si="16"/>
        <v>3534.3853762205385</v>
      </c>
    </row>
    <row r="63" spans="13:49" x14ac:dyDescent="0.2">
      <c r="M63">
        <v>57</v>
      </c>
      <c r="N63">
        <f t="shared" si="7"/>
        <v>3269.8010867686335</v>
      </c>
      <c r="O63">
        <f t="shared" si="10"/>
        <v>1.1056988219696461E-15</v>
      </c>
      <c r="P63">
        <f t="shared" si="12"/>
        <v>3269.8010867686335</v>
      </c>
      <c r="AQ63">
        <v>57</v>
      </c>
      <c r="AR63">
        <f t="shared" si="9"/>
        <v>3534.3853762205385</v>
      </c>
      <c r="AS63">
        <f t="shared" si="13"/>
        <v>1.8739079994228216E-2</v>
      </c>
      <c r="AT63">
        <f t="shared" si="16"/>
        <v>3534.3838999534241</v>
      </c>
    </row>
    <row r="64" spans="13:49" x14ac:dyDescent="0.2">
      <c r="M64">
        <v>58</v>
      </c>
      <c r="N64">
        <f t="shared" si="7"/>
        <v>3269.8010867686335</v>
      </c>
      <c r="O64">
        <f t="shared" si="10"/>
        <v>8.9340464815147391E-16</v>
      </c>
      <c r="P64">
        <f t="shared" si="12"/>
        <v>3269.8010867686335</v>
      </c>
      <c r="AQ64">
        <v>58</v>
      </c>
      <c r="AR64">
        <f t="shared" si="9"/>
        <v>3534.3838999534241</v>
      </c>
      <c r="AS64">
        <f t="shared" si="13"/>
        <v>1.4993549923895136E-2</v>
      </c>
      <c r="AT64">
        <f t="shared" si="16"/>
        <v>3534.3827187596598</v>
      </c>
    </row>
    <row r="65" spans="13:49" x14ac:dyDescent="0.2">
      <c r="M65">
        <v>59</v>
      </c>
      <c r="N65">
        <f t="shared" si="7"/>
        <v>3269.8010867686335</v>
      </c>
      <c r="O65">
        <f t="shared" si="10"/>
        <v>7.2187095570639088E-16</v>
      </c>
      <c r="P65">
        <f t="shared" si="12"/>
        <v>3269.8010867686335</v>
      </c>
      <c r="R65">
        <f>$G$20</f>
        <v>2930</v>
      </c>
      <c r="S65">
        <f t="shared" ref="S65" si="26">((R65-N65)^2)^0.5</f>
        <v>339.80108676863347</v>
      </c>
      <c r="AQ65">
        <v>59</v>
      </c>
      <c r="AR65">
        <f t="shared" si="9"/>
        <v>3534.3827187596598</v>
      </c>
      <c r="AS65">
        <f t="shared" si="13"/>
        <v>1.1996668962077666E-2</v>
      </c>
      <c r="AT65">
        <f t="shared" si="16"/>
        <v>3534.3817736605661</v>
      </c>
      <c r="AV65">
        <f>$G$20</f>
        <v>2930</v>
      </c>
      <c r="AW65">
        <f t="shared" ref="AW65" si="27">((AV65-AR65)^2)^0.5</f>
        <v>604.38271875965984</v>
      </c>
    </row>
    <row r="66" spans="13:49" x14ac:dyDescent="0.2">
      <c r="M66">
        <v>60</v>
      </c>
      <c r="N66">
        <f t="shared" si="7"/>
        <v>3269.8010867686335</v>
      </c>
      <c r="O66">
        <f t="shared" si="10"/>
        <v>5.8327173221076385E-16</v>
      </c>
      <c r="P66">
        <f t="shared" si="12"/>
        <v>3269.8010867686335</v>
      </c>
      <c r="AQ66">
        <v>60</v>
      </c>
      <c r="AR66">
        <f t="shared" si="9"/>
        <v>3534.3817736605661</v>
      </c>
      <c r="AS66">
        <f t="shared" si="13"/>
        <v>9.5987986119818163E-3</v>
      </c>
      <c r="AT66">
        <f t="shared" si="16"/>
        <v>3534.3810174660061</v>
      </c>
    </row>
    <row r="67" spans="13:49" x14ac:dyDescent="0.2">
      <c r="M67">
        <v>61</v>
      </c>
      <c r="N67">
        <f t="shared" si="7"/>
        <v>3269.8010867686335</v>
      </c>
      <c r="O67">
        <f t="shared" si="10"/>
        <v>4.7128355962629715E-16</v>
      </c>
      <c r="P67">
        <f t="shared" si="12"/>
        <v>3269.8010867686335</v>
      </c>
      <c r="AQ67">
        <v>61</v>
      </c>
      <c r="AR67">
        <f t="shared" si="9"/>
        <v>3534.3810174660061</v>
      </c>
      <c r="AS67">
        <f t="shared" si="13"/>
        <v>7.6802098224886713E-3</v>
      </c>
      <c r="AT67">
        <f t="shared" si="16"/>
        <v>3534.3804124181152</v>
      </c>
    </row>
    <row r="68" spans="13:49" x14ac:dyDescent="0.2">
      <c r="M68">
        <v>62</v>
      </c>
      <c r="N68">
        <f t="shared" si="7"/>
        <v>3269.8010867686335</v>
      </c>
      <c r="O68">
        <f t="shared" si="10"/>
        <v>3.8079711617804812E-16</v>
      </c>
      <c r="P68">
        <f t="shared" si="12"/>
        <v>3269.8010867686335</v>
      </c>
      <c r="AQ68">
        <v>62</v>
      </c>
      <c r="AR68">
        <f t="shared" si="9"/>
        <v>3534.3804124181152</v>
      </c>
      <c r="AS68">
        <f t="shared" si="13"/>
        <v>6.1451047474722874E-3</v>
      </c>
      <c r="AT68">
        <f t="shared" si="16"/>
        <v>3534.3799283059966</v>
      </c>
    </row>
    <row r="69" spans="13:49" x14ac:dyDescent="0.2">
      <c r="M69">
        <v>63</v>
      </c>
      <c r="N69">
        <f t="shared" si="7"/>
        <v>3269.8010867686335</v>
      </c>
      <c r="O69">
        <f t="shared" si="10"/>
        <v>3.0768406987186287E-16</v>
      </c>
      <c r="P69">
        <f t="shared" si="12"/>
        <v>3269.8010867686335</v>
      </c>
      <c r="AQ69">
        <v>63</v>
      </c>
      <c r="AR69">
        <f t="shared" si="9"/>
        <v>3534.3799283059966</v>
      </c>
      <c r="AS69">
        <f t="shared" si="13"/>
        <v>4.9168334241019712E-3</v>
      </c>
      <c r="AT69">
        <f t="shared" si="16"/>
        <v>3534.3795409572472</v>
      </c>
    </row>
    <row r="70" spans="13:49" x14ac:dyDescent="0.2">
      <c r="M70">
        <v>64</v>
      </c>
      <c r="N70">
        <f t="shared" si="7"/>
        <v>3269.8010867686335</v>
      </c>
      <c r="O70">
        <f t="shared" si="10"/>
        <v>2.486087284564652E-16</v>
      </c>
      <c r="P70">
        <f t="shared" si="12"/>
        <v>3269.8010867686335</v>
      </c>
      <c r="AQ70">
        <v>64</v>
      </c>
      <c r="AR70">
        <f t="shared" si="9"/>
        <v>3534.3795409572472</v>
      </c>
      <c r="AS70">
        <f t="shared" si="13"/>
        <v>3.9340665317316456E-3</v>
      </c>
      <c r="AT70">
        <f t="shared" si="16"/>
        <v>3534.3792310309968</v>
      </c>
    </row>
    <row r="71" spans="13:49" x14ac:dyDescent="0.2">
      <c r="M71">
        <v>65</v>
      </c>
      <c r="N71">
        <f t="shared" si="7"/>
        <v>3269.8010867686335</v>
      </c>
      <c r="O71">
        <f t="shared" si="10"/>
        <v>2.0087585259282386E-16</v>
      </c>
      <c r="P71">
        <f t="shared" si="12"/>
        <v>3269.8010867686335</v>
      </c>
      <c r="AQ71">
        <v>65</v>
      </c>
      <c r="AR71">
        <f t="shared" si="9"/>
        <v>3534.3792310309968</v>
      </c>
      <c r="AS71">
        <f t="shared" si="13"/>
        <v>3.1477331326053375E-3</v>
      </c>
      <c r="AT71">
        <f t="shared" si="16"/>
        <v>3534.3789830521901</v>
      </c>
    </row>
    <row r="72" spans="13:49" x14ac:dyDescent="0.2">
      <c r="M72">
        <v>66</v>
      </c>
      <c r="N72">
        <f t="shared" si="7"/>
        <v>3269.8010867686335</v>
      </c>
      <c r="O72">
        <f t="shared" si="10"/>
        <v>1.6230768889500167E-16</v>
      </c>
      <c r="P72">
        <f t="shared" si="12"/>
        <v>3269.8010867686335</v>
      </c>
      <c r="AQ72">
        <v>66</v>
      </c>
      <c r="AR72">
        <f t="shared" si="9"/>
        <v>3534.3789830521901</v>
      </c>
      <c r="AS72">
        <f t="shared" si="13"/>
        <v>2.518570490466806E-3</v>
      </c>
      <c r="AT72">
        <f t="shared" si="16"/>
        <v>3534.3787846388946</v>
      </c>
    </row>
    <row r="73" spans="13:49" x14ac:dyDescent="0.2">
      <c r="M73">
        <v>67</v>
      </c>
      <c r="N73">
        <f t="shared" ref="N73:N88" si="28">P72</f>
        <v>3269.8010867686335</v>
      </c>
      <c r="O73">
        <f t="shared" si="10"/>
        <v>1.3114461262716135E-16</v>
      </c>
      <c r="P73">
        <f t="shared" si="12"/>
        <v>3269.8010867686335</v>
      </c>
      <c r="AQ73">
        <v>67</v>
      </c>
      <c r="AR73">
        <f t="shared" ref="AR73:AR88" si="29">AT72</f>
        <v>3534.3787846388946</v>
      </c>
      <c r="AS73">
        <f t="shared" si="13"/>
        <v>2.015163626747871E-3</v>
      </c>
      <c r="AT73">
        <f t="shared" si="16"/>
        <v>3534.3786258840546</v>
      </c>
    </row>
    <row r="74" spans="13:49" x14ac:dyDescent="0.2">
      <c r="M74">
        <v>68</v>
      </c>
      <c r="N74">
        <f t="shared" si="28"/>
        <v>3269.8010867686335</v>
      </c>
      <c r="O74">
        <f t="shared" ref="O74:O88" si="30">O73+$B$4*(N74-N73)-$B$5*O73</f>
        <v>1.0596484700274637E-16</v>
      </c>
      <c r="P74">
        <f t="shared" si="12"/>
        <v>3269.8010867686335</v>
      </c>
      <c r="AQ74">
        <v>68</v>
      </c>
      <c r="AR74">
        <f t="shared" si="29"/>
        <v>3534.3786258840546</v>
      </c>
      <c r="AS74">
        <f t="shared" si="13"/>
        <v>1.6123767264164379E-3</v>
      </c>
      <c r="AT74">
        <f t="shared" si="16"/>
        <v>3534.3784988608168</v>
      </c>
    </row>
    <row r="75" spans="13:49" x14ac:dyDescent="0.2">
      <c r="M75">
        <v>69</v>
      </c>
      <c r="N75">
        <f t="shared" si="28"/>
        <v>3269.8010867686335</v>
      </c>
      <c r="O75">
        <f t="shared" si="30"/>
        <v>8.561959637821907E-17</v>
      </c>
      <c r="P75">
        <f t="shared" ref="P75:P88" si="31">N75-$B$2*O75*(N75/($B$3*O75+N75))</f>
        <v>3269.8010867686335</v>
      </c>
      <c r="AQ75">
        <v>69</v>
      </c>
      <c r="AR75">
        <f t="shared" si="29"/>
        <v>3534.3784988608168</v>
      </c>
      <c r="AS75">
        <f t="shared" ref="AS75:AS88" si="32">AS74+$B$4*(AR75-AR74)-$B$5*AS74</f>
        <v>1.2900980711607398E-3</v>
      </c>
      <c r="AT75">
        <f t="shared" si="16"/>
        <v>3534.3783972267311</v>
      </c>
    </row>
    <row r="76" spans="13:49" x14ac:dyDescent="0.2">
      <c r="M76">
        <v>70</v>
      </c>
      <c r="N76">
        <f t="shared" si="28"/>
        <v>3269.8010867686335</v>
      </c>
      <c r="O76">
        <f t="shared" si="30"/>
        <v>6.9180633873601001E-17</v>
      </c>
      <c r="P76">
        <f t="shared" si="31"/>
        <v>3269.8010867686335</v>
      </c>
      <c r="AQ76">
        <v>70</v>
      </c>
      <c r="AR76">
        <f t="shared" si="29"/>
        <v>3534.3783972267311</v>
      </c>
      <c r="AS76">
        <f t="shared" si="32"/>
        <v>1.0322358329283808E-3</v>
      </c>
      <c r="AT76">
        <f t="shared" si="16"/>
        <v>3534.3783159070645</v>
      </c>
    </row>
    <row r="77" spans="13:49" x14ac:dyDescent="0.2">
      <c r="M77">
        <v>71</v>
      </c>
      <c r="N77">
        <f t="shared" si="28"/>
        <v>3269.8010867686335</v>
      </c>
      <c r="O77">
        <f t="shared" si="30"/>
        <v>5.5897952169869605E-17</v>
      </c>
      <c r="P77">
        <f t="shared" si="31"/>
        <v>3269.8010867686335</v>
      </c>
      <c r="AQ77">
        <v>71</v>
      </c>
      <c r="AR77">
        <f t="shared" si="29"/>
        <v>3534.3783159070645</v>
      </c>
      <c r="AS77">
        <f t="shared" si="32"/>
        <v>8.2591458634554663E-4</v>
      </c>
      <c r="AT77">
        <f t="shared" si="16"/>
        <v>3534.3782508414115</v>
      </c>
    </row>
    <row r="78" spans="13:49" x14ac:dyDescent="0.2">
      <c r="M78">
        <v>72</v>
      </c>
      <c r="N78">
        <f t="shared" si="28"/>
        <v>3269.8010867686335</v>
      </c>
      <c r="O78">
        <f t="shared" si="30"/>
        <v>4.5165545353254641E-17</v>
      </c>
      <c r="P78">
        <f t="shared" si="31"/>
        <v>3269.8010867686335</v>
      </c>
      <c r="AQ78">
        <v>72</v>
      </c>
      <c r="AR78">
        <f t="shared" si="29"/>
        <v>3534.3782508414115</v>
      </c>
      <c r="AS78">
        <f t="shared" si="32"/>
        <v>6.6083242047105227E-4</v>
      </c>
      <c r="AT78">
        <f t="shared" si="16"/>
        <v>3534.3781987809516</v>
      </c>
    </row>
    <row r="79" spans="13:49" x14ac:dyDescent="0.2">
      <c r="M79">
        <v>73</v>
      </c>
      <c r="N79">
        <f t="shared" si="28"/>
        <v>3269.8010867686335</v>
      </c>
      <c r="O79">
        <f t="shared" si="30"/>
        <v>3.649376064542975E-17</v>
      </c>
      <c r="P79">
        <f t="shared" si="31"/>
        <v>3269.8010867686335</v>
      </c>
      <c r="AQ79">
        <v>73</v>
      </c>
      <c r="AR79">
        <f t="shared" si="29"/>
        <v>3534.3781987809516</v>
      </c>
      <c r="AS79">
        <f t="shared" si="32"/>
        <v>5.2874654975128472E-4</v>
      </c>
      <c r="AT79">
        <f t="shared" si="16"/>
        <v>3534.378157126233</v>
      </c>
    </row>
    <row r="80" spans="13:49" x14ac:dyDescent="0.2">
      <c r="M80">
        <v>74</v>
      </c>
      <c r="N80">
        <f t="shared" si="28"/>
        <v>3269.8010867686335</v>
      </c>
      <c r="O80">
        <f t="shared" si="30"/>
        <v>2.9486958601507238E-17</v>
      </c>
      <c r="P80">
        <f t="shared" si="31"/>
        <v>3269.8010867686335</v>
      </c>
      <c r="AQ80">
        <v>74</v>
      </c>
      <c r="AR80">
        <f t="shared" si="29"/>
        <v>3534.378157126233</v>
      </c>
      <c r="AS80">
        <f t="shared" si="32"/>
        <v>4.2306174033471223E-4</v>
      </c>
      <c r="AT80">
        <f t="shared" ref="AT80:AT88" si="33">AR80-$AF$2*AS80*(AR80/($AF$3+AR80))</f>
        <v>3534.3781237973767</v>
      </c>
    </row>
    <row r="81" spans="13:49" x14ac:dyDescent="0.2">
      <c r="M81">
        <v>75</v>
      </c>
      <c r="N81">
        <f t="shared" si="28"/>
        <v>3269.8010867686335</v>
      </c>
      <c r="O81">
        <f t="shared" si="30"/>
        <v>2.382546255001785E-17</v>
      </c>
      <c r="P81">
        <f t="shared" si="31"/>
        <v>3269.8010867686335</v>
      </c>
      <c r="AQ81">
        <v>75</v>
      </c>
      <c r="AR81">
        <f t="shared" si="29"/>
        <v>3534.3781237973767</v>
      </c>
      <c r="AS81">
        <f t="shared" si="32"/>
        <v>3.3850100056429693E-4</v>
      </c>
      <c r="AT81">
        <f t="shared" si="33"/>
        <v>3534.3780971302263</v>
      </c>
    </row>
    <row r="82" spans="13:49" x14ac:dyDescent="0.2">
      <c r="M82">
        <v>76</v>
      </c>
      <c r="N82">
        <f t="shared" si="28"/>
        <v>3269.8010867686335</v>
      </c>
      <c r="O82">
        <f t="shared" si="30"/>
        <v>1.9250973740414424E-17</v>
      </c>
      <c r="P82">
        <f t="shared" si="31"/>
        <v>3269.8010867686335</v>
      </c>
      <c r="AQ82">
        <v>76</v>
      </c>
      <c r="AR82">
        <f t="shared" si="29"/>
        <v>3534.3780971302263</v>
      </c>
      <c r="AS82">
        <f t="shared" si="32"/>
        <v>2.7084209341089982E-4</v>
      </c>
      <c r="AT82">
        <f t="shared" si="33"/>
        <v>3534.3780757932527</v>
      </c>
    </row>
    <row r="83" spans="13:49" x14ac:dyDescent="0.2">
      <c r="M83">
        <v>77</v>
      </c>
      <c r="N83">
        <f t="shared" si="28"/>
        <v>3269.8010867686335</v>
      </c>
      <c r="O83">
        <f t="shared" si="30"/>
        <v>1.5554786782254855E-17</v>
      </c>
      <c r="P83">
        <f t="shared" si="31"/>
        <v>3269.8010867686335</v>
      </c>
      <c r="AQ83">
        <v>77</v>
      </c>
      <c r="AR83">
        <f t="shared" si="29"/>
        <v>3534.3780757932527</v>
      </c>
      <c r="AS83">
        <f t="shared" si="32"/>
        <v>2.1670671412280548E-4</v>
      </c>
      <c r="AT83">
        <f t="shared" si="33"/>
        <v>3534.3780587210708</v>
      </c>
    </row>
    <row r="84" spans="13:49" x14ac:dyDescent="0.2">
      <c r="M84">
        <v>78</v>
      </c>
      <c r="N84">
        <f t="shared" si="28"/>
        <v>3269.8010867686335</v>
      </c>
      <c r="O84">
        <f t="shared" si="30"/>
        <v>1.2568267720061922E-17</v>
      </c>
      <c r="P84">
        <f t="shared" si="31"/>
        <v>3269.8010867686335</v>
      </c>
      <c r="AQ84">
        <v>78</v>
      </c>
      <c r="AR84">
        <f t="shared" si="29"/>
        <v>3534.3780587210708</v>
      </c>
      <c r="AS84">
        <f t="shared" si="32"/>
        <v>1.7339180682218698E-4</v>
      </c>
      <c r="AT84">
        <f t="shared" si="33"/>
        <v>3534.378045061243</v>
      </c>
    </row>
    <row r="85" spans="13:49" x14ac:dyDescent="0.2">
      <c r="M85">
        <v>79</v>
      </c>
      <c r="N85">
        <f t="shared" si="28"/>
        <v>3269.8010867686335</v>
      </c>
      <c r="O85">
        <f t="shared" si="30"/>
        <v>1.0155160317810033E-17</v>
      </c>
      <c r="P85">
        <f t="shared" si="31"/>
        <v>3269.8010867686335</v>
      </c>
      <c r="AQ85">
        <v>79</v>
      </c>
      <c r="AR85">
        <f t="shared" si="29"/>
        <v>3534.378045061243</v>
      </c>
      <c r="AS85">
        <f t="shared" si="32"/>
        <v>1.3873459713228324E-4</v>
      </c>
      <c r="AT85">
        <f t="shared" si="33"/>
        <v>3534.3780341317142</v>
      </c>
    </row>
    <row r="86" spans="13:49" x14ac:dyDescent="0.2">
      <c r="M86">
        <v>80</v>
      </c>
      <c r="N86">
        <f t="shared" si="28"/>
        <v>3269.8010867686335</v>
      </c>
      <c r="O86">
        <f t="shared" si="30"/>
        <v>8.2053695367905064E-18</v>
      </c>
      <c r="P86">
        <f t="shared" si="31"/>
        <v>3269.8010867686335</v>
      </c>
      <c r="AQ86">
        <v>80</v>
      </c>
      <c r="AR86">
        <f t="shared" si="29"/>
        <v>3534.3780341317142</v>
      </c>
      <c r="AS86">
        <f t="shared" si="32"/>
        <v>1.1100460160304061E-4</v>
      </c>
      <c r="AT86">
        <f t="shared" si="33"/>
        <v>3534.3780253867581</v>
      </c>
    </row>
    <row r="87" spans="13:49" x14ac:dyDescent="0.2">
      <c r="M87">
        <v>81</v>
      </c>
      <c r="N87">
        <f t="shared" si="28"/>
        <v>3269.8010867686335</v>
      </c>
      <c r="O87">
        <f t="shared" si="30"/>
        <v>6.6299385857267296E-18</v>
      </c>
      <c r="P87">
        <f t="shared" si="31"/>
        <v>3269.8010867686335</v>
      </c>
      <c r="AQ87">
        <v>81</v>
      </c>
      <c r="AR87">
        <f t="shared" si="29"/>
        <v>3534.3780253867581</v>
      </c>
      <c r="AS87">
        <f t="shared" si="32"/>
        <v>8.8817222477648053E-5</v>
      </c>
      <c r="AT87">
        <f t="shared" si="33"/>
        <v>3534.3780183897261</v>
      </c>
    </row>
    <row r="88" spans="13:49" x14ac:dyDescent="0.2">
      <c r="M88">
        <v>82</v>
      </c>
      <c r="N88">
        <f t="shared" si="28"/>
        <v>3269.8010867686335</v>
      </c>
      <c r="O88">
        <f t="shared" si="30"/>
        <v>5.3569903772671978E-18</v>
      </c>
      <c r="P88">
        <f t="shared" si="31"/>
        <v>3269.8010867686335</v>
      </c>
      <c r="R88">
        <f>$G$21</f>
        <v>2882.3333333333335</v>
      </c>
      <c r="S88">
        <f t="shared" ref="S88" si="34">((R88-N88)^2)^0.5</f>
        <v>387.46775343529998</v>
      </c>
      <c r="AQ88">
        <v>82</v>
      </c>
      <c r="AR88">
        <f t="shared" si="29"/>
        <v>3534.3780183897261</v>
      </c>
      <c r="AS88">
        <f t="shared" si="32"/>
        <v>7.1064612565934198E-5</v>
      </c>
      <c r="AT88">
        <f t="shared" si="33"/>
        <v>3534.3780127912473</v>
      </c>
      <c r="AV88">
        <f>$G$21</f>
        <v>2882.3333333333335</v>
      </c>
      <c r="AW88">
        <f t="shared" ref="AW88" si="35">((AV88-AR88)^2)^0.5</f>
        <v>652.04468505639261</v>
      </c>
    </row>
    <row r="92" spans="13:49" x14ac:dyDescent="0.2">
      <c r="S92">
        <f>SUM(S6:S90)</f>
        <v>3884.2904039258365</v>
      </c>
      <c r="AW92">
        <f>SUM(AW6:AW90)</f>
        <v>4647.0545801524095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T5 - Raw Datasets</vt:lpstr>
      <vt:lpstr>T5 - Processed Dataset</vt:lpstr>
      <vt:lpstr>T5-NLR</vt:lpstr>
      <vt:lpstr>T15 - Raw Datasets</vt:lpstr>
      <vt:lpstr>T15 - Processed Dataset</vt:lpstr>
      <vt:lpstr>T15-NLR</vt:lpstr>
      <vt:lpstr>T37 - Raw Datasets</vt:lpstr>
      <vt:lpstr>T37 - Processed Dataset</vt:lpstr>
      <vt:lpstr>T37-NLR</vt:lpstr>
      <vt:lpstr>T7 - Raw Dataset</vt:lpstr>
      <vt:lpstr>T7 - Processed Dataset</vt:lpstr>
      <vt:lpstr>T7-NLR</vt:lpstr>
      <vt:lpstr>T20- Raw Dataset</vt:lpstr>
      <vt:lpstr>T20 - Processed dataset</vt:lpstr>
      <vt:lpstr>T20 - NLR</vt:lpstr>
      <vt:lpstr>T10 - Raw Dataset</vt:lpstr>
      <vt:lpstr>T10 - Processed Dataset</vt:lpstr>
      <vt:lpstr>T10 - NLR</vt:lpstr>
      <vt:lpstr>T10 - 35rpm - Processed</vt:lpstr>
      <vt:lpstr>T10 - 35rpm - NLR</vt:lpstr>
      <vt:lpstr>T10 - 85 rpm - Processed </vt:lpstr>
      <vt:lpstr>T10 - 85 rpm - NLR</vt:lpstr>
    </vt:vector>
  </TitlesOfParts>
  <Company>Cranfield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Gareth Brown</cp:lastModifiedBy>
  <dcterms:created xsi:type="dcterms:W3CDTF">2019-05-13T11:05:20Z</dcterms:created>
  <dcterms:modified xsi:type="dcterms:W3CDTF">2022-12-12T14:43:26Z</dcterms:modified>
</cp:coreProperties>
</file>