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xr:revisionPtr revIDLastSave="0" documentId="13_ncr:1_{1E1E8C76-5329-4452-BBB3-AA5F497337DE}" xr6:coauthVersionLast="46" xr6:coauthVersionMax="46" xr10:uidLastSave="{00000000-0000-0000-0000-000000000000}"/>
  <bookViews>
    <workbookView xWindow="-108" yWindow="-108" windowWidth="23256" windowHeight="12576" activeTab="7" xr2:uid="{00000000-000D-0000-FFFF-FFFF00000000}"/>
  </bookViews>
  <sheets>
    <sheet name="Loam columns" sheetId="1" r:id="rId1"/>
    <sheet name="Standards" sheetId="5" r:id="rId2"/>
    <sheet name="Column D" sheetId="6" r:id="rId3"/>
    <sheet name="Column E" sheetId="2" r:id="rId4"/>
    <sheet name="Column F" sheetId="3" r:id="rId5"/>
    <sheet name="Column G" sheetId="4" r:id="rId6"/>
    <sheet name="Average" sheetId="7" r:id="rId7"/>
    <sheet name="LOAM mass balance" sheetId="8" r:id="rId8"/>
  </sheets>
  <externalReferences>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8" l="1"/>
  <c r="M11" i="8" s="1"/>
  <c r="I10" i="8"/>
  <c r="I11" i="8" s="1"/>
  <c r="E10" i="8"/>
  <c r="E11" i="8" s="1"/>
  <c r="M8" i="8"/>
  <c r="M9" i="8" s="1"/>
  <c r="Q9" i="8" s="1"/>
  <c r="I8" i="8"/>
  <c r="E8" i="8"/>
  <c r="I7" i="8"/>
  <c r="I12" i="8" s="1"/>
  <c r="E7" i="8"/>
  <c r="M6" i="8"/>
  <c r="M7" i="8" s="1"/>
  <c r="I6" i="8"/>
  <c r="E6" i="8"/>
  <c r="M5" i="8"/>
  <c r="J5" i="8" s="1"/>
  <c r="L5" i="8"/>
  <c r="L11" i="8" s="1"/>
  <c r="I5" i="8"/>
  <c r="G5" i="8" s="1"/>
  <c r="H5" i="8"/>
  <c r="H11" i="8" s="1"/>
  <c r="E5" i="8"/>
  <c r="D5" i="8" s="1"/>
  <c r="M4" i="8"/>
  <c r="I4" i="8"/>
  <c r="E4" i="8"/>
  <c r="X16" i="4"/>
  <c r="Y16" i="4"/>
  <c r="W16" i="4"/>
  <c r="X16" i="3"/>
  <c r="Y16" i="3"/>
  <c r="W16" i="3"/>
  <c r="W16" i="2"/>
  <c r="X16" i="2"/>
  <c r="Y16" i="2"/>
  <c r="X7" i="2"/>
  <c r="U7" i="2"/>
  <c r="U4" i="2"/>
  <c r="U16" i="2" s="1"/>
  <c r="V16" i="2"/>
  <c r="T16" i="2"/>
  <c r="E14" i="7"/>
  <c r="E13" i="7"/>
  <c r="E11" i="7"/>
  <c r="E10" i="7"/>
  <c r="E8" i="7"/>
  <c r="E7" i="7"/>
  <c r="E5" i="7"/>
  <c r="E4" i="7"/>
  <c r="G5" i="7"/>
  <c r="G4" i="7"/>
  <c r="G8" i="7"/>
  <c r="G7" i="7"/>
  <c r="G11" i="7"/>
  <c r="G10" i="7"/>
  <c r="I14" i="3"/>
  <c r="J14" i="3"/>
  <c r="M14" i="3"/>
  <c r="L13" i="4"/>
  <c r="I13" i="4"/>
  <c r="I13" i="3"/>
  <c r="R4" i="4"/>
  <c r="J12" i="3"/>
  <c r="M12" i="3" s="1"/>
  <c r="P12" i="3" s="1"/>
  <c r="F4" i="7"/>
  <c r="G14" i="7"/>
  <c r="F14" i="7"/>
  <c r="G13" i="7"/>
  <c r="G16" i="7" s="1"/>
  <c r="F13" i="7"/>
  <c r="F16" i="7" s="1"/>
  <c r="F11" i="7"/>
  <c r="F10" i="7"/>
  <c r="F8" i="7"/>
  <c r="F7" i="7"/>
  <c r="F5" i="7"/>
  <c r="M12" i="8" l="1"/>
  <c r="J8" i="8"/>
  <c r="J9" i="8" s="1"/>
  <c r="J7" i="8"/>
  <c r="Q7" i="8"/>
  <c r="D7" i="8"/>
  <c r="D11" i="8"/>
  <c r="P11" i="8" s="1"/>
  <c r="D8" i="8"/>
  <c r="D9" i="8" s="1"/>
  <c r="Q11" i="8"/>
  <c r="G7" i="8"/>
  <c r="G11" i="8"/>
  <c r="G8" i="8"/>
  <c r="G9" i="8" s="1"/>
  <c r="K5" i="8"/>
  <c r="H7" i="8"/>
  <c r="C5" i="8"/>
  <c r="L7" i="8"/>
  <c r="H8" i="8"/>
  <c r="H9" i="8" s="1"/>
  <c r="B5" i="8"/>
  <c r="E12" i="8"/>
  <c r="F5" i="8"/>
  <c r="L8" i="8"/>
  <c r="L9" i="8" s="1"/>
  <c r="L13" i="3"/>
  <c r="W4" i="4"/>
  <c r="Z4" i="4" s="1"/>
  <c r="M6" i="4"/>
  <c r="O13" i="4"/>
  <c r="N7" i="4"/>
  <c r="O4" i="4"/>
  <c r="J5" i="4"/>
  <c r="M5" i="4" s="1"/>
  <c r="J6" i="4"/>
  <c r="J7" i="4"/>
  <c r="M7" i="4" s="1"/>
  <c r="V7" i="4" s="1"/>
  <c r="Y7" i="4" s="1"/>
  <c r="AB7" i="4" s="1"/>
  <c r="J8" i="4"/>
  <c r="M8" i="4" s="1"/>
  <c r="J9" i="4"/>
  <c r="M9" i="4" s="1"/>
  <c r="J10" i="4"/>
  <c r="M10" i="4" s="1"/>
  <c r="P10" i="4" s="1"/>
  <c r="J11" i="4"/>
  <c r="M11" i="4" s="1"/>
  <c r="P11" i="4" s="1"/>
  <c r="J12" i="4"/>
  <c r="M12" i="4" s="1"/>
  <c r="P12" i="4" s="1"/>
  <c r="J13" i="4"/>
  <c r="M13" i="4" s="1"/>
  <c r="P13" i="4" s="1"/>
  <c r="J14" i="4"/>
  <c r="M14" i="4" s="1"/>
  <c r="P14" i="4" s="1"/>
  <c r="J15" i="4"/>
  <c r="M15" i="4" s="1"/>
  <c r="P15" i="4" s="1"/>
  <c r="J4" i="4"/>
  <c r="M4" i="4" s="1"/>
  <c r="I7" i="4"/>
  <c r="I8" i="4"/>
  <c r="I9" i="4"/>
  <c r="I10" i="4"/>
  <c r="I11" i="4"/>
  <c r="I12" i="4"/>
  <c r="I14" i="4"/>
  <c r="I15" i="4"/>
  <c r="K4" i="3"/>
  <c r="L6" i="2"/>
  <c r="O6" i="2" s="1"/>
  <c r="L4" i="2"/>
  <c r="K11" i="8" l="1"/>
  <c r="K8" i="8"/>
  <c r="K9" i="8" s="1"/>
  <c r="K7" i="8"/>
  <c r="P9" i="8"/>
  <c r="C8" i="8"/>
  <c r="C9" i="8" s="1"/>
  <c r="O9" i="8" s="1"/>
  <c r="C7" i="8"/>
  <c r="O7" i="8" s="1"/>
  <c r="C11" i="8"/>
  <c r="P7" i="8"/>
  <c r="F7" i="8"/>
  <c r="F11" i="8"/>
  <c r="N11" i="8" s="1"/>
  <c r="F8" i="8"/>
  <c r="F9" i="8" s="1"/>
  <c r="Q12" i="8"/>
  <c r="B8" i="8"/>
  <c r="B9" i="8" s="1"/>
  <c r="N9" i="8" s="1"/>
  <c r="B7" i="8"/>
  <c r="N7" i="8" s="1"/>
  <c r="N12" i="8" s="1"/>
  <c r="V4" i="4"/>
  <c r="Y4" i="4" s="1"/>
  <c r="AB4" i="4" s="1"/>
  <c r="P4" i="4"/>
  <c r="R7" i="4"/>
  <c r="O13" i="3"/>
  <c r="R13" i="4"/>
  <c r="L14" i="4"/>
  <c r="J15" i="3"/>
  <c r="I15" i="3"/>
  <c r="K15" i="3"/>
  <c r="N15" i="3" s="1"/>
  <c r="P14" i="3"/>
  <c r="L14" i="3"/>
  <c r="O14" i="3" s="1"/>
  <c r="K14" i="3"/>
  <c r="N14" i="3" s="1"/>
  <c r="J13" i="3"/>
  <c r="M13" i="3" s="1"/>
  <c r="K13" i="3"/>
  <c r="I12" i="3"/>
  <c r="L12" i="3" s="1"/>
  <c r="O12" i="3" s="1"/>
  <c r="K12" i="3"/>
  <c r="N12" i="3" s="1"/>
  <c r="J11" i="3"/>
  <c r="M11" i="3" s="1"/>
  <c r="P11" i="3" s="1"/>
  <c r="I11" i="3"/>
  <c r="L11" i="3" s="1"/>
  <c r="O11" i="3" s="1"/>
  <c r="K11" i="3"/>
  <c r="N11" i="3" s="1"/>
  <c r="J10" i="3"/>
  <c r="I10" i="3"/>
  <c r="L10" i="3" s="1"/>
  <c r="O10" i="3" s="1"/>
  <c r="K10" i="3"/>
  <c r="J9" i="3"/>
  <c r="M9" i="3" s="1"/>
  <c r="P9" i="3" s="1"/>
  <c r="I9" i="3"/>
  <c r="L9" i="3" s="1"/>
  <c r="O9" i="3" s="1"/>
  <c r="K9" i="3"/>
  <c r="N9" i="3" s="1"/>
  <c r="J8" i="3"/>
  <c r="M8" i="3" s="1"/>
  <c r="P8" i="3" s="1"/>
  <c r="I8" i="3"/>
  <c r="L8" i="3" s="1"/>
  <c r="O8" i="3" s="1"/>
  <c r="K8" i="3"/>
  <c r="N8" i="3" s="1"/>
  <c r="J7" i="3"/>
  <c r="M7" i="3" s="1"/>
  <c r="P7" i="3" s="1"/>
  <c r="I7" i="3"/>
  <c r="L7" i="3" s="1"/>
  <c r="O7" i="3" s="1"/>
  <c r="Q7" i="3"/>
  <c r="J6" i="3"/>
  <c r="M6" i="3" s="1"/>
  <c r="P6" i="3" s="1"/>
  <c r="I6" i="3"/>
  <c r="K6" i="3"/>
  <c r="N6" i="3" s="1"/>
  <c r="J5" i="3"/>
  <c r="M5" i="3" s="1"/>
  <c r="P5" i="3" s="1"/>
  <c r="I5" i="3"/>
  <c r="L5" i="3" s="1"/>
  <c r="O5" i="3" s="1"/>
  <c r="K5" i="3"/>
  <c r="N5" i="3" s="1"/>
  <c r="W4" i="3"/>
  <c r="Z4" i="3" s="1"/>
  <c r="Q4" i="3"/>
  <c r="J4" i="3"/>
  <c r="I4" i="3"/>
  <c r="N4" i="3"/>
  <c r="J5" i="2"/>
  <c r="J6" i="2"/>
  <c r="J7" i="2"/>
  <c r="J8" i="2"/>
  <c r="M8" i="2" s="1"/>
  <c r="P8" i="2" s="1"/>
  <c r="J9" i="2"/>
  <c r="M9" i="2" s="1"/>
  <c r="P9" i="2" s="1"/>
  <c r="J10" i="2"/>
  <c r="M10" i="2" s="1"/>
  <c r="P10" i="2" s="1"/>
  <c r="J11" i="2"/>
  <c r="J12" i="2"/>
  <c r="J13" i="2"/>
  <c r="M13" i="2" s="1"/>
  <c r="P13" i="2" s="1"/>
  <c r="J14" i="2"/>
  <c r="M14" i="2" s="1"/>
  <c r="P14" i="2" s="1"/>
  <c r="J15" i="2"/>
  <c r="M15" i="2" s="1"/>
  <c r="P15" i="2" s="1"/>
  <c r="J4" i="2"/>
  <c r="N5" i="2"/>
  <c r="N6" i="2"/>
  <c r="N8" i="2"/>
  <c r="N9" i="2"/>
  <c r="N11" i="2"/>
  <c r="N12" i="2"/>
  <c r="L5" i="2"/>
  <c r="O5" i="2" s="1"/>
  <c r="I7" i="2"/>
  <c r="L7" i="2" s="1"/>
  <c r="O7" i="2" s="1"/>
  <c r="I8" i="2"/>
  <c r="L8" i="2" s="1"/>
  <c r="O8" i="2" s="1"/>
  <c r="I9" i="2"/>
  <c r="I10" i="2"/>
  <c r="I11" i="2"/>
  <c r="L11" i="2" s="1"/>
  <c r="O11" i="2" s="1"/>
  <c r="I12" i="2"/>
  <c r="L12" i="2" s="1"/>
  <c r="O12" i="2" s="1"/>
  <c r="I13" i="2"/>
  <c r="L13" i="2" s="1"/>
  <c r="O13" i="2" s="1"/>
  <c r="I14" i="2"/>
  <c r="L14" i="2" s="1"/>
  <c r="O14" i="2" s="1"/>
  <c r="I15" i="2"/>
  <c r="L15" i="2" s="1"/>
  <c r="O15" i="2" s="1"/>
  <c r="K15" i="4"/>
  <c r="N15" i="4" s="1"/>
  <c r="L15" i="4"/>
  <c r="O15" i="4" s="1"/>
  <c r="K14" i="4"/>
  <c r="N14" i="4" s="1"/>
  <c r="Q13" i="4"/>
  <c r="K13" i="4"/>
  <c r="K12" i="4"/>
  <c r="N12" i="4" s="1"/>
  <c r="L12" i="4"/>
  <c r="O12" i="4" s="1"/>
  <c r="K11" i="4"/>
  <c r="N11" i="4" s="1"/>
  <c r="L11" i="4"/>
  <c r="O11" i="4" s="1"/>
  <c r="Q10" i="4"/>
  <c r="K10" i="4"/>
  <c r="R10" i="4"/>
  <c r="K9" i="4"/>
  <c r="N9" i="4" s="1"/>
  <c r="P9" i="4"/>
  <c r="L9" i="4"/>
  <c r="O9" i="4" s="1"/>
  <c r="K8" i="4"/>
  <c r="P8" i="4"/>
  <c r="L8" i="4"/>
  <c r="O8" i="4" s="1"/>
  <c r="Q7" i="4"/>
  <c r="S7" i="4"/>
  <c r="K6" i="4"/>
  <c r="N6" i="4" s="1"/>
  <c r="P6" i="4"/>
  <c r="L6" i="4"/>
  <c r="O6" i="4" s="1"/>
  <c r="K5" i="4"/>
  <c r="N5" i="4" s="1"/>
  <c r="P5" i="4"/>
  <c r="O5" i="4"/>
  <c r="Q4" i="4"/>
  <c r="K4" i="4"/>
  <c r="N4" i="4" s="1"/>
  <c r="L9" i="2"/>
  <c r="O9" i="2" s="1"/>
  <c r="W4" i="2"/>
  <c r="Z4" i="2" s="1"/>
  <c r="D13" i="5"/>
  <c r="E13" i="5" s="1"/>
  <c r="I12" i="5"/>
  <c r="G12" i="5"/>
  <c r="E12" i="5"/>
  <c r="D12" i="5"/>
  <c r="D11" i="5"/>
  <c r="G11" i="5" s="1"/>
  <c r="D10" i="5"/>
  <c r="E10" i="5" s="1"/>
  <c r="P12" i="8" l="1"/>
  <c r="O11" i="8"/>
  <c r="O12" i="8" s="1"/>
  <c r="L3" i="5"/>
  <c r="I10" i="5"/>
  <c r="T13" i="4"/>
  <c r="W13" i="4" s="1"/>
  <c r="Z13" i="4" s="1"/>
  <c r="N13" i="4"/>
  <c r="S10" i="3"/>
  <c r="M10" i="3"/>
  <c r="L15" i="3"/>
  <c r="R13" i="3"/>
  <c r="T10" i="4"/>
  <c r="W10" i="4" s="1"/>
  <c r="Z10" i="4" s="1"/>
  <c r="N10" i="4"/>
  <c r="G13" i="5"/>
  <c r="I13" i="5"/>
  <c r="M15" i="3"/>
  <c r="V13" i="3" s="1"/>
  <c r="Y13" i="3" s="1"/>
  <c r="AB13" i="3" s="1"/>
  <c r="E11" i="5"/>
  <c r="M4" i="2"/>
  <c r="S4" i="2"/>
  <c r="O14" i="4"/>
  <c r="U13" i="4"/>
  <c r="X13" i="4" s="1"/>
  <c r="AA13" i="4" s="1"/>
  <c r="G10" i="5"/>
  <c r="S4" i="3"/>
  <c r="M4" i="3"/>
  <c r="P4" i="3" s="1"/>
  <c r="T7" i="4"/>
  <c r="W7" i="4" s="1"/>
  <c r="Z7" i="4" s="1"/>
  <c r="N8" i="4"/>
  <c r="T13" i="3"/>
  <c r="W13" i="3" s="1"/>
  <c r="Z13" i="3" s="1"/>
  <c r="L6" i="3"/>
  <c r="O6" i="3" s="1"/>
  <c r="R4" i="3"/>
  <c r="S13" i="4"/>
  <c r="L7" i="4"/>
  <c r="O7" i="4" s="1"/>
  <c r="S13" i="3"/>
  <c r="U10" i="3"/>
  <c r="X10" i="3" s="1"/>
  <c r="AA10" i="3" s="1"/>
  <c r="R10" i="3"/>
  <c r="R7" i="3"/>
  <c r="Q13" i="3"/>
  <c r="M12" i="2"/>
  <c r="P12" i="2" s="1"/>
  <c r="M11" i="2"/>
  <c r="P11" i="2" s="1"/>
  <c r="S7" i="2"/>
  <c r="M7" i="2"/>
  <c r="P7" i="2" s="1"/>
  <c r="M6" i="2"/>
  <c r="P6" i="2" s="1"/>
  <c r="M5" i="2"/>
  <c r="P5" i="2" s="1"/>
  <c r="Q10" i="2"/>
  <c r="N7" i="2"/>
  <c r="T7" i="2"/>
  <c r="W7" i="2" s="1"/>
  <c r="Z7" i="2" s="1"/>
  <c r="R4" i="2"/>
  <c r="Q4" i="2"/>
  <c r="Q13" i="2"/>
  <c r="S10" i="2"/>
  <c r="R13" i="2"/>
  <c r="R10" i="2"/>
  <c r="S13" i="2"/>
  <c r="Q7" i="2"/>
  <c r="N10" i="2"/>
  <c r="T10" i="2"/>
  <c r="W10" i="2" s="1"/>
  <c r="Z10" i="2" s="1"/>
  <c r="N4" i="2"/>
  <c r="S10" i="4"/>
  <c r="S4" i="4"/>
  <c r="K7" i="3"/>
  <c r="N7" i="3" s="1"/>
  <c r="S7" i="3"/>
  <c r="U7" i="3"/>
  <c r="X7" i="3" s="1"/>
  <c r="AA7" i="3" s="1"/>
  <c r="V7" i="3"/>
  <c r="Y7" i="3" s="1"/>
  <c r="AB7" i="3" s="1"/>
  <c r="T10" i="3"/>
  <c r="W10" i="3" s="1"/>
  <c r="Z10" i="3" s="1"/>
  <c r="N10" i="3"/>
  <c r="Q10" i="3"/>
  <c r="N13" i="3"/>
  <c r="L4" i="3"/>
  <c r="O4" i="3" s="1"/>
  <c r="V13" i="4"/>
  <c r="Y13" i="4" s="1"/>
  <c r="AB13" i="4" s="1"/>
  <c r="V10" i="4"/>
  <c r="Y10" i="4" s="1"/>
  <c r="AB10" i="4" s="1"/>
  <c r="L10" i="4"/>
  <c r="O10" i="4" s="1"/>
  <c r="R7" i="2"/>
  <c r="AA7" i="2"/>
  <c r="L10" i="2"/>
  <c r="X4" i="2"/>
  <c r="AA4" i="2" s="1"/>
  <c r="V10" i="2"/>
  <c r="Y10" i="2" s="1"/>
  <c r="AB10" i="2" s="1"/>
  <c r="L4" i="5"/>
  <c r="I11" i="5"/>
  <c r="P15" i="3" l="1"/>
  <c r="U10" i="2"/>
  <c r="X10" i="2" s="1"/>
  <c r="AA10" i="2" s="1"/>
  <c r="O10" i="2"/>
  <c r="M3" i="5"/>
  <c r="M4" i="5"/>
  <c r="O15" i="3"/>
  <c r="U13" i="3"/>
  <c r="X13" i="3" s="1"/>
  <c r="AA13" i="3" s="1"/>
  <c r="V10" i="3"/>
  <c r="Y10" i="3" s="1"/>
  <c r="AB10" i="3" s="1"/>
  <c r="P10" i="3"/>
  <c r="N3" i="5"/>
  <c r="P4" i="2"/>
  <c r="V4" i="2"/>
  <c r="Y4" i="2" s="1"/>
  <c r="AB4" i="2" s="1"/>
  <c r="U7" i="4"/>
  <c r="X7" i="4" s="1"/>
  <c r="AA7" i="4" s="1"/>
  <c r="P13" i="3"/>
  <c r="V4" i="3"/>
  <c r="Y4" i="3" s="1"/>
  <c r="AB4" i="3" s="1"/>
  <c r="T13" i="2"/>
  <c r="W13" i="2" s="1"/>
  <c r="Z13" i="2" s="1"/>
  <c r="N13" i="2"/>
  <c r="T7" i="3"/>
  <c r="W7" i="3" s="1"/>
  <c r="Z7" i="3" s="1"/>
  <c r="U4" i="3"/>
  <c r="X4" i="3" s="1"/>
  <c r="AA4" i="3" s="1"/>
  <c r="O4" i="2"/>
  <c r="U4" i="4"/>
  <c r="X4" i="4" s="1"/>
  <c r="AA4" i="4" s="1"/>
  <c r="P7" i="4"/>
  <c r="U10" i="4"/>
  <c r="X10" i="4" s="1"/>
  <c r="AA10" i="4" s="1"/>
  <c r="V7" i="2"/>
  <c r="Y7" i="2" s="1"/>
  <c r="AB7" i="2" s="1"/>
  <c r="V13" i="2"/>
  <c r="Y13" i="2" s="1"/>
  <c r="AB13" i="2" s="1"/>
  <c r="U13" i="2"/>
  <c r="X13" i="2" s="1"/>
  <c r="AA13" i="2" s="1"/>
  <c r="N4" i="5"/>
  <c r="F32" i="1" l="1"/>
  <c r="F31" i="1"/>
  <c r="F30" i="1"/>
  <c r="F13" i="1"/>
  <c r="F4" i="1"/>
  <c r="F14" i="1"/>
  <c r="F15" i="1"/>
  <c r="F16" i="1"/>
  <c r="D31" i="1" l="1"/>
  <c r="D30" i="1"/>
  <c r="D32" i="1" s="1"/>
  <c r="D13" i="1"/>
  <c r="D15" i="1"/>
  <c r="D16" i="1"/>
  <c r="D14" i="1"/>
  <c r="F23" i="1" l="1"/>
  <c r="F24" i="1"/>
  <c r="F25" i="1"/>
  <c r="F22" i="1"/>
  <c r="F5" i="1"/>
  <c r="F6" i="1"/>
  <c r="F7" i="1"/>
  <c r="F26" i="1" l="1"/>
  <c r="F17" i="1"/>
  <c r="G5" i="1"/>
  <c r="F8" i="1"/>
  <c r="D23" i="1"/>
  <c r="G23" i="1" s="1"/>
  <c r="D24" i="1"/>
  <c r="G24" i="1" s="1"/>
  <c r="D25" i="1"/>
  <c r="G25" i="1" s="1"/>
  <c r="D22" i="1"/>
  <c r="D5" i="1"/>
  <c r="D6" i="1"/>
  <c r="G6" i="1" s="1"/>
  <c r="D7" i="1"/>
  <c r="G7" i="1" s="1"/>
  <c r="D4" i="1"/>
  <c r="G4" i="1" s="1"/>
  <c r="G22" i="1" l="1"/>
  <c r="D8" i="1"/>
  <c r="G14" i="1"/>
  <c r="G15" i="1"/>
  <c r="G16" i="1"/>
  <c r="G13" i="1"/>
</calcChain>
</file>

<file path=xl/sharedStrings.xml><?xml version="1.0" encoding="utf-8"?>
<sst xmlns="http://schemas.openxmlformats.org/spreadsheetml/2006/main" count="262" uniqueCount="80">
  <si>
    <t>Floor 4</t>
  </si>
  <si>
    <t>Floor 3</t>
  </si>
  <si>
    <t>Floor 2</t>
  </si>
  <si>
    <t>Floor 1</t>
  </si>
  <si>
    <t>m full (g)</t>
  </si>
  <si>
    <t>m empty (g)</t>
  </si>
  <si>
    <t>m soil (g)</t>
  </si>
  <si>
    <t>Total</t>
  </si>
  <si>
    <t>Dry (before)</t>
  </si>
  <si>
    <t>Dry before</t>
  </si>
  <si>
    <t>m dry (g)</t>
  </si>
  <si>
    <t>Level</t>
  </si>
  <si>
    <t>Triplicate</t>
  </si>
  <si>
    <t>Mass (g)</t>
  </si>
  <si>
    <t>Vol (mL)</t>
  </si>
  <si>
    <t>Area</t>
  </si>
  <si>
    <t>NTO</t>
  </si>
  <si>
    <t>DNAN</t>
  </si>
  <si>
    <t>RDX</t>
  </si>
  <si>
    <t>% water</t>
  </si>
  <si>
    <t>Column E</t>
  </si>
  <si>
    <t>Column F</t>
  </si>
  <si>
    <t>Column G</t>
  </si>
  <si>
    <t>Column D</t>
  </si>
  <si>
    <t>Control- Column D</t>
  </si>
  <si>
    <t>Top</t>
  </si>
  <si>
    <t>Bottom</t>
  </si>
  <si>
    <t>Negative control</t>
  </si>
  <si>
    <t>IMX-104 standards</t>
  </si>
  <si>
    <t>Column C</t>
  </si>
  <si>
    <t>Stock solution</t>
  </si>
  <si>
    <t>slope</t>
  </si>
  <si>
    <t>inter</t>
  </si>
  <si>
    <t>m (mg)</t>
  </si>
  <si>
    <t>V (L)</t>
  </si>
  <si>
    <t>Conc (ppm)</t>
  </si>
  <si>
    <t>Sample</t>
  </si>
  <si>
    <t>V stock (ml)</t>
  </si>
  <si>
    <t>V final (ml)</t>
  </si>
  <si>
    <t>Area 3</t>
  </si>
  <si>
    <t>Blank</t>
  </si>
  <si>
    <t>Columns D, E, F and G</t>
  </si>
  <si>
    <t>Mass (mg)</t>
  </si>
  <si>
    <t>Mass in column</t>
  </si>
  <si>
    <t>Conc average (ppm)</t>
  </si>
  <si>
    <t>Total mass (mg)</t>
  </si>
  <si>
    <t>µg/g soil</t>
  </si>
  <si>
    <t>Soil mass (g)</t>
  </si>
  <si>
    <t>Average</t>
  </si>
  <si>
    <t>µg compound / g soil</t>
  </si>
  <si>
    <t>average</t>
  </si>
  <si>
    <t>Level 1</t>
  </si>
  <si>
    <t>Priscilla's</t>
  </si>
  <si>
    <t>Me</t>
  </si>
  <si>
    <t>1-E</t>
  </si>
  <si>
    <t>1-F</t>
  </si>
  <si>
    <t>1-G</t>
  </si>
  <si>
    <t>2-E</t>
  </si>
  <si>
    <t>2-F</t>
  </si>
  <si>
    <t>2-G</t>
  </si>
  <si>
    <t>3-E</t>
  </si>
  <si>
    <t>3-F</t>
  </si>
  <si>
    <t>3-G</t>
  </si>
  <si>
    <t>4-E</t>
  </si>
  <si>
    <t>4-F</t>
  </si>
  <si>
    <t>4-G</t>
  </si>
  <si>
    <t>Part 1</t>
  </si>
  <si>
    <t>Part 2</t>
  </si>
  <si>
    <t>Part 3</t>
  </si>
  <si>
    <t>Part 4</t>
  </si>
  <si>
    <t>Mass balance</t>
  </si>
  <si>
    <t>Average (%)</t>
  </si>
  <si>
    <t>Percentage</t>
  </si>
  <si>
    <t>Initial mass (mg)</t>
  </si>
  <si>
    <t>Mass leachate (mg)</t>
  </si>
  <si>
    <t>% leachate</t>
  </si>
  <si>
    <t>Mass flake (mg)</t>
  </si>
  <si>
    <t>% flake</t>
  </si>
  <si>
    <t>Mass columns (mg)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</si>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</sst>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
  </numFmts>
  <fonts count="8" x14ac:knownFonts="1">
    <font>
      <sz val="11"/>
      <color theme="1"/>
      <name val="Calibri"/>
      <family val="2"/>
      <scheme val="minor"/>
    </font>
    <font>
      <b/>
      <sz val="11"/>
      <color theme="1"/>
      <name val="Calibri"/>
      <family val="2"/>
      <scheme val="minor"/>
    </font>
    <font>
      <sz val="11"/>
      <color theme="9" tint="-0.249977111117893"/>
      <name val="Calibri"/>
      <family val="2"/>
      <scheme val="minor"/>
    </font>
    <font>
      <sz val="11"/>
      <color rgb="FFFF0000"/>
      <name val="Calibri"/>
      <family val="2"/>
      <scheme val="minor"/>
    </font>
    <font>
      <sz val="11"/>
      <color theme="8"/>
      <name val="Calibri"/>
      <family val="2"/>
      <scheme val="minor"/>
    </font>
    <font>
      <sz val="11"/>
      <color theme="1"/>
      <name val="Calibri"/>
      <family val="2"/>
    </font>
    <font>
      <sz val="14"/>
      <color theme="1"/>
      <name val="Calibri"/>
      <family val="2"/>
      <scheme val="minor"/>
    </font>
    <font>
      <b/>
      <sz val="11"/>
      <color theme="8"/>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50">
    <xf numFmtId="0" fontId="0" fillId="0" borderId="0" xfId="0"/>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0" borderId="0" xfId="0" applyAlignment="1">
      <alignment horizontal="center"/>
    </xf>
    <xf numFmtId="14" fontId="0" fillId="0" borderId="0" xfId="0" applyNumberFormat="1"/>
    <xf numFmtId="0" fontId="0" fillId="0" borderId="0" xfId="0" applyAlignment="1">
      <alignment horizontal="center" vertical="center"/>
    </xf>
    <xf numFmtId="0" fontId="1" fillId="6" borderId="0" xfId="0" applyFont="1" applyFill="1"/>
    <xf numFmtId="0" fontId="1" fillId="7" borderId="0" xfId="0" applyFont="1" applyFill="1"/>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Font="1"/>
    <xf numFmtId="0" fontId="2" fillId="8" borderId="0" xfId="0" applyFont="1" applyFill="1"/>
    <xf numFmtId="1" fontId="1" fillId="0" borderId="0" xfId="0" applyNumberFormat="1" applyFont="1" applyAlignment="1">
      <alignment horizontal="center"/>
    </xf>
    <xf numFmtId="0" fontId="1" fillId="9" borderId="0" xfId="0" applyFont="1" applyFill="1"/>
    <xf numFmtId="0" fontId="0" fillId="0" borderId="0" xfId="0" applyAlignment="1">
      <alignment horizontal="center" vertical="center"/>
    </xf>
    <xf numFmtId="0" fontId="0" fillId="0" borderId="0" xfId="0" applyAlignment="1">
      <alignment horizontal="center" vertical="center"/>
    </xf>
    <xf numFmtId="0" fontId="0" fillId="0" borderId="5" xfId="0" applyBorder="1"/>
    <xf numFmtId="0" fontId="0" fillId="0" borderId="0" xfId="0" applyBorder="1"/>
    <xf numFmtId="0" fontId="0" fillId="0" borderId="6" xfId="0" applyBorder="1"/>
    <xf numFmtId="1" fontId="0" fillId="0" borderId="0" xfId="0" applyNumberFormat="1" applyAlignment="1">
      <alignment horizontal="center"/>
    </xf>
    <xf numFmtId="1" fontId="0" fillId="0" borderId="5" xfId="0" applyNumberFormat="1" applyBorder="1" applyAlignment="1">
      <alignment horizontal="center"/>
    </xf>
    <xf numFmtId="0" fontId="0" fillId="0" borderId="7" xfId="0" applyBorder="1"/>
    <xf numFmtId="0" fontId="0" fillId="0" borderId="8" xfId="0" applyBorder="1"/>
    <xf numFmtId="0" fontId="3" fillId="0" borderId="0" xfId="0" applyFont="1"/>
    <xf numFmtId="1" fontId="0" fillId="0" borderId="5" xfId="0" applyNumberFormat="1" applyBorder="1" applyAlignment="1">
      <alignment horizontal="center" vertical="center"/>
    </xf>
    <xf numFmtId="1" fontId="0" fillId="0" borderId="0" xfId="0" applyNumberFormat="1" applyBorder="1" applyAlignment="1">
      <alignment horizontal="center"/>
    </xf>
    <xf numFmtId="1" fontId="0" fillId="0" borderId="7" xfId="0" applyNumberFormat="1" applyBorder="1" applyAlignment="1">
      <alignment horizontal="center" vertical="center"/>
    </xf>
    <xf numFmtId="0" fontId="0" fillId="0" borderId="11" xfId="0" applyBorder="1"/>
    <xf numFmtId="1" fontId="0" fillId="0" borderId="11" xfId="0" applyNumberForma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2" fontId="0" fillId="0" borderId="0" xfId="0" applyNumberFormat="1" applyBorder="1" applyAlignment="1">
      <alignment horizontal="center" vertical="center"/>
    </xf>
    <xf numFmtId="1" fontId="0" fillId="0" borderId="6" xfId="0" applyNumberFormat="1" applyBorder="1" applyAlignment="1">
      <alignment horizontal="center"/>
    </xf>
    <xf numFmtId="165" fontId="0" fillId="0" borderId="0" xfId="0" applyNumberFormat="1" applyBorder="1" applyAlignment="1">
      <alignment horizontal="center" vertical="center"/>
    </xf>
    <xf numFmtId="2" fontId="0" fillId="0" borderId="0" xfId="0" applyNumberFormat="1" applyBorder="1" applyAlignment="1">
      <alignment horizontal="center"/>
    </xf>
    <xf numFmtId="2" fontId="0" fillId="0" borderId="6" xfId="0" applyNumberFormat="1" applyBorder="1" applyAlignment="1">
      <alignment horizontal="center"/>
    </xf>
    <xf numFmtId="165" fontId="0" fillId="0" borderId="6" xfId="0" applyNumberFormat="1"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1" fontId="0" fillId="0" borderId="7" xfId="0" applyNumberFormat="1" applyBorder="1" applyAlignment="1">
      <alignment horizontal="center"/>
    </xf>
    <xf numFmtId="2" fontId="0" fillId="0" borderId="11" xfId="0" applyNumberFormat="1" applyBorder="1" applyAlignment="1">
      <alignment horizontal="center" vertical="center"/>
    </xf>
    <xf numFmtId="2" fontId="0" fillId="0" borderId="8" xfId="0" applyNumberFormat="1" applyBorder="1" applyAlignment="1">
      <alignment horizontal="center"/>
    </xf>
    <xf numFmtId="165" fontId="0" fillId="0" borderId="11" xfId="0" applyNumberForma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ill="1" applyBorder="1" applyAlignment="1">
      <alignment horizontal="center"/>
    </xf>
    <xf numFmtId="165" fontId="0" fillId="0" borderId="0" xfId="0" applyNumberFormat="1" applyBorder="1" applyAlignment="1">
      <alignment horizontal="center"/>
    </xf>
    <xf numFmtId="165" fontId="0" fillId="0" borderId="11" xfId="0" applyNumberFormat="1" applyBorder="1" applyAlignment="1">
      <alignment horizontal="center"/>
    </xf>
    <xf numFmtId="2" fontId="0" fillId="0" borderId="11" xfId="0" applyNumberFormat="1" applyBorder="1" applyAlignment="1">
      <alignment horizontal="center"/>
    </xf>
    <xf numFmtId="1" fontId="0" fillId="0" borderId="0" xfId="0" applyNumberFormat="1" applyAlignment="1">
      <alignment horizontal="center" vertical="center"/>
    </xf>
    <xf numFmtId="164" fontId="0" fillId="0" borderId="0" xfId="0" applyNumberFormat="1" applyBorder="1" applyAlignment="1">
      <alignment horizontal="center" vertical="center"/>
    </xf>
    <xf numFmtId="164" fontId="0" fillId="0" borderId="6" xfId="0" applyNumberFormat="1" applyBorder="1" applyAlignment="1">
      <alignment horizontal="center"/>
    </xf>
    <xf numFmtId="0" fontId="0" fillId="6" borderId="0" xfId="0" applyFill="1"/>
    <xf numFmtId="167" fontId="0" fillId="0" borderId="6" xfId="0" applyNumberFormat="1" applyBorder="1" applyAlignment="1">
      <alignment horizontal="center"/>
    </xf>
    <xf numFmtId="166" fontId="0" fillId="0" borderId="0" xfId="0" applyNumberFormat="1" applyBorder="1" applyAlignment="1">
      <alignment horizontal="center"/>
    </xf>
    <xf numFmtId="0" fontId="0" fillId="11" borderId="0" xfId="0" applyFill="1" applyAlignment="1">
      <alignment horizontal="center"/>
    </xf>
    <xf numFmtId="165" fontId="0" fillId="0" borderId="6" xfId="0" applyNumberFormat="1" applyBorder="1"/>
    <xf numFmtId="2" fontId="0" fillId="0" borderId="6" xfId="0" applyNumberFormat="1" applyBorder="1" applyAlignment="1">
      <alignment horizontal="center" vertical="center"/>
    </xf>
    <xf numFmtId="1" fontId="0" fillId="0" borderId="0" xfId="0" applyNumberFormat="1" applyBorder="1" applyAlignment="1">
      <alignment horizontal="center" vertical="center"/>
    </xf>
    <xf numFmtId="164" fontId="0" fillId="0" borderId="6" xfId="0" applyNumberFormat="1" applyBorder="1" applyAlignment="1">
      <alignment horizontal="center" vertical="center"/>
    </xf>
    <xf numFmtId="1" fontId="0" fillId="0" borderId="6" xfId="0" applyNumberFormat="1" applyBorder="1" applyAlignment="1">
      <alignment horizontal="center" vertical="center"/>
    </xf>
    <xf numFmtId="1" fontId="0" fillId="0" borderId="0" xfId="0" applyNumberFormat="1"/>
    <xf numFmtId="1" fontId="0" fillId="0" borderId="11" xfId="0" applyNumberFormat="1" applyBorder="1" applyAlignment="1">
      <alignment horizontal="center" vertical="center"/>
    </xf>
    <xf numFmtId="1" fontId="0" fillId="0" borderId="8" xfId="0" applyNumberFormat="1" applyBorder="1" applyAlignment="1">
      <alignment horizontal="center"/>
    </xf>
    <xf numFmtId="2" fontId="0" fillId="0" borderId="5" xfId="0" applyNumberFormat="1" applyBorder="1" applyAlignment="1">
      <alignment horizontal="center" vertical="center"/>
    </xf>
    <xf numFmtId="164" fontId="0" fillId="0" borderId="5" xfId="0" applyNumberForma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10" borderId="2" xfId="0" applyFill="1" applyBorder="1" applyAlignment="1">
      <alignment horizontal="center"/>
    </xf>
    <xf numFmtId="0" fontId="0" fillId="10" borderId="4"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11" borderId="9" xfId="0" applyFill="1" applyBorder="1" applyAlignment="1">
      <alignment horizontal="center"/>
    </xf>
    <xf numFmtId="0" fontId="0" fillId="11" borderId="12" xfId="0" applyFill="1" applyBorder="1" applyAlignment="1">
      <alignment horizontal="center"/>
    </xf>
    <xf numFmtId="0" fontId="0" fillId="11" borderId="10" xfId="0" applyFill="1" applyBorder="1" applyAlignment="1">
      <alignment horizontal="center"/>
    </xf>
    <xf numFmtId="0" fontId="0" fillId="0" borderId="0" xfId="0" applyAlignment="1">
      <alignment horizontal="center" vertical="center"/>
    </xf>
    <xf numFmtId="0" fontId="1" fillId="0" borderId="0" xfId="0" applyFont="1" applyAlignment="1">
      <alignment horizontal="center"/>
    </xf>
    <xf numFmtId="0" fontId="1" fillId="8" borderId="0" xfId="0" applyFont="1" applyFill="1" applyAlignment="1">
      <alignment horizontal="center" vertical="center"/>
    </xf>
    <xf numFmtId="0" fontId="0" fillId="12" borderId="9" xfId="0" applyFill="1" applyBorder="1" applyAlignment="1">
      <alignment horizontal="center"/>
    </xf>
    <xf numFmtId="0" fontId="0" fillId="12" borderId="12" xfId="0" applyFill="1" applyBorder="1" applyAlignment="1">
      <alignment horizontal="center"/>
    </xf>
    <xf numFmtId="0" fontId="0" fillId="12" borderId="10" xfId="0" applyFill="1" applyBorder="1" applyAlignment="1">
      <alignment horizont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xf>
    <xf numFmtId="0" fontId="0" fillId="10" borderId="9" xfId="0" applyFill="1" applyBorder="1" applyAlignment="1">
      <alignment horizontal="center"/>
    </xf>
    <xf numFmtId="0" fontId="0" fillId="10" borderId="12" xfId="0" applyFill="1" applyBorder="1" applyAlignment="1">
      <alignment horizontal="center"/>
    </xf>
    <xf numFmtId="0" fontId="0" fillId="10" borderId="10" xfId="0"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xf>
    <xf numFmtId="0" fontId="0" fillId="0" borderId="0" xfId="0" applyAlignment="1">
      <alignment horizontal="center"/>
    </xf>
    <xf numFmtId="0" fontId="6" fillId="0" borderId="0" xfId="0" applyFont="1"/>
    <xf numFmtId="0" fontId="0" fillId="2" borderId="9" xfId="0" applyFill="1" applyBorder="1" applyAlignment="1">
      <alignment horizontal="center"/>
    </xf>
    <xf numFmtId="0" fontId="0" fillId="2" borderId="12" xfId="0" applyFill="1" applyBorder="1" applyAlignment="1">
      <alignment horizontal="center"/>
    </xf>
    <xf numFmtId="0" fontId="0" fillId="2" borderId="10" xfId="0" applyFill="1" applyBorder="1" applyAlignment="1">
      <alignment horizontal="center"/>
    </xf>
    <xf numFmtId="0" fontId="0" fillId="5" borderId="9" xfId="0" applyFill="1" applyBorder="1" applyAlignment="1">
      <alignment horizontal="center" vertical="center"/>
    </xf>
    <xf numFmtId="0" fontId="0" fillId="5" borderId="12" xfId="0" applyFill="1" applyBorder="1" applyAlignment="1">
      <alignment horizontal="center" vertical="center"/>
    </xf>
    <xf numFmtId="0" fontId="0" fillId="5" borderId="10"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3" borderId="10" xfId="0" applyFill="1" applyBorder="1" applyAlignment="1">
      <alignment horizontal="center" vertical="center"/>
    </xf>
    <xf numFmtId="0" fontId="0" fillId="13" borderId="9" xfId="0" applyFill="1" applyBorder="1" applyAlignment="1">
      <alignment horizontal="center" vertical="center"/>
    </xf>
    <xf numFmtId="0" fontId="0" fillId="13" borderId="12" xfId="0" applyFill="1" applyBorder="1" applyAlignment="1">
      <alignment horizontal="center" vertical="center"/>
    </xf>
    <xf numFmtId="0" fontId="0" fillId="13" borderId="10" xfId="0" applyFill="1" applyBorder="1" applyAlignment="1">
      <alignment horizontal="center" vertical="center"/>
    </xf>
    <xf numFmtId="0" fontId="0" fillId="0" borderId="2" xfId="0" applyBorder="1"/>
    <xf numFmtId="1" fontId="0" fillId="0" borderId="2"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1" fontId="1" fillId="0" borderId="6" xfId="0" applyNumberFormat="1" applyFont="1" applyBorder="1" applyAlignment="1">
      <alignment horizontal="center"/>
    </xf>
    <xf numFmtId="1" fontId="1" fillId="0" borderId="8" xfId="0" applyNumberFormat="1" applyFont="1" applyBorder="1" applyAlignment="1">
      <alignment horizontal="center"/>
    </xf>
    <xf numFmtId="1" fontId="4" fillId="0" borderId="2" xfId="0" applyNumberFormat="1" applyFont="1" applyBorder="1" applyAlignment="1">
      <alignment horizontal="center"/>
    </xf>
    <xf numFmtId="1" fontId="4" fillId="0" borderId="4" xfId="0" applyNumberFormat="1" applyFont="1" applyBorder="1" applyAlignment="1">
      <alignment horizontal="center"/>
    </xf>
    <xf numFmtId="1" fontId="4" fillId="0" borderId="3" xfId="0" applyNumberFormat="1" applyFont="1" applyBorder="1" applyAlignment="1">
      <alignment horizontal="center"/>
    </xf>
    <xf numFmtId="1" fontId="4" fillId="0" borderId="7" xfId="0" applyNumberFormat="1" applyFont="1" applyBorder="1" applyAlignment="1">
      <alignment horizontal="center" vertical="center"/>
    </xf>
    <xf numFmtId="1" fontId="7" fillId="0" borderId="8" xfId="0" applyNumberFormat="1" applyFont="1" applyBorder="1" applyAlignment="1">
      <alignment horizontal="center"/>
    </xf>
    <xf numFmtId="1" fontId="4" fillId="0" borderId="11" xfId="0" applyNumberFormat="1" applyFont="1" applyBorder="1" applyAlignment="1">
      <alignment horizontal="center"/>
    </xf>
    <xf numFmtId="1" fontId="1" fillId="0" borderId="0" xfId="0" applyNumberFormat="1" applyFont="1" applyAlignment="1">
      <alignment horizontal="center" vertical="center"/>
    </xf>
    <xf numFmtId="1" fontId="4" fillId="0" borderId="7" xfId="0" applyNumberFormat="1" applyFont="1" applyBorder="1" applyAlignment="1">
      <alignment horizontal="center"/>
    </xf>
    <xf numFmtId="1" fontId="1" fillId="0" borderId="8" xfId="0" applyNumberFormat="1" applyFont="1" applyBorder="1" applyAlignment="1">
      <alignment horizontal="center" vertical="center"/>
    </xf>
    <xf numFmtId="1" fontId="0" fillId="0" borderId="2" xfId="0" applyNumberFormat="1" applyBorder="1" applyAlignment="1">
      <alignment horizontal="center" vertic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1" fillId="0" borderId="8" xfId="0" applyNumberFormat="1" applyFont="1" applyBorder="1" applyAlignment="1">
      <alignment horizontal="center"/>
    </xf>
    <xf numFmtId="164" fontId="0" fillId="0" borderId="1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11/relationships/chartColorStyle" Target="colors3.xml"/><Relationship Id="rId1" Type="http://schemas.microsoft.com/office/2011/relationships/chartStyle" Target="style3.xml"/><Relationship Id="rId5" Type="http://schemas.openxmlformats.org/officeDocument/2006/relationships/image" Target="../media/image4.jpeg"/><Relationship Id="rId4" Type="http://schemas.openxmlformats.org/officeDocument/2006/relationships/image" Target="../media/image3.jpeg"/></Relationships>
</file>

<file path=xl/charts/_rels/chart4.xml.rels><?xml version="1.0" encoding="UTF-8" standalone="yes"?>
<Relationships xmlns="http://schemas.openxmlformats.org/package/2006/relationships"><Relationship Id="rId3" Type="http://schemas.openxmlformats.org/officeDocument/2006/relationships/image" Target="../media/image5.jpeg"/><Relationship Id="rId2" Type="http://schemas.microsoft.com/office/2011/relationships/chartColorStyle" Target="colors4.xml"/><Relationship Id="rId1" Type="http://schemas.microsoft.com/office/2011/relationships/chartStyle" Target="style4.xml"/><Relationship Id="rId5" Type="http://schemas.openxmlformats.org/officeDocument/2006/relationships/image" Target="../media/image4.jpeg"/><Relationship Id="rId4" Type="http://schemas.openxmlformats.org/officeDocument/2006/relationships/image" Target="../media/image3.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NTO</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1"/>
            <c:dispEq val="1"/>
            <c:trendlineLbl>
              <c:layout>
                <c:manualLayout>
                  <c:x val="0.10306561679790026"/>
                  <c:y val="0.1711019976669583"/>
                </c:manualLayout>
              </c:layout>
              <c:numFmt formatCode="General" sourceLinked="0"/>
              <c:spPr>
                <a:solidFill>
                  <a:schemeClr val="lt1"/>
                </a:solidFill>
                <a:ln w="12700" cap="flat" cmpd="sng" algn="ctr">
                  <a:solidFill>
                    <a:schemeClr val="accent1"/>
                  </a:solidFill>
                  <a:prstDash val="solid"/>
                  <a:miter lim="800000"/>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xVal>
            <c:numRef>
              <c:f>Standards!$E$10:$E$13</c:f>
              <c:numCache>
                <c:formatCode>0</c:formatCode>
                <c:ptCount val="4"/>
                <c:pt idx="0">
                  <c:v>0</c:v>
                </c:pt>
                <c:pt idx="1">
                  <c:v>5.3582999999999998</c:v>
                </c:pt>
                <c:pt idx="2">
                  <c:v>10.7166</c:v>
                </c:pt>
                <c:pt idx="3">
                  <c:v>26.791499999999999</c:v>
                </c:pt>
              </c:numCache>
            </c:numRef>
          </c:xVal>
          <c:yVal>
            <c:numRef>
              <c:f>Standards!$F$10:$F$13</c:f>
              <c:numCache>
                <c:formatCode>General</c:formatCode>
                <c:ptCount val="4"/>
                <c:pt idx="0">
                  <c:v>0</c:v>
                </c:pt>
                <c:pt idx="1">
                  <c:v>60427</c:v>
                </c:pt>
                <c:pt idx="2">
                  <c:v>119021</c:v>
                </c:pt>
                <c:pt idx="3">
                  <c:v>311164</c:v>
                </c:pt>
              </c:numCache>
            </c:numRef>
          </c:yVal>
          <c:smooth val="0"/>
          <c:extLst>
            <c:ext xmlns:c16="http://schemas.microsoft.com/office/drawing/2014/chart" uri="{C3380CC4-5D6E-409C-BE32-E72D297353CC}">
              <c16:uniqueId val="{00000000-F302-41BB-BF10-BFA9F4D1A3BD}"/>
            </c:ext>
          </c:extLst>
        </c:ser>
        <c:ser>
          <c:idx val="1"/>
          <c:order val="1"/>
          <c:tx>
            <c:v>DNAN</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1"/>
            <c:dispEq val="1"/>
            <c:trendlineLbl>
              <c:layout>
                <c:manualLayout>
                  <c:x val="-8.8283464566929135E-2"/>
                  <c:y val="6.0185185185185182E-2"/>
                </c:manualLayout>
              </c:layout>
              <c:numFmt formatCode="General" sourceLinked="0"/>
              <c:spPr>
                <a:solidFill>
                  <a:schemeClr val="lt1"/>
                </a:solidFill>
                <a:ln w="12700" cap="flat" cmpd="sng" algn="ctr">
                  <a:solidFill>
                    <a:schemeClr val="accent2"/>
                  </a:solidFill>
                  <a:prstDash val="solid"/>
                  <a:miter lim="800000"/>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xVal>
            <c:numRef>
              <c:f>Standards!$G$10:$G$13</c:f>
              <c:numCache>
                <c:formatCode>0</c:formatCode>
                <c:ptCount val="4"/>
                <c:pt idx="0">
                  <c:v>0</c:v>
                </c:pt>
                <c:pt idx="1">
                  <c:v>3.2351999999999999</c:v>
                </c:pt>
                <c:pt idx="2">
                  <c:v>6.4703999999999997</c:v>
                </c:pt>
                <c:pt idx="3">
                  <c:v>16.175999999999998</c:v>
                </c:pt>
              </c:numCache>
            </c:numRef>
          </c:xVal>
          <c:yVal>
            <c:numRef>
              <c:f>Standards!$H$10:$H$13</c:f>
              <c:numCache>
                <c:formatCode>General</c:formatCode>
                <c:ptCount val="4"/>
                <c:pt idx="0">
                  <c:v>0</c:v>
                </c:pt>
                <c:pt idx="1">
                  <c:v>64829</c:v>
                </c:pt>
                <c:pt idx="2">
                  <c:v>127749</c:v>
                </c:pt>
                <c:pt idx="3">
                  <c:v>330735</c:v>
                </c:pt>
              </c:numCache>
            </c:numRef>
          </c:yVal>
          <c:smooth val="0"/>
          <c:extLst>
            <c:ext xmlns:c16="http://schemas.microsoft.com/office/drawing/2014/chart" uri="{C3380CC4-5D6E-409C-BE32-E72D297353CC}">
              <c16:uniqueId val="{00000001-F302-41BB-BF10-BFA9F4D1A3BD}"/>
            </c:ext>
          </c:extLst>
        </c:ser>
        <c:ser>
          <c:idx val="2"/>
          <c:order val="2"/>
          <c:tx>
            <c:v>RDX</c:v>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29895013123359582"/>
                  <c:y val="-0.1374230825313503"/>
                </c:manualLayout>
              </c:layout>
              <c:numFmt formatCode="General" sourceLinked="0"/>
              <c:spPr>
                <a:solidFill>
                  <a:schemeClr val="lt1"/>
                </a:solidFill>
                <a:ln w="12700" cap="flat" cmpd="sng" algn="ctr">
                  <a:solidFill>
                    <a:schemeClr val="accent3"/>
                  </a:solidFill>
                  <a:prstDash val="solid"/>
                  <a:miter lim="800000"/>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trendlineLbl>
          </c:trendline>
          <c:xVal>
            <c:numRef>
              <c:f>Standards!$I$10:$I$13</c:f>
              <c:numCache>
                <c:formatCode>0</c:formatCode>
                <c:ptCount val="4"/>
                <c:pt idx="0">
                  <c:v>0</c:v>
                </c:pt>
                <c:pt idx="1">
                  <c:v>1.5165</c:v>
                </c:pt>
                <c:pt idx="2">
                  <c:v>3.0329999999999999</c:v>
                </c:pt>
                <c:pt idx="3">
                  <c:v>7.5824999999999996</c:v>
                </c:pt>
              </c:numCache>
            </c:numRef>
          </c:xVal>
          <c:yVal>
            <c:numRef>
              <c:f>Standards!$J$10:$J$13</c:f>
              <c:numCache>
                <c:formatCode>General</c:formatCode>
                <c:ptCount val="4"/>
                <c:pt idx="0">
                  <c:v>0</c:v>
                </c:pt>
                <c:pt idx="1">
                  <c:v>26336</c:v>
                </c:pt>
                <c:pt idx="2">
                  <c:v>50888</c:v>
                </c:pt>
                <c:pt idx="3">
                  <c:v>133835</c:v>
                </c:pt>
              </c:numCache>
            </c:numRef>
          </c:yVal>
          <c:smooth val="0"/>
          <c:extLst>
            <c:ext xmlns:c16="http://schemas.microsoft.com/office/drawing/2014/chart" uri="{C3380CC4-5D6E-409C-BE32-E72D297353CC}">
              <c16:uniqueId val="{00000002-F302-41BB-BF10-BFA9F4D1A3BD}"/>
            </c:ext>
          </c:extLst>
        </c:ser>
        <c:dLbls>
          <c:showLegendKey val="0"/>
          <c:showVal val="0"/>
          <c:showCatName val="0"/>
          <c:showSerName val="0"/>
          <c:showPercent val="0"/>
          <c:showBubbleSize val="0"/>
        </c:dLbls>
        <c:axId val="1260994832"/>
        <c:axId val="1260998160"/>
      </c:scatterChart>
      <c:valAx>
        <c:axId val="1260994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998160"/>
        <c:crosses val="autoZero"/>
        <c:crossBetween val="midCat"/>
      </c:valAx>
      <c:valAx>
        <c:axId val="1260998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0994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Compounds found in LOAM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0"/>
          <c:tx>
            <c:v>NTO</c:v>
          </c:tx>
          <c:spPr>
            <a:solidFill>
              <a:schemeClr val="accent1"/>
            </a:solidFill>
            <a:ln>
              <a:noFill/>
            </a:ln>
            <a:effectLst/>
          </c:spPr>
          <c:invertIfNegative val="0"/>
          <c:val>
            <c:numRef>
              <c:f>([1]Average!$E$4,[1]Average!$E$7,[1]Average!$E$10,[1]Average!$E$13)</c:f>
              <c:numCache>
                <c:formatCode>General</c:formatCode>
                <c:ptCount val="4"/>
              </c:numCache>
            </c:numRef>
          </c:val>
          <c:extLst>
            <c:ext xmlns:c16="http://schemas.microsoft.com/office/drawing/2014/chart" uri="{C3380CC4-5D6E-409C-BE32-E72D297353CC}">
              <c16:uniqueId val="{00000000-73FF-4116-9CC9-F4528CF37269}"/>
            </c:ext>
          </c:extLst>
        </c:ser>
        <c:ser>
          <c:idx val="3"/>
          <c:order val="1"/>
          <c:tx>
            <c:v>dnan</c:v>
          </c:tx>
          <c:spPr>
            <a:solidFill>
              <a:schemeClr val="accent2"/>
            </a:solidFill>
            <a:ln>
              <a:noFill/>
            </a:ln>
            <a:effectLst/>
          </c:spPr>
          <c:invertIfNegative val="0"/>
          <c:errBars>
            <c:errBarType val="both"/>
            <c:errValType val="cust"/>
            <c:noEndCap val="0"/>
            <c:plus>
              <c:numRef>
                <c:f>(Average!$F$5,Average!$F$8,Average!$F$11,Average!$F$14)</c:f>
                <c:numCache>
                  <c:formatCode>General</c:formatCode>
                  <c:ptCount val="4"/>
                  <c:pt idx="0">
                    <c:v>0</c:v>
                  </c:pt>
                  <c:pt idx="1">
                    <c:v>0.34891241595623729</c:v>
                  </c:pt>
                  <c:pt idx="2">
                    <c:v>0.47617014414345149</c:v>
                  </c:pt>
                  <c:pt idx="3">
                    <c:v>1.5443132785643294</c:v>
                  </c:pt>
                </c:numCache>
              </c:numRef>
            </c:plus>
            <c:minus>
              <c:numRef>
                <c:f>(Average!$F$5,Average!$F$8,Average!$F$11,Average!$F$14)</c:f>
                <c:numCache>
                  <c:formatCode>General</c:formatCode>
                  <c:ptCount val="4"/>
                  <c:pt idx="0">
                    <c:v>0</c:v>
                  </c:pt>
                  <c:pt idx="1">
                    <c:v>0.34891241595623729</c:v>
                  </c:pt>
                  <c:pt idx="2">
                    <c:v>0.47617014414345149</c:v>
                  </c:pt>
                  <c:pt idx="3">
                    <c:v>1.5443132785643294</c:v>
                  </c:pt>
                </c:numCache>
              </c:numRef>
            </c:minus>
            <c:spPr>
              <a:noFill/>
              <a:ln w="9525" cap="flat" cmpd="sng" algn="ctr">
                <a:solidFill>
                  <a:schemeClr val="tx1">
                    <a:lumMod val="65000"/>
                    <a:lumOff val="35000"/>
                  </a:schemeClr>
                </a:solidFill>
                <a:round/>
              </a:ln>
              <a:effectLst/>
            </c:spPr>
          </c:errBars>
          <c:val>
            <c:numRef>
              <c:f>(Average!$F$4,Average!$F$7,Average!$F$10,Average!$F$13)</c:f>
              <c:numCache>
                <c:formatCode>0.00</c:formatCode>
                <c:ptCount val="4"/>
                <c:pt idx="0">
                  <c:v>0</c:v>
                </c:pt>
                <c:pt idx="1">
                  <c:v>0.87696849900368312</c:v>
                </c:pt>
                <c:pt idx="2" formatCode="0.0">
                  <c:v>4.6434453441681542</c:v>
                </c:pt>
                <c:pt idx="3" formatCode="0.0">
                  <c:v>16.747047809310377</c:v>
                </c:pt>
              </c:numCache>
            </c:numRef>
          </c:val>
          <c:extLst>
            <c:ext xmlns:c16="http://schemas.microsoft.com/office/drawing/2014/chart" uri="{C3380CC4-5D6E-409C-BE32-E72D297353CC}">
              <c16:uniqueId val="{00000003-73FF-4116-9CC9-F4528CF37269}"/>
            </c:ext>
          </c:extLst>
        </c:ser>
        <c:ser>
          <c:idx val="1"/>
          <c:order val="2"/>
          <c:tx>
            <c:v>RDX</c:v>
          </c:tx>
          <c:spPr>
            <a:solidFill>
              <a:schemeClr val="bg1">
                <a:lumMod val="65000"/>
              </a:schemeClr>
            </a:solidFill>
            <a:ln>
              <a:noFill/>
            </a:ln>
            <a:effectLst/>
          </c:spPr>
          <c:invertIfNegative val="0"/>
          <c:errBars>
            <c:errBarType val="both"/>
            <c:errValType val="cust"/>
            <c:noEndCap val="0"/>
            <c:plus>
              <c:numRef>
                <c:f>(Average!$G$5,Average!$G$8,Average!$G$11,Average!$G$14)</c:f>
                <c:numCache>
                  <c:formatCode>General</c:formatCode>
                  <c:ptCount val="4"/>
                  <c:pt idx="0">
                    <c:v>0.36074606492092148</c:v>
                  </c:pt>
                  <c:pt idx="1">
                    <c:v>0.52124857761244225</c:v>
                  </c:pt>
                  <c:pt idx="2">
                    <c:v>0.7752296923873695</c:v>
                  </c:pt>
                  <c:pt idx="3">
                    <c:v>2.8856620083486564</c:v>
                  </c:pt>
                </c:numCache>
              </c:numRef>
            </c:plus>
            <c:minus>
              <c:numRef>
                <c:f>(Average!$G$5,Average!$G$8,Average!$G$11,Average!$G$14)</c:f>
                <c:numCache>
                  <c:formatCode>General</c:formatCode>
                  <c:ptCount val="4"/>
                  <c:pt idx="0">
                    <c:v>0.36074606492092148</c:v>
                  </c:pt>
                  <c:pt idx="1">
                    <c:v>0.52124857761244225</c:v>
                  </c:pt>
                  <c:pt idx="2">
                    <c:v>0.7752296923873695</c:v>
                  </c:pt>
                  <c:pt idx="3">
                    <c:v>2.8856620083486564</c:v>
                  </c:pt>
                </c:numCache>
              </c:numRef>
            </c:minus>
            <c:spPr>
              <a:noFill/>
              <a:ln w="9525" cap="flat" cmpd="sng" algn="ctr">
                <a:solidFill>
                  <a:schemeClr val="tx1">
                    <a:lumMod val="65000"/>
                    <a:lumOff val="35000"/>
                  </a:schemeClr>
                </a:solidFill>
                <a:round/>
              </a:ln>
              <a:effectLst/>
            </c:spPr>
          </c:errBars>
          <c:val>
            <c:numRef>
              <c:f>(Average!$G$4,Average!$G$7,Average!$G$10,Average!$G$13)</c:f>
              <c:numCache>
                <c:formatCode>0.00</c:formatCode>
                <c:ptCount val="4"/>
                <c:pt idx="0">
                  <c:v>1.7554924460709707</c:v>
                </c:pt>
                <c:pt idx="1">
                  <c:v>2.2880593212658824</c:v>
                </c:pt>
                <c:pt idx="2" formatCode="0.0">
                  <c:v>3.145166406339543</c:v>
                </c:pt>
                <c:pt idx="3" formatCode="0.0">
                  <c:v>9.6211898853864373</c:v>
                </c:pt>
              </c:numCache>
            </c:numRef>
          </c:val>
          <c:extLst>
            <c:ext xmlns:c16="http://schemas.microsoft.com/office/drawing/2014/chart" uri="{C3380CC4-5D6E-409C-BE32-E72D297353CC}">
              <c16:uniqueId val="{00000002-73FF-4116-9CC9-F4528CF37269}"/>
            </c:ext>
          </c:extLst>
        </c:ser>
        <c:dLbls>
          <c:showLegendKey val="0"/>
          <c:showVal val="0"/>
          <c:showCatName val="0"/>
          <c:showSerName val="0"/>
          <c:showPercent val="0"/>
          <c:showBubbleSize val="0"/>
        </c:dLbls>
        <c:gapWidth val="219"/>
        <c:overlap val="-27"/>
        <c:axId val="172427920"/>
        <c:axId val="172429168"/>
      </c:barChart>
      <c:catAx>
        <c:axId val="1724279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Column levels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29168"/>
        <c:crosses val="autoZero"/>
        <c:auto val="1"/>
        <c:lblAlgn val="ctr"/>
        <c:lblOffset val="100"/>
        <c:noMultiLvlLbl val="0"/>
      </c:catAx>
      <c:valAx>
        <c:axId val="17242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Concentration (µg compound / g soil)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27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Mass</a:t>
            </a:r>
            <a:r>
              <a:rPr lang="en-GB" baseline="0"/>
              <a:t> balance IMX-104 flake dissolution in LOAM</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0"/>
          <c:tx>
            <c:v>Flake</c:v>
          </c:tx>
          <c:spPr>
            <a:blipFill>
              <a:blip xmlns:r="http://schemas.openxmlformats.org/officeDocument/2006/relationships" r:embed="rId3"/>
              <a:tile tx="0" ty="0" sx="100000" sy="100000" flip="none" algn="tl"/>
            </a:blipFill>
            <a:ln>
              <a:noFill/>
            </a:ln>
            <a:effectLst/>
          </c:spPr>
          <c:invertIfNegative val="0"/>
          <c:cat>
            <c:strLit>
              <c:ptCount val="3"/>
              <c:pt idx="0">
                <c:v>E</c:v>
              </c:pt>
              <c:pt idx="1">
                <c:v> F</c:v>
              </c:pt>
              <c:pt idx="2">
                <c:v> G</c:v>
              </c:pt>
            </c:strLit>
          </c:cat>
          <c:val>
            <c:numRef>
              <c:f>('LOAM mass balance'!$E$9,'LOAM mass balance'!$I$9,'LOAM mass balance'!$M$9)</c:f>
              <c:numCache>
                <c:formatCode>0</c:formatCode>
                <c:ptCount val="3"/>
                <c:pt idx="0">
                  <c:v>62.877192982456144</c:v>
                </c:pt>
                <c:pt idx="1">
                  <c:v>64.057863501483681</c:v>
                </c:pt>
                <c:pt idx="2">
                  <c:v>71.24658780709737</c:v>
                </c:pt>
              </c:numCache>
            </c:numRef>
          </c:val>
          <c:extLst>
            <c:ext xmlns:c16="http://schemas.microsoft.com/office/drawing/2014/chart" uri="{C3380CC4-5D6E-409C-BE32-E72D297353CC}">
              <c16:uniqueId val="{00000000-1827-4F46-B17F-130D44762A00}"/>
            </c:ext>
          </c:extLst>
        </c:ser>
        <c:ser>
          <c:idx val="0"/>
          <c:order val="1"/>
          <c:tx>
            <c:v>Leachate</c:v>
          </c:tx>
          <c:spPr>
            <a:blipFill>
              <a:blip xmlns:r="http://schemas.openxmlformats.org/officeDocument/2006/relationships" r:embed="rId4"/>
              <a:tile tx="0" ty="0" sx="100000" sy="100000" flip="none" algn="tl"/>
            </a:blipFill>
            <a:ln>
              <a:noFill/>
            </a:ln>
            <a:effectLst/>
          </c:spPr>
          <c:invertIfNegative val="0"/>
          <c:dPt>
            <c:idx val="0"/>
            <c:invertIfNegative val="0"/>
            <c:bubble3D val="0"/>
            <c:spPr>
              <a:blipFill>
                <a:blip xmlns:r="http://schemas.openxmlformats.org/officeDocument/2006/relationships" r:embed="rId4"/>
                <a:tile tx="0" ty="0" sx="100000" sy="100000" flip="none" algn="tl"/>
              </a:blipFill>
              <a:ln>
                <a:noFill/>
              </a:ln>
              <a:effectLst/>
            </c:spPr>
            <c:extLst>
              <c:ext xmlns:c16="http://schemas.microsoft.com/office/drawing/2014/chart" uri="{C3380CC4-5D6E-409C-BE32-E72D297353CC}">
                <c16:uniqueId val="{00000002-1827-4F46-B17F-130D44762A00}"/>
              </c:ext>
            </c:extLst>
          </c:dPt>
          <c:cat>
            <c:strLit>
              <c:ptCount val="3"/>
              <c:pt idx="0">
                <c:v>E</c:v>
              </c:pt>
              <c:pt idx="1">
                <c:v> F</c:v>
              </c:pt>
              <c:pt idx="2">
                <c:v> G</c:v>
              </c:pt>
            </c:strLit>
          </c:cat>
          <c:val>
            <c:numRef>
              <c:f>('LOAM mass balance'!$E$7,'LOAM mass balance'!$I$7,'LOAM mass balance'!$M$7)</c:f>
              <c:numCache>
                <c:formatCode>0</c:formatCode>
                <c:ptCount val="3"/>
                <c:pt idx="0">
                  <c:v>30.932045474476009</c:v>
                </c:pt>
                <c:pt idx="1">
                  <c:v>32.736485300189166</c:v>
                </c:pt>
                <c:pt idx="2">
                  <c:v>30.170803901109981</c:v>
                </c:pt>
              </c:numCache>
            </c:numRef>
          </c:val>
          <c:extLst>
            <c:ext xmlns:c16="http://schemas.microsoft.com/office/drawing/2014/chart" uri="{C3380CC4-5D6E-409C-BE32-E72D297353CC}">
              <c16:uniqueId val="{00000003-1827-4F46-B17F-130D44762A00}"/>
            </c:ext>
          </c:extLst>
        </c:ser>
        <c:ser>
          <c:idx val="1"/>
          <c:order val="2"/>
          <c:tx>
            <c:v>Soil</c:v>
          </c:tx>
          <c:spPr>
            <a:blipFill>
              <a:blip xmlns:r="http://schemas.openxmlformats.org/officeDocument/2006/relationships" r:embed="rId5"/>
              <a:tile tx="0" ty="0" sx="100000" sy="100000" flip="none" algn="tl"/>
            </a:blipFill>
            <a:ln>
              <a:noFill/>
            </a:ln>
            <a:effectLst/>
          </c:spPr>
          <c:invertIfNegative val="0"/>
          <c:cat>
            <c:strLit>
              <c:ptCount val="3"/>
              <c:pt idx="0">
                <c:v>E</c:v>
              </c:pt>
              <c:pt idx="1">
                <c:v> F</c:v>
              </c:pt>
              <c:pt idx="2">
                <c:v> G</c:v>
              </c:pt>
            </c:strLit>
          </c:cat>
          <c:val>
            <c:numRef>
              <c:f>('LOAM mass balance'!$E$11,'LOAM mass balance'!$I$11,'LOAM mass balance'!$M$11)</c:f>
              <c:numCache>
                <c:formatCode>0.0</c:formatCode>
                <c:ptCount val="3"/>
                <c:pt idx="0" formatCode="0">
                  <c:v>10.35769072435993</c:v>
                </c:pt>
                <c:pt idx="1">
                  <c:v>9.4978234081279638</c:v>
                </c:pt>
                <c:pt idx="2">
                  <c:v>8.6433896678138264</c:v>
                </c:pt>
              </c:numCache>
            </c:numRef>
          </c:val>
          <c:extLst>
            <c:ext xmlns:c16="http://schemas.microsoft.com/office/drawing/2014/chart" uri="{C3380CC4-5D6E-409C-BE32-E72D297353CC}">
              <c16:uniqueId val="{00000004-1827-4F46-B17F-130D44762A00}"/>
            </c:ext>
          </c:extLst>
        </c:ser>
        <c:dLbls>
          <c:showLegendKey val="0"/>
          <c:showVal val="0"/>
          <c:showCatName val="0"/>
          <c:showSerName val="0"/>
          <c:showPercent val="0"/>
          <c:showBubbleSize val="0"/>
        </c:dLbls>
        <c:gapWidth val="219"/>
        <c:overlap val="100"/>
        <c:axId val="567754959"/>
        <c:axId val="567765359"/>
      </c:barChart>
      <c:catAx>
        <c:axId val="56775495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Column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765359"/>
        <c:crosses val="autoZero"/>
        <c:auto val="1"/>
        <c:lblAlgn val="ctr"/>
        <c:lblOffset val="100"/>
        <c:noMultiLvlLbl val="0"/>
      </c:catAx>
      <c:valAx>
        <c:axId val="567765359"/>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7549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each IMX compound in LOAM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v>Flake</c:v>
          </c:tx>
          <c:spPr>
            <a:blipFill>
              <a:blip xmlns:r="http://schemas.openxmlformats.org/officeDocument/2006/relationships" r:embed="rId3"/>
              <a:tile tx="0" ty="0" sx="100000" sy="100000" flip="none" algn="tl"/>
            </a:blipFill>
            <a:ln>
              <a:noFill/>
            </a:ln>
            <a:effectLst/>
          </c:spPr>
          <c:invertIfNegative val="0"/>
          <c:cat>
            <c:strLit>
              <c:ptCount val="3"/>
              <c:pt idx="0">
                <c:v>NTO</c:v>
              </c:pt>
              <c:pt idx="1">
                <c:v> DNAN</c:v>
              </c:pt>
              <c:pt idx="2">
                <c:v> RDX</c:v>
              </c:pt>
            </c:strLit>
          </c:cat>
          <c:val>
            <c:numRef>
              <c:f>'LOAM mass balance'!$N$9:$P$9</c:f>
              <c:numCache>
                <c:formatCode>0</c:formatCode>
                <c:ptCount val="3"/>
                <c:pt idx="0">
                  <c:v>40.981550518380409</c:v>
                </c:pt>
                <c:pt idx="1">
                  <c:v>88.709829104853881</c:v>
                </c:pt>
                <c:pt idx="2">
                  <c:v>79.962333170783083</c:v>
                </c:pt>
              </c:numCache>
            </c:numRef>
          </c:val>
          <c:extLst>
            <c:ext xmlns:c16="http://schemas.microsoft.com/office/drawing/2014/chart" uri="{C3380CC4-5D6E-409C-BE32-E72D297353CC}">
              <c16:uniqueId val="{00000000-2C81-4CAD-8FBD-E06920DF5A7B}"/>
            </c:ext>
          </c:extLst>
        </c:ser>
        <c:ser>
          <c:idx val="0"/>
          <c:order val="1"/>
          <c:tx>
            <c:v>Leachate</c:v>
          </c:tx>
          <c:spPr>
            <a:blipFill>
              <a:blip xmlns:r="http://schemas.openxmlformats.org/officeDocument/2006/relationships" r:embed="rId4"/>
              <a:tile tx="0" ty="0" sx="100000" sy="100000" flip="none" algn="tl"/>
            </a:blipFill>
            <a:ln>
              <a:noFill/>
            </a:ln>
            <a:effectLst/>
          </c:spPr>
          <c:invertIfNegative val="0"/>
          <c:cat>
            <c:strLit>
              <c:ptCount val="3"/>
              <c:pt idx="0">
                <c:v>NTO</c:v>
              </c:pt>
              <c:pt idx="1">
                <c:v> DNAN</c:v>
              </c:pt>
              <c:pt idx="2">
                <c:v> RDX</c:v>
              </c:pt>
            </c:strLit>
          </c:cat>
          <c:val>
            <c:numRef>
              <c:f>('LOAM mass balance'!$N$7,'LOAM mass balance'!$O$7,'LOAM mass balance'!$P$7)</c:f>
              <c:numCache>
                <c:formatCode>0</c:formatCode>
                <c:ptCount val="3"/>
                <c:pt idx="0">
                  <c:v>59.018449481619591</c:v>
                </c:pt>
                <c:pt idx="1">
                  <c:v>0</c:v>
                </c:pt>
                <c:pt idx="2">
                  <c:v>0</c:v>
                </c:pt>
              </c:numCache>
            </c:numRef>
          </c:val>
          <c:extLst>
            <c:ext xmlns:c16="http://schemas.microsoft.com/office/drawing/2014/chart" uri="{C3380CC4-5D6E-409C-BE32-E72D297353CC}">
              <c16:uniqueId val="{00000001-2C81-4CAD-8FBD-E06920DF5A7B}"/>
            </c:ext>
          </c:extLst>
        </c:ser>
        <c:ser>
          <c:idx val="2"/>
          <c:order val="2"/>
          <c:tx>
            <c:v>Soil</c:v>
          </c:tx>
          <c:spPr>
            <a:blipFill>
              <a:blip xmlns:r="http://schemas.openxmlformats.org/officeDocument/2006/relationships" r:embed="rId5"/>
              <a:tile tx="0" ty="0" sx="100000" sy="100000" flip="none" algn="tl"/>
            </a:blipFill>
            <a:ln>
              <a:noFill/>
            </a:ln>
            <a:effectLst/>
          </c:spPr>
          <c:invertIfNegative val="0"/>
          <c:cat>
            <c:strLit>
              <c:ptCount val="3"/>
              <c:pt idx="0">
                <c:v>NTO</c:v>
              </c:pt>
              <c:pt idx="1">
                <c:v> DNAN</c:v>
              </c:pt>
              <c:pt idx="2">
                <c:v> RDX</c:v>
              </c:pt>
            </c:strLit>
          </c:cat>
          <c:val>
            <c:numRef>
              <c:f>'LOAM mass balance'!$N$11:$P$11</c:f>
              <c:numCache>
                <c:formatCode>0</c:formatCode>
                <c:ptCount val="3"/>
                <c:pt idx="0">
                  <c:v>0</c:v>
                </c:pt>
                <c:pt idx="1">
                  <c:v>17.028078404972252</c:v>
                </c:pt>
                <c:pt idx="2">
                  <c:v>27.004330070063006</c:v>
                </c:pt>
              </c:numCache>
            </c:numRef>
          </c:val>
          <c:extLst>
            <c:ext xmlns:c16="http://schemas.microsoft.com/office/drawing/2014/chart" uri="{C3380CC4-5D6E-409C-BE32-E72D297353CC}">
              <c16:uniqueId val="{00000002-2C81-4CAD-8FBD-E06920DF5A7B}"/>
            </c:ext>
          </c:extLst>
        </c:ser>
        <c:dLbls>
          <c:showLegendKey val="0"/>
          <c:showVal val="0"/>
          <c:showCatName val="0"/>
          <c:showSerName val="0"/>
          <c:showPercent val="0"/>
          <c:showBubbleSize val="0"/>
        </c:dLbls>
        <c:gapWidth val="150"/>
        <c:overlap val="100"/>
        <c:axId val="677534831"/>
        <c:axId val="677541487"/>
      </c:barChart>
      <c:catAx>
        <c:axId val="6775348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IHE Compounds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541487"/>
        <c:crosses val="autoZero"/>
        <c:auto val="1"/>
        <c:lblAlgn val="ctr"/>
        <c:lblOffset val="100"/>
        <c:noMultiLvlLbl val="0"/>
      </c:catAx>
      <c:valAx>
        <c:axId val="677541487"/>
        <c:scaling>
          <c:orientation val="minMax"/>
        </c:scaling>
        <c:delete val="0"/>
        <c:axPos val="l"/>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53483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525780</xdr:colOff>
      <xdr:row>13</xdr:row>
      <xdr:rowOff>156210</xdr:rowOff>
    </xdr:from>
    <xdr:to>
      <xdr:col>10</xdr:col>
      <xdr:colOff>411480</xdr:colOff>
      <xdr:row>28</xdr:row>
      <xdr:rowOff>156210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342900</xdr:colOff>
      <xdr:row>17</xdr:row>
      <xdr:rowOff>68580</xdr:rowOff>
    </xdr:from>
    <xdr:to>
      <xdr:col>18</xdr:col>
      <xdr:colOff>60960</xdr:colOff>
      <xdr:row>22</xdr:row>
      <xdr:rowOff>121920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151120" y="3177540"/>
          <a:ext cx="4236720" cy="96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 It's impossible to quantify anything coming out</a:t>
          </a:r>
          <a:r>
            <a:rPr lang="en-GB" sz="1100" baseline="0"/>
            <a:t> of the soil column before 2 minutes becuase the loam has compounds apearing between 0.5 min and 2 min. </a:t>
          </a:r>
        </a:p>
        <a:p>
          <a:r>
            <a:rPr lang="en-GB" sz="1100" baseline="0"/>
            <a:t>However, there is no evidence of NTO in the samples, as the intensity of the signals is quite similar between the blanks and the smaples.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53340</xdr:colOff>
      <xdr:row>16</xdr:row>
      <xdr:rowOff>53340</xdr:rowOff>
    </xdr:from>
    <xdr:to>
      <xdr:col>15</xdr:col>
      <xdr:colOff>22860</xdr:colOff>
      <xdr:row>21</xdr:row>
      <xdr:rowOff>106680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097780" y="2979420"/>
          <a:ext cx="4236720" cy="96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 It's impossible to quantify anything coming out</a:t>
          </a:r>
          <a:r>
            <a:rPr lang="en-GB" sz="1100" baseline="0"/>
            <a:t> of the soil column before 2 minutes becuase the loam has compounds apearing between 0.5 min and 2 min. </a:t>
          </a:r>
        </a:p>
        <a:p>
          <a:r>
            <a:rPr lang="en-GB" sz="1100" baseline="0"/>
            <a:t>However, there is no evidence of NTO in the samples, as the intensity of the signals is quite similar between the blanks and the smaples.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53340</xdr:colOff>
      <xdr:row>16</xdr:row>
      <xdr:rowOff>45720</xdr:rowOff>
    </xdr:from>
    <xdr:to>
      <xdr:col>16</xdr:col>
      <xdr:colOff>304800</xdr:colOff>
      <xdr:row>21</xdr:row>
      <xdr:rowOff>99060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899660" y="2971800"/>
          <a:ext cx="4236720" cy="96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NOTE: It's impossible to quantify anything coming out</a:t>
          </a:r>
          <a:r>
            <a:rPr lang="en-GB" sz="1100" baseline="0"/>
            <a:t> of the soil column before 2 minutes becuase the loam has compounds apearing between 0.5 min and 2 min. </a:t>
          </a:r>
        </a:p>
        <a:p>
          <a:r>
            <a:rPr lang="en-GB" sz="1100" baseline="0"/>
            <a:t>However, there is no evidence of NTO in the samples, as the intensity of the signals is quite similar between the blanks and the smaples.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137160</xdr:colOff>
      <xdr:row>1</xdr:row>
      <xdr:rowOff>38100</xdr:rowOff>
    </xdr:from>
    <xdr:to>
      <xdr:col>14</xdr:col>
      <xdr:colOff>7620</xdr:colOff>
      <xdr:row>15</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16</xdr:row>
      <xdr:rowOff>175260</xdr:rowOff>
    </xdr:from>
    <xdr:to>
      <xdr:col>13</xdr:col>
      <xdr:colOff>541020</xdr:colOff>
      <xdr:row>26</xdr:row>
      <xdr:rowOff>7620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68580" y="3101340"/>
          <a:ext cx="8275320" cy="1661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t>Conclusions:</a:t>
          </a:r>
        </a:p>
        <a:p>
          <a:r>
            <a:rPr lang="en-GB" sz="1100" b="0" baseline="0"/>
            <a:t>NTO was not found in the extracted soil, pointing out its mobility through the loam and its high solubility in water. </a:t>
          </a:r>
        </a:p>
        <a:p>
          <a:r>
            <a:rPr lang="en-GB" sz="1100" b="0" baseline="0"/>
            <a:t>DNAN was found in three different layers, however, it didn't reach the last 5 cm of the column, explaining why it was not detected in the leachate at all. </a:t>
          </a:r>
        </a:p>
        <a:p>
          <a:r>
            <a:rPr lang="en-GB" sz="1100" b="0" baseline="0"/>
            <a:t>RDX was found in the four levels of the soil, but mostly in the top layer. Again, this can explain why it was not found in the lechate. </a:t>
          </a:r>
        </a:p>
        <a:p>
          <a:r>
            <a:rPr lang="en-GB" sz="1100" b="1" baseline="0"/>
            <a:t>Priscilla's:</a:t>
          </a:r>
        </a:p>
        <a:p>
          <a:r>
            <a:rPr lang="en-GB" sz="1100" b="0" baseline="0"/>
            <a:t>Resuls don't match (again). Priscilla barely find DNAN whereas I detected plenty in the top. She found NTO when in my columns was clearly out with the leachate. Last, RDX didn't reach the bottom of the colum in Priscilla's experiment, whereas I could detect and quantify it all over the column</a:t>
          </a:r>
        </a:p>
      </xdr:txBody>
    </xdr:sp>
    <xdr:clientData/>
  </xdr:twoCellAnchor>
  <xdr:twoCellAnchor>
    <xdr:from>
      <xdr:col>14</xdr:col>
      <xdr:colOff>279443</xdr:colOff>
      <xdr:row>1</xdr:row>
      <xdr:rowOff>106680</xdr:rowOff>
    </xdr:from>
    <xdr:to>
      <xdr:col>20</xdr:col>
      <xdr:colOff>481327</xdr:colOff>
      <xdr:row>9</xdr:row>
      <xdr:rowOff>60960</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8691923" y="289560"/>
          <a:ext cx="3859484" cy="1417320"/>
          <a:chOff x="8691923" y="1333500"/>
          <a:chExt cx="3859484" cy="1417320"/>
        </a:xfrm>
      </xdr:grpSpPr>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2"/>
          <a:srcRect l="36255" t="46761" r="41864" b="42864"/>
          <a:stretch/>
        </xdr:blipFill>
        <xdr:spPr>
          <a:xfrm>
            <a:off x="8691923" y="1722120"/>
            <a:ext cx="3856987" cy="1028700"/>
          </a:xfrm>
          <a:prstGeom prst="rect">
            <a:avLst/>
          </a:prstGeom>
        </xdr:spPr>
      </xdr:pic>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2"/>
          <a:srcRect l="36255" t="34157" r="41864" b="61923"/>
          <a:stretch/>
        </xdr:blipFill>
        <xdr:spPr>
          <a:xfrm>
            <a:off x="8694420" y="1333500"/>
            <a:ext cx="3856987" cy="38862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106680</xdr:colOff>
      <xdr:row>13</xdr:row>
      <xdr:rowOff>87630</xdr:rowOff>
    </xdr:from>
    <xdr:to>
      <xdr:col>6</xdr:col>
      <xdr:colOff>426720</xdr:colOff>
      <xdr:row>28</xdr:row>
      <xdr:rowOff>87630</xdr:rowOff>
    </xdr:to>
    <xdr:graphicFrame macro="">
      <xdr:nvGraphicFramePr>
        <xdr:cNvPr id="2" name="Chart 1">
          <a:extLst>
            <a:ext uri="{FF2B5EF4-FFF2-40B4-BE49-F238E27FC236}">
              <a16:creationId xmlns:a16="http://schemas.microsoft.com/office/drawing/2014/main" id="{29E9D5AE-C3B2-4CFE-9C23-0EF163BB7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457200</xdr:colOff>
      <xdr:row>13</xdr:row>
      <xdr:rowOff>95250</xdr:rowOff>
    </xdr:from>
    <xdr:to>
      <xdr:col>14</xdr:col>
      <xdr:colOff>152400</xdr:colOff>
      <xdr:row>28</xdr:row>
      <xdr:rowOff>95250</xdr:rowOff>
    </xdr:to>
    <xdr:graphicFrame macro="">
      <xdr:nvGraphicFramePr>
        <xdr:cNvPr id="3" name="Chart 2">
          <a:extLst>
            <a:ext uri="{FF2B5EF4-FFF2-40B4-BE49-F238E27FC236}">
              <a16:creationId xmlns:a16="http://schemas.microsoft.com/office/drawing/2014/main" id="{008E1ABD-3016-49AD-9666-8356AA65D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60960</xdr:colOff>
      <xdr:row>12</xdr:row>
      <xdr:rowOff>91440</xdr:rowOff>
    </xdr:from>
    <xdr:to>
      <xdr:col>21</xdr:col>
      <xdr:colOff>411480</xdr:colOff>
      <xdr:row>27</xdr:row>
      <xdr:rowOff>53340</xdr:rowOff>
    </xdr:to>
    <xdr:sp macro="" textlink="">
      <xdr:nvSpPr>
        <xdr:cNvPr id="4" name="TextBox 3">
          <a:extLst>
            <a:ext uri="{FF2B5EF4-FFF2-40B4-BE49-F238E27FC236}">
              <a16:creationId xmlns:a16="http://schemas.microsoft.com/office/drawing/2014/main" id="{97F596DF-CAF4-4D24-A364-9D92932A4F13}"/>
            </a:ext>
          </a:extLst>
        </xdr:cNvPr>
        <xdr:cNvSpPr txBox="1"/>
      </xdr:nvSpPr>
      <xdr:spPr>
        <a:xfrm>
          <a:off x="9799320" y="2331720"/>
          <a:ext cx="4008120"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Conclusions:</a:t>
          </a:r>
        </a:p>
        <a:p>
          <a:r>
            <a:rPr lang="en-GB" sz="1100"/>
            <a:t>- Mass balance --&gt; total</a:t>
          </a:r>
          <a:r>
            <a:rPr lang="en-GB" sz="1100" baseline="0"/>
            <a:t> percentage over 100% --&gt; error in the measure equipment: scale and HPLC. Overall, insignificant variability over the triplicates  </a:t>
          </a:r>
        </a:p>
        <a:p>
          <a:r>
            <a:rPr lang="en-GB" sz="1100" baseline="0"/>
            <a:t>- Half of NTO in the flake came out with the leachate, the oher half remained in the flake. Due to the prodcuts also extracted with ACN:water, it was impossible to detect or quantify NTO. --&gt; need to work out other method in HPLC</a:t>
          </a:r>
        </a:p>
        <a:p>
          <a:r>
            <a:rPr lang="en-GB" sz="1100" baseline="0"/>
            <a:t>- Most of DNAN remained in the flake, only 10-15% got dissolved and some was found in the soil. No evidence of degradation prodcutos was spotted in the HPLC --&gt; no degradation prodcuts under this conditions (maybe need more than 3 weeks?)</a:t>
          </a:r>
        </a:p>
        <a:p>
          <a:r>
            <a:rPr lang="en-GB" sz="1100" baseline="0"/>
            <a:t>- RDX had similar behaviour to DNAN --&gt; low percentage in the flake and slow dissolution rate might be the reasonf why no degradation prodcuts were observed.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lumn%20breakdown-%20S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il%20column%20mass%20bal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d columns"/>
      <sheetName val="Standards"/>
      <sheetName val="Column A"/>
      <sheetName val="Column B"/>
      <sheetName val="Column C"/>
      <sheetName val="Average"/>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M mass balance"/>
      <sheetName val="SAND Mass balance"/>
    </sheetNames>
    <sheetDataSet>
      <sheetData sheetId="0">
        <row r="7">
          <cell r="E7">
            <v>30.932045474476009</v>
          </cell>
          <cell r="I7">
            <v>32.736485300189166</v>
          </cell>
          <cell r="M7">
            <v>30.170803901109981</v>
          </cell>
          <cell r="N7">
            <v>59.018449481619591</v>
          </cell>
          <cell r="O7">
            <v>0</v>
          </cell>
          <cell r="P7">
            <v>0</v>
          </cell>
        </row>
        <row r="9">
          <cell r="E9">
            <v>62.877192982456144</v>
          </cell>
          <cell r="I9">
            <v>64.057863501483681</v>
          </cell>
          <cell r="M9">
            <v>71.24658780709737</v>
          </cell>
          <cell r="N9">
            <v>40.981550518380409</v>
          </cell>
          <cell r="O9">
            <v>88.709829104853881</v>
          </cell>
          <cell r="P9">
            <v>79.962333170783083</v>
          </cell>
        </row>
        <row r="11">
          <cell r="E11">
            <v>10.35769072435993</v>
          </cell>
          <cell r="I11">
            <v>9.4978234081279638</v>
          </cell>
          <cell r="M11">
            <v>8.6433896678138264</v>
          </cell>
          <cell r="N11">
            <v>0</v>
          </cell>
          <cell r="O11">
            <v>17.028078404972252</v>
          </cell>
          <cell r="P11">
            <v>27.004330070063006</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3"/>
  <sheetViews>
    <sheetView topLeftCell="A2" zoomScale="90" zoomScaleNormal="90" workbookViewId="0">
      <selection activeCell="E22" sqref="E22:E25"/>
    </sheetView>
  </sheetViews>
  <sheetFormatPr defaultRowHeight="14.4" x14ac:dyDescent="0.3"/>
  <cols>
    <col min="1" max="1" width="11.109375" customWidth="1"/>
    <col min="2" max="2" width="9.77734375" customWidth="1"/>
    <col min="3" max="3" width="12" customWidth="1"/>
    <col min="5" max="5" width="11.44140625" customWidth="1"/>
  </cols>
  <sheetData>
    <row r="2" spans="1:7" x14ac:dyDescent="0.3">
      <c r="B2" s="91">
        <v>44312</v>
      </c>
      <c r="C2" s="91"/>
      <c r="D2" s="91"/>
      <c r="E2" s="6">
        <v>44320</v>
      </c>
    </row>
    <row r="3" spans="1:7" x14ac:dyDescent="0.3">
      <c r="A3" t="s">
        <v>20</v>
      </c>
      <c r="B3" t="s">
        <v>4</v>
      </c>
      <c r="C3" t="s">
        <v>5</v>
      </c>
      <c r="D3" t="s">
        <v>6</v>
      </c>
      <c r="E3" t="s">
        <v>10</v>
      </c>
      <c r="G3" t="s">
        <v>19</v>
      </c>
    </row>
    <row r="4" spans="1:7" x14ac:dyDescent="0.3">
      <c r="A4" s="4" t="s">
        <v>0</v>
      </c>
      <c r="B4" s="10">
        <v>712</v>
      </c>
      <c r="C4" s="10">
        <v>354</v>
      </c>
      <c r="D4" s="10">
        <f>B4-C4</f>
        <v>358</v>
      </c>
      <c r="E4">
        <v>654</v>
      </c>
      <c r="F4">
        <f>E4-C4</f>
        <v>300</v>
      </c>
      <c r="G4" s="14">
        <f>(1 -(F4/D4))*100</f>
        <v>16.201117318435752</v>
      </c>
    </row>
    <row r="5" spans="1:7" x14ac:dyDescent="0.3">
      <c r="A5" s="3" t="s">
        <v>1</v>
      </c>
      <c r="B5" s="10">
        <v>804</v>
      </c>
      <c r="C5" s="10">
        <v>367</v>
      </c>
      <c r="D5" s="10">
        <f t="shared" ref="D5:D7" si="0">B5-C5</f>
        <v>437</v>
      </c>
      <c r="E5">
        <v>612</v>
      </c>
      <c r="F5">
        <f t="shared" ref="F5:F7" si="1">E5-C5</f>
        <v>245</v>
      </c>
      <c r="G5" s="14">
        <f t="shared" ref="G5:G7" si="2">(1 -(F5/D5))*100</f>
        <v>43.935926773455378</v>
      </c>
    </row>
    <row r="6" spans="1:7" x14ac:dyDescent="0.3">
      <c r="A6" s="1" t="s">
        <v>2</v>
      </c>
      <c r="B6" s="10">
        <v>742</v>
      </c>
      <c r="C6" s="10">
        <v>363</v>
      </c>
      <c r="D6" s="10">
        <f t="shared" si="0"/>
        <v>379</v>
      </c>
      <c r="E6">
        <v>655</v>
      </c>
      <c r="F6">
        <f t="shared" si="1"/>
        <v>292</v>
      </c>
      <c r="G6" s="14">
        <f t="shared" si="2"/>
        <v>22.955145118733512</v>
      </c>
    </row>
    <row r="7" spans="1:7" x14ac:dyDescent="0.3">
      <c r="A7" s="2" t="s">
        <v>3</v>
      </c>
      <c r="B7" s="10">
        <v>809</v>
      </c>
      <c r="C7" s="10">
        <v>363</v>
      </c>
      <c r="D7" s="10">
        <f t="shared" si="0"/>
        <v>446</v>
      </c>
      <c r="E7">
        <v>583</v>
      </c>
      <c r="F7">
        <f t="shared" si="1"/>
        <v>220</v>
      </c>
      <c r="G7" s="14">
        <f t="shared" si="2"/>
        <v>50.672645739910315</v>
      </c>
    </row>
    <row r="8" spans="1:7" x14ac:dyDescent="0.3">
      <c r="A8" t="s">
        <v>7</v>
      </c>
      <c r="D8" s="10">
        <f>SUM(D4:D7)</f>
        <v>1620</v>
      </c>
      <c r="E8" s="10"/>
      <c r="F8" s="12">
        <f t="shared" ref="F8" si="3">SUM(F4:F7)</f>
        <v>1057</v>
      </c>
    </row>
    <row r="9" spans="1:7" x14ac:dyDescent="0.3">
      <c r="A9" t="s">
        <v>9</v>
      </c>
      <c r="D9" s="18">
        <v>1157.98</v>
      </c>
    </row>
    <row r="11" spans="1:7" x14ac:dyDescent="0.3">
      <c r="B11" s="91">
        <v>44305</v>
      </c>
      <c r="C11" s="91"/>
      <c r="D11" s="91"/>
    </row>
    <row r="12" spans="1:7" x14ac:dyDescent="0.3">
      <c r="A12" t="s">
        <v>21</v>
      </c>
      <c r="B12" t="s">
        <v>4</v>
      </c>
      <c r="C12" t="s">
        <v>5</v>
      </c>
      <c r="D12" t="s">
        <v>6</v>
      </c>
    </row>
    <row r="13" spans="1:7" x14ac:dyDescent="0.3">
      <c r="A13" s="4" t="s">
        <v>0</v>
      </c>
      <c r="B13">
        <v>765</v>
      </c>
      <c r="C13" s="10">
        <v>370</v>
      </c>
      <c r="D13" s="10">
        <f>B13-C13</f>
        <v>395</v>
      </c>
      <c r="E13">
        <v>612</v>
      </c>
      <c r="F13">
        <f>E13-C13</f>
        <v>242</v>
      </c>
      <c r="G13" s="13">
        <f>(1 -(F13/D13))*100</f>
        <v>38.734177215189867</v>
      </c>
    </row>
    <row r="14" spans="1:7" x14ac:dyDescent="0.3">
      <c r="A14" s="3" t="s">
        <v>1</v>
      </c>
      <c r="B14">
        <v>854</v>
      </c>
      <c r="C14" s="10">
        <v>352</v>
      </c>
      <c r="D14" s="10">
        <f>B14-C14</f>
        <v>502</v>
      </c>
      <c r="E14">
        <v>654</v>
      </c>
      <c r="F14">
        <f t="shared" ref="F14:F16" si="4">E14-C14</f>
        <v>302</v>
      </c>
      <c r="G14" s="13">
        <f t="shared" ref="G14:G16" si="5">(1 -(F14/D14))*100</f>
        <v>39.840637450199203</v>
      </c>
    </row>
    <row r="15" spans="1:7" x14ac:dyDescent="0.3">
      <c r="A15" s="1" t="s">
        <v>2</v>
      </c>
      <c r="B15">
        <v>834</v>
      </c>
      <c r="C15" s="10">
        <v>367</v>
      </c>
      <c r="D15" s="10">
        <f t="shared" ref="D15:D16" si="6">B15-C15</f>
        <v>467</v>
      </c>
      <c r="E15">
        <v>668</v>
      </c>
      <c r="F15">
        <f t="shared" si="4"/>
        <v>301</v>
      </c>
      <c r="G15" s="13">
        <f t="shared" si="5"/>
        <v>35.546038543897218</v>
      </c>
    </row>
    <row r="16" spans="1:7" x14ac:dyDescent="0.3">
      <c r="A16" s="2" t="s">
        <v>3</v>
      </c>
      <c r="B16">
        <v>778</v>
      </c>
      <c r="C16" s="10">
        <v>355</v>
      </c>
      <c r="D16" s="10">
        <f t="shared" si="6"/>
        <v>423</v>
      </c>
      <c r="E16">
        <v>623</v>
      </c>
      <c r="F16">
        <f t="shared" si="4"/>
        <v>268</v>
      </c>
      <c r="G16" s="13">
        <f t="shared" si="5"/>
        <v>36.643026004728128</v>
      </c>
    </row>
    <row r="17" spans="1:7" x14ac:dyDescent="0.3">
      <c r="A17" t="s">
        <v>7</v>
      </c>
      <c r="D17" s="18">
        <v>1162.45</v>
      </c>
      <c r="E17" s="10"/>
      <c r="F17" s="15">
        <f t="shared" ref="F17" si="7">SUM(F13:F16)</f>
        <v>1113</v>
      </c>
    </row>
    <row r="18" spans="1:7" x14ac:dyDescent="0.3">
      <c r="A18" t="s">
        <v>8</v>
      </c>
      <c r="D18" s="12"/>
    </row>
    <row r="20" spans="1:7" x14ac:dyDescent="0.3">
      <c r="B20" s="91">
        <v>44306</v>
      </c>
      <c r="C20" s="91"/>
      <c r="D20" s="91"/>
    </row>
    <row r="21" spans="1:7" x14ac:dyDescent="0.3">
      <c r="A21" t="s">
        <v>22</v>
      </c>
      <c r="B21" t="s">
        <v>4</v>
      </c>
      <c r="C21" t="s">
        <v>5</v>
      </c>
      <c r="D21" t="s">
        <v>6</v>
      </c>
    </row>
    <row r="22" spans="1:7" x14ac:dyDescent="0.3">
      <c r="A22" s="4" t="s">
        <v>0</v>
      </c>
      <c r="B22" s="10">
        <v>791</v>
      </c>
      <c r="C22" s="10">
        <v>359</v>
      </c>
      <c r="D22" s="10">
        <f>B22-C22</f>
        <v>432</v>
      </c>
      <c r="E22">
        <v>607</v>
      </c>
      <c r="F22">
        <f>E22-C22</f>
        <v>248</v>
      </c>
      <c r="G22" s="13">
        <f t="shared" ref="G22:G25" si="8">(1 -(F22/D22))*100</f>
        <v>42.592592592592595</v>
      </c>
    </row>
    <row r="23" spans="1:7" x14ac:dyDescent="0.3">
      <c r="A23" s="3" t="s">
        <v>1</v>
      </c>
      <c r="B23" s="10">
        <v>873</v>
      </c>
      <c r="C23" s="10">
        <v>370</v>
      </c>
      <c r="D23" s="10">
        <f t="shared" ref="D23:D25" si="9">B23-C23</f>
        <v>503</v>
      </c>
      <c r="E23">
        <v>661</v>
      </c>
      <c r="F23">
        <f t="shared" ref="F23:F25" si="10">E23-C23</f>
        <v>291</v>
      </c>
      <c r="G23" s="13">
        <f t="shared" si="8"/>
        <v>42.147117296222667</v>
      </c>
    </row>
    <row r="24" spans="1:7" x14ac:dyDescent="0.3">
      <c r="A24" s="1" t="s">
        <v>2</v>
      </c>
      <c r="B24" s="10">
        <v>861</v>
      </c>
      <c r="C24" s="10">
        <v>360</v>
      </c>
      <c r="D24" s="10">
        <f t="shared" si="9"/>
        <v>501</v>
      </c>
      <c r="E24">
        <v>677</v>
      </c>
      <c r="F24">
        <f t="shared" si="10"/>
        <v>317</v>
      </c>
      <c r="G24" s="13">
        <f t="shared" si="8"/>
        <v>36.726546906187629</v>
      </c>
    </row>
    <row r="25" spans="1:7" x14ac:dyDescent="0.3">
      <c r="A25" s="2" t="s">
        <v>3</v>
      </c>
      <c r="B25" s="10">
        <v>764</v>
      </c>
      <c r="C25" s="10">
        <v>361</v>
      </c>
      <c r="D25" s="10">
        <f t="shared" si="9"/>
        <v>403</v>
      </c>
      <c r="E25">
        <v>630</v>
      </c>
      <c r="F25">
        <f t="shared" si="10"/>
        <v>269</v>
      </c>
      <c r="G25" s="13">
        <f t="shared" si="8"/>
        <v>33.250620347394545</v>
      </c>
    </row>
    <row r="26" spans="1:7" x14ac:dyDescent="0.3">
      <c r="A26" t="s">
        <v>7</v>
      </c>
      <c r="D26" s="18">
        <v>1109.53</v>
      </c>
      <c r="F26" s="16">
        <f>SUM(F22:F25)</f>
        <v>1125</v>
      </c>
      <c r="G26" s="13"/>
    </row>
    <row r="27" spans="1:7" x14ac:dyDescent="0.3">
      <c r="A27" t="s">
        <v>9</v>
      </c>
      <c r="D27" s="12"/>
    </row>
    <row r="29" spans="1:7" x14ac:dyDescent="0.3">
      <c r="A29" s="17" t="s">
        <v>24</v>
      </c>
      <c r="B29" s="17"/>
    </row>
    <row r="30" spans="1:7" x14ac:dyDescent="0.3">
      <c r="A30" t="s">
        <v>25</v>
      </c>
      <c r="B30" s="10">
        <v>1458</v>
      </c>
      <c r="C30" s="10">
        <v>563</v>
      </c>
      <c r="D30" s="10">
        <f>B30-C30</f>
        <v>895</v>
      </c>
      <c r="E30">
        <v>1196</v>
      </c>
      <c r="F30">
        <f>E30-C30</f>
        <v>633</v>
      </c>
    </row>
    <row r="31" spans="1:7" x14ac:dyDescent="0.3">
      <c r="A31" t="s">
        <v>26</v>
      </c>
      <c r="B31" s="10">
        <v>1515</v>
      </c>
      <c r="C31" s="10">
        <v>563</v>
      </c>
      <c r="D31" s="10">
        <f>B31-C31</f>
        <v>952</v>
      </c>
      <c r="E31">
        <v>1226</v>
      </c>
      <c r="F31">
        <f>E31-C31</f>
        <v>663</v>
      </c>
    </row>
    <row r="32" spans="1:7" x14ac:dyDescent="0.3">
      <c r="A32" t="s">
        <v>7</v>
      </c>
      <c r="B32" s="10"/>
      <c r="C32" s="10"/>
      <c r="D32" s="10">
        <f>D30+D31</f>
        <v>1847</v>
      </c>
      <c r="F32" s="16">
        <f>SUM(F30:F31)</f>
        <v>1296</v>
      </c>
    </row>
    <row r="33" spans="4:4" x14ac:dyDescent="0.3">
      <c r="D33" s="16">
        <v>1155.2</v>
      </c>
    </row>
  </sheetData>
  <mergeCells count="3">
    <mergeCell ref="B2:D2"/>
    <mergeCell ref="B11:D11"/>
    <mergeCell ref="B20:D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
  <sheetViews>
    <sheetView workbookViewId="0">
      <selection activeCell="L3" sqref="L3:N4"/>
    </sheetView>
  </sheetViews>
  <sheetFormatPr defaultRowHeight="14.4" x14ac:dyDescent="0.3"/>
  <cols>
    <col min="1" max="1" width="10.44140625" customWidth="1"/>
    <col min="2" max="2" width="10.5546875" customWidth="1"/>
    <col min="3" max="3" width="10.33203125" customWidth="1"/>
    <col min="4" max="4" width="10.21875" customWidth="1"/>
    <col min="5" max="5" width="10.5546875" customWidth="1"/>
    <col min="7" max="7" width="10.44140625" customWidth="1"/>
    <col min="9" max="9" width="10.44140625" customWidth="1"/>
  </cols>
  <sheetData>
    <row r="1" spans="1:17" x14ac:dyDescent="0.3">
      <c r="A1" s="16" t="s">
        <v>28</v>
      </c>
      <c r="B1" s="16"/>
      <c r="L1" t="s">
        <v>29</v>
      </c>
      <c r="O1" s="23"/>
      <c r="P1" s="23"/>
      <c r="Q1" s="23"/>
    </row>
    <row r="2" spans="1:17" x14ac:dyDescent="0.3">
      <c r="L2" t="s">
        <v>16</v>
      </c>
      <c r="O2" s="23"/>
      <c r="P2" s="23"/>
      <c r="Q2" s="23"/>
    </row>
    <row r="3" spans="1:17" x14ac:dyDescent="0.3">
      <c r="A3" s="92" t="s">
        <v>30</v>
      </c>
      <c r="B3" s="93"/>
      <c r="K3" t="s">
        <v>31</v>
      </c>
      <c r="L3" s="25">
        <f>SLOPE(F10:F13,E10:E13)</f>
        <v>11638.352782465656</v>
      </c>
      <c r="M3" s="25">
        <f>SLOPE(H10:H13,G10:G13)</f>
        <v>20475.130705101034</v>
      </c>
      <c r="N3" s="25">
        <f>SLOPE(J10:J13,I10:I13)</f>
        <v>17670.811549149828</v>
      </c>
      <c r="O3" s="31"/>
      <c r="P3" s="31"/>
      <c r="Q3" s="31"/>
    </row>
    <row r="4" spans="1:17" x14ac:dyDescent="0.3">
      <c r="A4" s="22"/>
      <c r="B4" s="24"/>
      <c r="K4" t="s">
        <v>32</v>
      </c>
      <c r="L4" s="25">
        <f>INTERCEPT(F10:F13,E10:E13)</f>
        <v>-2070.5714285714494</v>
      </c>
      <c r="M4" s="25">
        <f>INTERCEPT(H10:H13,G10:G13)</f>
        <v>-1654.0357142857101</v>
      </c>
      <c r="N4" s="25">
        <f>INTERCEPT(J10:J13,I10:I13)</f>
        <v>-830.82142857142753</v>
      </c>
      <c r="O4" s="31"/>
      <c r="P4" s="31"/>
      <c r="Q4" s="31"/>
    </row>
    <row r="5" spans="1:17" x14ac:dyDescent="0.3">
      <c r="A5" s="22" t="s">
        <v>33</v>
      </c>
      <c r="B5" s="24">
        <v>101.1</v>
      </c>
    </row>
    <row r="6" spans="1:17" x14ac:dyDescent="0.3">
      <c r="A6" s="22" t="s">
        <v>34</v>
      </c>
      <c r="B6" s="24">
        <v>0.5</v>
      </c>
    </row>
    <row r="7" spans="1:17" x14ac:dyDescent="0.3">
      <c r="A7" s="27" t="s">
        <v>35</v>
      </c>
      <c r="B7" s="28">
        <v>202.2</v>
      </c>
      <c r="E7" s="96" t="s">
        <v>41</v>
      </c>
      <c r="F7" s="97"/>
      <c r="G7" s="97"/>
      <c r="H7" s="97"/>
      <c r="I7" s="97"/>
      <c r="J7" s="98"/>
    </row>
    <row r="8" spans="1:17" x14ac:dyDescent="0.3">
      <c r="D8" t="s">
        <v>7</v>
      </c>
      <c r="E8" s="94" t="s">
        <v>16</v>
      </c>
      <c r="F8" s="95"/>
      <c r="G8" s="94" t="s">
        <v>17</v>
      </c>
      <c r="H8" s="95"/>
      <c r="I8" s="94" t="s">
        <v>18</v>
      </c>
      <c r="J8" s="95"/>
    </row>
    <row r="9" spans="1:17" x14ac:dyDescent="0.3">
      <c r="A9" t="s">
        <v>36</v>
      </c>
      <c r="B9" t="s">
        <v>37</v>
      </c>
      <c r="C9" t="s">
        <v>38</v>
      </c>
      <c r="D9" t="s">
        <v>35</v>
      </c>
      <c r="E9" s="38" t="s">
        <v>35</v>
      </c>
      <c r="F9" s="39" t="s">
        <v>39</v>
      </c>
      <c r="G9" s="39" t="s">
        <v>35</v>
      </c>
      <c r="H9" s="39" t="s">
        <v>39</v>
      </c>
      <c r="I9" s="39" t="s">
        <v>35</v>
      </c>
      <c r="J9" s="40" t="s">
        <v>39</v>
      </c>
    </row>
    <row r="10" spans="1:17" x14ac:dyDescent="0.3">
      <c r="A10" s="10" t="s">
        <v>40</v>
      </c>
      <c r="B10" s="10">
        <v>0</v>
      </c>
      <c r="C10" s="10">
        <v>10</v>
      </c>
      <c r="D10" s="25">
        <f t="shared" ref="D10:D12" si="0">$B$7*B10/C10</f>
        <v>0</v>
      </c>
      <c r="E10" s="30">
        <f t="shared" ref="E10:E12" si="1">D10*0.53</f>
        <v>0</v>
      </c>
      <c r="F10" s="36">
        <v>0</v>
      </c>
      <c r="G10" s="31">
        <f>D10*0.32</f>
        <v>0</v>
      </c>
      <c r="H10">
        <v>0</v>
      </c>
      <c r="I10" s="31">
        <f>D10*0.15</f>
        <v>0</v>
      </c>
      <c r="J10" s="24">
        <v>0</v>
      </c>
    </row>
    <row r="11" spans="1:17" x14ac:dyDescent="0.3">
      <c r="A11" s="10">
        <v>1</v>
      </c>
      <c r="B11" s="10">
        <v>0.5</v>
      </c>
      <c r="C11" s="10">
        <v>10</v>
      </c>
      <c r="D11" s="25">
        <f t="shared" si="0"/>
        <v>10.11</v>
      </c>
      <c r="E11" s="30">
        <f>D11*0.53</f>
        <v>5.3582999999999998</v>
      </c>
      <c r="F11" s="65">
        <v>60427</v>
      </c>
      <c r="G11" s="31">
        <f t="shared" ref="G11:G13" si="2">D11*0.32</f>
        <v>3.2351999999999999</v>
      </c>
      <c r="H11" s="23">
        <v>64829</v>
      </c>
      <c r="I11" s="31">
        <f t="shared" ref="I11:I13" si="3">D11*0.15</f>
        <v>1.5165</v>
      </c>
      <c r="J11" s="24">
        <v>26336</v>
      </c>
    </row>
    <row r="12" spans="1:17" x14ac:dyDescent="0.3">
      <c r="A12" s="10">
        <v>2</v>
      </c>
      <c r="B12" s="10">
        <v>1</v>
      </c>
      <c r="C12" s="10">
        <v>10</v>
      </c>
      <c r="D12" s="25">
        <f t="shared" si="0"/>
        <v>20.22</v>
      </c>
      <c r="E12" s="30">
        <f t="shared" si="1"/>
        <v>10.7166</v>
      </c>
      <c r="F12" s="65">
        <v>119021</v>
      </c>
      <c r="G12" s="31">
        <f t="shared" si="2"/>
        <v>6.4703999999999997</v>
      </c>
      <c r="H12" s="23">
        <v>127749</v>
      </c>
      <c r="I12" s="31">
        <f t="shared" si="3"/>
        <v>3.0329999999999999</v>
      </c>
      <c r="J12" s="24">
        <v>50888</v>
      </c>
    </row>
    <row r="13" spans="1:17" x14ac:dyDescent="0.3">
      <c r="A13" s="10">
        <v>3</v>
      </c>
      <c r="B13" s="41">
        <v>2.5</v>
      </c>
      <c r="C13" s="10">
        <v>10</v>
      </c>
      <c r="D13" s="25">
        <f>$B$7*B13/C13</f>
        <v>50.55</v>
      </c>
      <c r="E13" s="32">
        <f>D13*0.53</f>
        <v>26.791499999999999</v>
      </c>
      <c r="F13" s="33">
        <v>311164</v>
      </c>
      <c r="G13" s="34">
        <f t="shared" si="2"/>
        <v>16.175999999999998</v>
      </c>
      <c r="H13" s="33">
        <v>330735</v>
      </c>
      <c r="I13" s="34">
        <f t="shared" si="3"/>
        <v>7.5824999999999996</v>
      </c>
      <c r="J13" s="28">
        <v>133835</v>
      </c>
    </row>
    <row r="16" spans="1:17" x14ac:dyDescent="0.3">
      <c r="C16" s="10"/>
      <c r="D16" s="25"/>
      <c r="E16" s="25"/>
      <c r="G16" s="25"/>
      <c r="I16" s="25"/>
    </row>
    <row r="17" spans="2:9" x14ac:dyDescent="0.3">
      <c r="C17" s="10"/>
      <c r="D17" s="25"/>
      <c r="E17" s="25"/>
      <c r="G17" s="25"/>
      <c r="I17" s="25"/>
    </row>
    <row r="18" spans="2:9" x14ac:dyDescent="0.3">
      <c r="C18" s="10"/>
      <c r="D18" s="25"/>
      <c r="E18" s="25"/>
      <c r="G18" s="25"/>
      <c r="I18" s="25"/>
    </row>
    <row r="19" spans="2:9" x14ac:dyDescent="0.3">
      <c r="B19" s="29"/>
      <c r="C19" s="10"/>
      <c r="D19" s="25"/>
      <c r="E19" s="25"/>
      <c r="G19" s="25"/>
      <c r="I19" s="25"/>
    </row>
  </sheetData>
  <mergeCells count="5">
    <mergeCell ref="A3:B3"/>
    <mergeCell ref="E8:F8"/>
    <mergeCell ref="G8:H8"/>
    <mergeCell ref="I8:J8"/>
    <mergeCell ref="E7:J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workbookViewId="0">
      <selection activeCell="E6" sqref="E6"/>
    </sheetView>
  </sheetViews>
  <sheetFormatPr defaultRowHeight="14.4" x14ac:dyDescent="0.3"/>
  <cols>
    <col min="1" max="1" width="9.6640625" customWidth="1"/>
  </cols>
  <sheetData>
    <row r="1" spans="1:7" x14ac:dyDescent="0.3">
      <c r="A1" s="19" t="s">
        <v>23</v>
      </c>
      <c r="B1" s="100" t="s">
        <v>27</v>
      </c>
      <c r="C1" s="100"/>
    </row>
    <row r="2" spans="1:7" x14ac:dyDescent="0.3">
      <c r="E2" s="99" t="s">
        <v>15</v>
      </c>
      <c r="F2" s="99"/>
      <c r="G2" s="99"/>
    </row>
    <row r="3" spans="1:7" x14ac:dyDescent="0.3">
      <c r="A3" s="11" t="s">
        <v>11</v>
      </c>
      <c r="B3" s="11" t="s">
        <v>12</v>
      </c>
      <c r="C3" t="s">
        <v>13</v>
      </c>
      <c r="D3" s="10" t="s">
        <v>14</v>
      </c>
      <c r="E3" t="s">
        <v>16</v>
      </c>
      <c r="F3" t="s">
        <v>17</v>
      </c>
      <c r="G3" t="s">
        <v>18</v>
      </c>
    </row>
    <row r="4" spans="1:7" x14ac:dyDescent="0.3">
      <c r="A4" s="11" t="s">
        <v>25</v>
      </c>
      <c r="B4" s="11">
        <v>1</v>
      </c>
      <c r="C4">
        <v>10.02</v>
      </c>
      <c r="D4" s="10">
        <v>20</v>
      </c>
      <c r="E4">
        <v>0</v>
      </c>
      <c r="F4">
        <v>0</v>
      </c>
      <c r="G4">
        <v>0</v>
      </c>
    </row>
    <row r="5" spans="1:7" x14ac:dyDescent="0.3">
      <c r="A5" s="11" t="s">
        <v>26</v>
      </c>
      <c r="B5" s="11">
        <v>2</v>
      </c>
      <c r="C5">
        <v>9.9700000000000006</v>
      </c>
      <c r="D5" s="10">
        <v>20</v>
      </c>
      <c r="E5">
        <v>0</v>
      </c>
      <c r="F5">
        <v>0</v>
      </c>
      <c r="G5">
        <v>0</v>
      </c>
    </row>
    <row r="6" spans="1:7" x14ac:dyDescent="0.3">
      <c r="A6" s="11"/>
      <c r="B6" s="11"/>
      <c r="D6" s="10"/>
    </row>
    <row r="7" spans="1:7" x14ac:dyDescent="0.3">
      <c r="A7" s="11"/>
      <c r="B7" s="11"/>
      <c r="D7" s="10"/>
    </row>
    <row r="8" spans="1:7" x14ac:dyDescent="0.3">
      <c r="A8" s="11"/>
      <c r="B8" s="11"/>
      <c r="D8" s="10"/>
    </row>
    <row r="9" spans="1:7" x14ac:dyDescent="0.3">
      <c r="A9" s="11"/>
      <c r="B9" s="11"/>
      <c r="D9" s="10"/>
    </row>
    <row r="10" spans="1:7" x14ac:dyDescent="0.3">
      <c r="A10" s="11"/>
      <c r="B10" s="11"/>
      <c r="D10" s="10"/>
    </row>
    <row r="11" spans="1:7" x14ac:dyDescent="0.3">
      <c r="A11" s="11"/>
      <c r="B11" s="11"/>
      <c r="D11" s="10"/>
    </row>
    <row r="12" spans="1:7" x14ac:dyDescent="0.3">
      <c r="A12" s="11"/>
      <c r="B12" s="11"/>
      <c r="D12" s="10"/>
    </row>
    <row r="13" spans="1:7" x14ac:dyDescent="0.3">
      <c r="A13" s="11"/>
      <c r="B13" s="11"/>
      <c r="D13" s="10"/>
    </row>
    <row r="14" spans="1:7" x14ac:dyDescent="0.3">
      <c r="A14" s="11"/>
      <c r="B14" s="11"/>
      <c r="D14" s="10"/>
    </row>
    <row r="15" spans="1:7" x14ac:dyDescent="0.3">
      <c r="A15" s="11"/>
      <c r="B15" s="11"/>
      <c r="D15" s="10"/>
    </row>
  </sheetData>
  <mergeCells count="2">
    <mergeCell ref="E2:G2"/>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3"/>
  <sheetViews>
    <sheetView workbookViewId="0">
      <selection activeCell="W16" sqref="W16:Y16"/>
    </sheetView>
  </sheetViews>
  <sheetFormatPr defaultRowHeight="14.4" x14ac:dyDescent="0.3"/>
  <cols>
    <col min="1" max="1" width="5.77734375" customWidth="1"/>
    <col min="2" max="2" width="8" customWidth="1"/>
    <col min="4" max="4" width="8.109375" customWidth="1"/>
    <col min="5" max="5" width="5.6640625" customWidth="1"/>
    <col min="8" max="8" width="7" customWidth="1"/>
    <col min="11" max="11" width="5.109375" customWidth="1"/>
    <col min="14" max="14" width="4.88671875" customWidth="1"/>
    <col min="17" max="17" width="3.88671875" customWidth="1"/>
    <col min="18" max="18" width="7.5546875" customWidth="1"/>
    <col min="19" max="19" width="7.21875" customWidth="1"/>
    <col min="20" max="20" width="4.21875" customWidth="1"/>
    <col min="21" max="21" width="6.5546875" customWidth="1"/>
    <col min="22" max="22" width="8.33203125" customWidth="1"/>
    <col min="23" max="23" width="4" customWidth="1"/>
    <col min="24" max="25" width="6.77734375" customWidth="1"/>
    <col min="26" max="26" width="4.6640625" customWidth="1"/>
    <col min="27" max="27" width="6.77734375" customWidth="1"/>
    <col min="28" max="28" width="6.6640625" customWidth="1"/>
  </cols>
  <sheetData>
    <row r="1" spans="1:28" x14ac:dyDescent="0.3">
      <c r="A1" s="101" t="s">
        <v>20</v>
      </c>
      <c r="B1" s="101"/>
    </row>
    <row r="2" spans="1:28" x14ac:dyDescent="0.3">
      <c r="E2" s="105" t="s">
        <v>15</v>
      </c>
      <c r="F2" s="106"/>
      <c r="G2" s="107"/>
      <c r="H2" s="94" t="s">
        <v>35</v>
      </c>
      <c r="I2" s="108"/>
      <c r="J2" s="95"/>
      <c r="K2" s="105" t="s">
        <v>42</v>
      </c>
      <c r="L2" s="106"/>
      <c r="M2" s="107"/>
      <c r="N2" s="105" t="s">
        <v>43</v>
      </c>
      <c r="O2" s="106"/>
      <c r="P2" s="106"/>
      <c r="Q2" s="109" t="s">
        <v>44</v>
      </c>
      <c r="R2" s="110"/>
      <c r="S2" s="111"/>
      <c r="T2" s="102" t="s">
        <v>42</v>
      </c>
      <c r="U2" s="103"/>
      <c r="V2" s="104"/>
      <c r="W2" s="105" t="s">
        <v>45</v>
      </c>
      <c r="X2" s="106"/>
      <c r="Y2" s="107"/>
      <c r="Z2" s="94" t="s">
        <v>46</v>
      </c>
      <c r="AA2" s="108"/>
      <c r="AB2" s="95"/>
    </row>
    <row r="3" spans="1:28" x14ac:dyDescent="0.3">
      <c r="A3" s="7" t="s">
        <v>11</v>
      </c>
      <c r="B3" s="7" t="s">
        <v>12</v>
      </c>
      <c r="C3" t="s">
        <v>13</v>
      </c>
      <c r="D3" s="5" t="s">
        <v>14</v>
      </c>
      <c r="E3" s="42" t="s">
        <v>16</v>
      </c>
      <c r="F3" s="43" t="s">
        <v>17</v>
      </c>
      <c r="G3" s="44" t="s">
        <v>18</v>
      </c>
      <c r="H3" s="42" t="s">
        <v>16</v>
      </c>
      <c r="I3" s="43" t="s">
        <v>17</v>
      </c>
      <c r="J3" s="44" t="s">
        <v>18</v>
      </c>
      <c r="K3" s="42" t="s">
        <v>16</v>
      </c>
      <c r="L3" s="43" t="s">
        <v>17</v>
      </c>
      <c r="M3" s="43" t="s">
        <v>18</v>
      </c>
      <c r="N3" s="42" t="s">
        <v>16</v>
      </c>
      <c r="O3" s="43" t="s">
        <v>17</v>
      </c>
      <c r="P3" s="44" t="s">
        <v>18</v>
      </c>
      <c r="Q3" s="38" t="s">
        <v>16</v>
      </c>
      <c r="R3" s="39" t="s">
        <v>17</v>
      </c>
      <c r="S3" s="40" t="s">
        <v>18</v>
      </c>
      <c r="T3" s="38" t="s">
        <v>16</v>
      </c>
      <c r="U3" s="39" t="s">
        <v>17</v>
      </c>
      <c r="V3" s="40" t="s">
        <v>18</v>
      </c>
      <c r="W3" s="22"/>
      <c r="X3" s="23"/>
      <c r="Y3" s="24"/>
      <c r="Z3" s="45" t="s">
        <v>16</v>
      </c>
      <c r="AA3" s="46" t="s">
        <v>17</v>
      </c>
      <c r="AB3" s="47" t="s">
        <v>18</v>
      </c>
    </row>
    <row r="4" spans="1:28" x14ac:dyDescent="0.3">
      <c r="A4" s="7">
        <v>1</v>
      </c>
      <c r="B4" s="7">
        <v>1</v>
      </c>
      <c r="C4" s="20">
        <v>10.02</v>
      </c>
      <c r="D4" s="5">
        <v>20</v>
      </c>
      <c r="E4" s="35">
        <v>0</v>
      </c>
      <c r="F4" s="36">
        <v>0</v>
      </c>
      <c r="G4" s="37">
        <v>15803</v>
      </c>
      <c r="H4" s="48">
        <v>0</v>
      </c>
      <c r="I4" s="48">
        <v>0</v>
      </c>
      <c r="J4" s="52">
        <f>(G4-$D$21)/$D$20</f>
        <v>0.94131621415948541</v>
      </c>
      <c r="K4" s="35">
        <v>0</v>
      </c>
      <c r="L4" s="50">
        <f>I4*D4/1000</f>
        <v>0</v>
      </c>
      <c r="M4" s="50">
        <f>J4*D4/1000</f>
        <v>1.882632428318971E-2</v>
      </c>
      <c r="N4" s="35">
        <f>K4*C4/$G$23</f>
        <v>0</v>
      </c>
      <c r="O4" s="51">
        <f>L4*$G$25/C4</f>
        <v>0</v>
      </c>
      <c r="P4" s="49">
        <f>M4*$G$23/C4</f>
        <v>1.0953839378342916</v>
      </c>
      <c r="Q4" s="26">
        <f>AVERAGE(H4:H6)</f>
        <v>0</v>
      </c>
      <c r="R4" s="51">
        <f>AVERAGE(I4:I6)</f>
        <v>0</v>
      </c>
      <c r="S4" s="49">
        <f>AVERAGE(J4:J6)</f>
        <v>0.97576096305931459</v>
      </c>
      <c r="T4" s="22">
        <v>0</v>
      </c>
      <c r="U4" s="50">
        <f>AVERAGE(L4:L6)</f>
        <v>0</v>
      </c>
      <c r="V4" s="76">
        <f>AVERAGE(M4:M6)</f>
        <v>1.9515219261186292E-2</v>
      </c>
      <c r="W4" s="38">
        <f>T4*G25/10</f>
        <v>0</v>
      </c>
      <c r="X4" s="70">
        <f>U4*G23/AVERAGE(C4:C6)</f>
        <v>0</v>
      </c>
      <c r="Y4" s="37">
        <f>V4*G23/10</f>
        <v>1.1377372829271608</v>
      </c>
      <c r="Z4" s="22">
        <f>W4*1000/G23</f>
        <v>0</v>
      </c>
      <c r="AA4" s="48">
        <f>X4*1000/G23</f>
        <v>0</v>
      </c>
      <c r="AB4" s="49">
        <f>Y4*1000/G23</f>
        <v>1.9515219261186292</v>
      </c>
    </row>
    <row r="5" spans="1:28" x14ac:dyDescent="0.3">
      <c r="A5" s="7"/>
      <c r="B5" s="7">
        <v>2</v>
      </c>
      <c r="C5" s="20">
        <v>10.050000000000001</v>
      </c>
      <c r="D5" s="5">
        <v>20</v>
      </c>
      <c r="E5" s="35">
        <v>0</v>
      </c>
      <c r="F5" s="36">
        <v>0</v>
      </c>
      <c r="G5" s="37">
        <v>21344</v>
      </c>
      <c r="H5" s="48">
        <v>0</v>
      </c>
      <c r="I5" s="48">
        <v>0</v>
      </c>
      <c r="J5" s="52">
        <f t="shared" ref="J5:J15" si="0">(G5-$D$21)/$D$20</f>
        <v>1.2548841555405696</v>
      </c>
      <c r="K5" s="35">
        <v>0</v>
      </c>
      <c r="L5" s="50">
        <f t="shared" ref="L5:L14" si="1">I5*D5/1000</f>
        <v>0</v>
      </c>
      <c r="M5" s="50">
        <f t="shared" ref="M5:M12" si="2">J5*D5/1000</f>
        <v>2.509768311081139E-2</v>
      </c>
      <c r="N5" s="35">
        <f>K5*C5/$G$23</f>
        <v>0</v>
      </c>
      <c r="O5" s="51">
        <f t="shared" ref="O5" si="3">L5*$G$25/C5</f>
        <v>0</v>
      </c>
      <c r="P5" s="49">
        <f t="shared" ref="P5:P12" si="4">M5*$G$23/C5</f>
        <v>1.4559153486172178</v>
      </c>
      <c r="Q5" s="26"/>
      <c r="R5" s="36"/>
      <c r="S5" s="37"/>
      <c r="T5" s="22"/>
      <c r="U5" s="50"/>
      <c r="V5" s="24"/>
      <c r="W5" s="38"/>
      <c r="X5" s="70"/>
      <c r="Y5" s="37"/>
      <c r="Z5" s="22"/>
      <c r="AA5" s="48"/>
      <c r="AB5" s="37"/>
    </row>
    <row r="6" spans="1:28" x14ac:dyDescent="0.3">
      <c r="A6" s="7"/>
      <c r="B6" s="7">
        <v>3</v>
      </c>
      <c r="C6" s="20">
        <v>10.029999999999999</v>
      </c>
      <c r="D6" s="5">
        <v>20</v>
      </c>
      <c r="E6" s="35">
        <v>0</v>
      </c>
      <c r="F6" s="36">
        <v>0</v>
      </c>
      <c r="G6" s="37">
        <v>12088</v>
      </c>
      <c r="H6" s="48">
        <v>0</v>
      </c>
      <c r="I6" s="48">
        <v>0</v>
      </c>
      <c r="J6" s="52">
        <f t="shared" si="0"/>
        <v>0.7310825194778886</v>
      </c>
      <c r="K6" s="35">
        <v>0</v>
      </c>
      <c r="L6" s="50">
        <f>I6*D6/1000</f>
        <v>0</v>
      </c>
      <c r="M6" s="50">
        <f t="shared" si="2"/>
        <v>1.4621650389557771E-2</v>
      </c>
      <c r="N6" s="35">
        <f>K6*C6/$G$23</f>
        <v>0</v>
      </c>
      <c r="O6" s="51">
        <f>L6*$G$25/C6</f>
        <v>0</v>
      </c>
      <c r="P6" s="49">
        <f t="shared" si="4"/>
        <v>0.84989254009094528</v>
      </c>
      <c r="Q6" s="26"/>
      <c r="R6" s="36"/>
      <c r="S6" s="37"/>
      <c r="T6" s="22"/>
      <c r="U6" s="50"/>
      <c r="V6" s="24"/>
      <c r="W6" s="38"/>
      <c r="X6" s="70"/>
      <c r="Y6" s="37"/>
      <c r="Z6" s="22"/>
      <c r="AA6" s="48"/>
      <c r="AB6" s="37"/>
    </row>
    <row r="7" spans="1:28" x14ac:dyDescent="0.3">
      <c r="A7" s="7">
        <v>2</v>
      </c>
      <c r="B7" s="7">
        <v>1</v>
      </c>
      <c r="C7" s="20">
        <v>10.01</v>
      </c>
      <c r="D7" s="5">
        <v>20</v>
      </c>
      <c r="E7" s="35">
        <v>0</v>
      </c>
      <c r="F7" s="36">
        <v>10263</v>
      </c>
      <c r="G7" s="37">
        <v>20831</v>
      </c>
      <c r="H7" s="48">
        <v>0</v>
      </c>
      <c r="I7" s="48">
        <f t="shared" ref="I7:I15" si="5">(F7-$C$21)/$C$20</f>
        <v>0.58202489087489839</v>
      </c>
      <c r="J7" s="52">
        <f t="shared" si="0"/>
        <v>1.225853230810648</v>
      </c>
      <c r="K7" s="35">
        <v>0</v>
      </c>
      <c r="L7" s="50">
        <f t="shared" si="1"/>
        <v>1.1640497817497968E-2</v>
      </c>
      <c r="M7" s="50">
        <f t="shared" si="2"/>
        <v>2.4517064616212961E-2</v>
      </c>
      <c r="N7" s="35">
        <f>K7*C7/$G$22</f>
        <v>0</v>
      </c>
      <c r="O7" s="51">
        <f>L7*$G$22/C7</f>
        <v>0.76169091612998696</v>
      </c>
      <c r="P7" s="49">
        <f t="shared" si="4"/>
        <v>1.4279169501750406</v>
      </c>
      <c r="Q7" s="26">
        <f t="shared" ref="Q7:V7" si="6">AVERAGE(H7:H9)</f>
        <v>0</v>
      </c>
      <c r="R7" s="51">
        <f t="shared" si="6"/>
        <v>0.58946481082106905</v>
      </c>
      <c r="S7" s="49">
        <f t="shared" si="6"/>
        <v>1.3992465122384843</v>
      </c>
      <c r="T7" s="22">
        <f t="shared" si="6"/>
        <v>0</v>
      </c>
      <c r="U7" s="50">
        <f>AVERAGE(L7:L9)</f>
        <v>1.178929621642138E-2</v>
      </c>
      <c r="V7" s="24">
        <f t="shared" si="6"/>
        <v>2.7984930244769685E-2</v>
      </c>
      <c r="W7" s="38">
        <f>T7*G28/10</f>
        <v>0</v>
      </c>
      <c r="X7" s="70">
        <f>U7*G22/AVERAGE(C7:C9)</f>
        <v>0.77245638763814639</v>
      </c>
      <c r="Y7" s="37">
        <f>V7*G22/10</f>
        <v>1.8330129310324144</v>
      </c>
      <c r="Z7" s="22">
        <f>W7*1000/G22</f>
        <v>0</v>
      </c>
      <c r="AA7" s="48">
        <f>X7*1000/G22</f>
        <v>1.179322729218544</v>
      </c>
      <c r="AB7" s="49">
        <f>Y7*1000/G22</f>
        <v>2.7984930244769686</v>
      </c>
    </row>
    <row r="8" spans="1:28" x14ac:dyDescent="0.3">
      <c r="A8" s="7"/>
      <c r="B8" s="7">
        <v>2</v>
      </c>
      <c r="C8" s="20">
        <v>9.98</v>
      </c>
      <c r="D8" s="5">
        <v>20</v>
      </c>
      <c r="E8" s="35">
        <v>0</v>
      </c>
      <c r="F8" s="36">
        <v>10311</v>
      </c>
      <c r="G8" s="37">
        <v>24357</v>
      </c>
      <c r="H8" s="48">
        <v>0</v>
      </c>
      <c r="I8" s="48">
        <f t="shared" si="5"/>
        <v>0.58436919825399813</v>
      </c>
      <c r="J8" s="52">
        <f t="shared" si="0"/>
        <v>1.4253913216443788</v>
      </c>
      <c r="K8" s="35">
        <v>0</v>
      </c>
      <c r="L8" s="50">
        <f t="shared" si="1"/>
        <v>1.1687383965079963E-2</v>
      </c>
      <c r="M8" s="50">
        <f t="shared" si="2"/>
        <v>2.8507826432887576E-2</v>
      </c>
      <c r="N8" s="35">
        <f t="shared" ref="N8:N9" si="7">K8*C8/$G$22</f>
        <v>0</v>
      </c>
      <c r="O8" s="51">
        <f>L8*$G$22/C8</f>
        <v>0.767057765243224</v>
      </c>
      <c r="P8" s="49">
        <f t="shared" si="4"/>
        <v>1.6653369549472401</v>
      </c>
      <c r="Q8" s="26"/>
      <c r="R8" s="36"/>
      <c r="S8" s="37"/>
      <c r="T8" s="22"/>
      <c r="U8" s="50"/>
      <c r="V8" s="24"/>
      <c r="W8" s="38"/>
      <c r="X8" s="70"/>
      <c r="Y8" s="37"/>
      <c r="Z8" s="22"/>
      <c r="AA8" s="48"/>
      <c r="AB8" s="37"/>
    </row>
    <row r="9" spans="1:28" x14ac:dyDescent="0.3">
      <c r="A9" s="7"/>
      <c r="B9" s="7">
        <v>3</v>
      </c>
      <c r="C9" s="14">
        <v>10</v>
      </c>
      <c r="D9" s="5">
        <v>20</v>
      </c>
      <c r="E9" s="35">
        <v>0</v>
      </c>
      <c r="F9" s="36">
        <v>10672</v>
      </c>
      <c r="G9" s="37">
        <v>26497</v>
      </c>
      <c r="H9" s="48">
        <v>0</v>
      </c>
      <c r="I9" s="48">
        <f t="shared" si="5"/>
        <v>0.60200034333431074</v>
      </c>
      <c r="J9" s="52">
        <f t="shared" si="0"/>
        <v>1.5464949842604265</v>
      </c>
      <c r="K9" s="35">
        <v>0</v>
      </c>
      <c r="L9" s="50">
        <f t="shared" si="1"/>
        <v>1.2040006866686215E-2</v>
      </c>
      <c r="M9" s="50">
        <f t="shared" si="2"/>
        <v>3.0929899685208533E-2</v>
      </c>
      <c r="N9" s="35">
        <f t="shared" si="7"/>
        <v>0</v>
      </c>
      <c r="O9" s="51">
        <f>L9*$G$22/C9</f>
        <v>0.78862044976794698</v>
      </c>
      <c r="P9" s="49">
        <f t="shared" si="4"/>
        <v>1.8032131516476575</v>
      </c>
      <c r="Q9" s="26"/>
      <c r="R9" s="36"/>
      <c r="S9" s="37"/>
      <c r="T9" s="22"/>
      <c r="U9" s="50"/>
      <c r="V9" s="24"/>
      <c r="W9" s="38"/>
      <c r="X9" s="70"/>
      <c r="Y9" s="37"/>
      <c r="Z9" s="22"/>
      <c r="AA9" s="48"/>
      <c r="AB9" s="37"/>
    </row>
    <row r="10" spans="1:28" x14ac:dyDescent="0.3">
      <c r="A10" s="7">
        <v>3</v>
      </c>
      <c r="B10" s="7">
        <v>1</v>
      </c>
      <c r="C10" s="20">
        <v>10.02</v>
      </c>
      <c r="D10" s="5">
        <v>20</v>
      </c>
      <c r="E10" s="35">
        <v>0</v>
      </c>
      <c r="F10" s="36">
        <v>57950</v>
      </c>
      <c r="G10" s="37">
        <v>40526</v>
      </c>
      <c r="H10" s="48">
        <v>0</v>
      </c>
      <c r="I10" s="48">
        <f t="shared" si="5"/>
        <v>2.9110454322734247</v>
      </c>
      <c r="J10" s="52">
        <f t="shared" si="0"/>
        <v>2.3404030603541335</v>
      </c>
      <c r="K10" s="35">
        <v>0</v>
      </c>
      <c r="L10" s="50">
        <f t="shared" si="1"/>
        <v>5.82209086454685E-2</v>
      </c>
      <c r="M10" s="50">
        <f t="shared" si="2"/>
        <v>4.6808061207082675E-2</v>
      </c>
      <c r="N10" s="35">
        <f>K10*C10/$G$21</f>
        <v>0</v>
      </c>
      <c r="O10" s="51">
        <f>L10*$G$21/C10</f>
        <v>3.5560075939148428</v>
      </c>
      <c r="P10" s="49">
        <f t="shared" si="4"/>
        <v>2.7234630422883437</v>
      </c>
      <c r="Q10" s="26">
        <f t="shared" ref="Q10:V10" si="8">AVERAGE(H10:H12)</f>
        <v>0</v>
      </c>
      <c r="R10" s="51">
        <f t="shared" si="8"/>
        <v>2.6628256085988848</v>
      </c>
      <c r="S10" s="49">
        <f t="shared" si="8"/>
        <v>2.1192662633373223</v>
      </c>
      <c r="T10" s="22">
        <f t="shared" si="8"/>
        <v>0</v>
      </c>
      <c r="U10" s="50">
        <f>AVERAGE(L10:L12)</f>
        <v>5.3256512171977695E-2</v>
      </c>
      <c r="V10" s="24">
        <f t="shared" si="8"/>
        <v>4.2385325266746453E-2</v>
      </c>
      <c r="W10" s="38">
        <f>T10*G31/10</f>
        <v>0</v>
      </c>
      <c r="X10" s="70">
        <f>U10*G21/AVERAGE(C10:C12)</f>
        <v>3.2538754192263246</v>
      </c>
      <c r="Y10" s="37">
        <f>V10*G21/10</f>
        <v>2.593981906324883</v>
      </c>
      <c r="Z10" s="22">
        <f>W10*1000/G23</f>
        <v>0</v>
      </c>
      <c r="AA10" s="48">
        <f>X10*1000/G21</f>
        <v>5.3167899006966088</v>
      </c>
      <c r="AB10" s="49">
        <f>Y10*1000/G21</f>
        <v>4.2385325266746454</v>
      </c>
    </row>
    <row r="11" spans="1:28" x14ac:dyDescent="0.3">
      <c r="A11" s="7"/>
      <c r="B11" s="7">
        <v>2</v>
      </c>
      <c r="C11" s="20">
        <v>9.99</v>
      </c>
      <c r="D11" s="5">
        <v>20</v>
      </c>
      <c r="E11" s="35">
        <v>0</v>
      </c>
      <c r="F11" s="36">
        <v>51594</v>
      </c>
      <c r="G11" s="37">
        <v>34925</v>
      </c>
      <c r="H11" s="48">
        <v>0</v>
      </c>
      <c r="I11" s="48">
        <f t="shared" si="5"/>
        <v>2.6006200634909677</v>
      </c>
      <c r="J11" s="52">
        <f t="shared" si="0"/>
        <v>2.0234396891800759</v>
      </c>
      <c r="K11" s="35">
        <v>0</v>
      </c>
      <c r="L11" s="50">
        <f t="shared" si="1"/>
        <v>5.2012401269819354E-2</v>
      </c>
      <c r="M11" s="50">
        <f t="shared" si="2"/>
        <v>4.046879378360152E-2</v>
      </c>
      <c r="N11" s="35">
        <f t="shared" ref="N11:N12" si="9">K11*C11/$G$21</f>
        <v>0</v>
      </c>
      <c r="O11" s="51">
        <f t="shared" ref="O11:O12" si="10">L11*$G$21/C11</f>
        <v>3.1863453030159605</v>
      </c>
      <c r="P11" s="49">
        <f t="shared" si="4"/>
        <v>2.3616923699539223</v>
      </c>
      <c r="Q11" s="26"/>
      <c r="R11" s="36"/>
      <c r="S11" s="37"/>
      <c r="T11" s="22"/>
      <c r="U11" s="50"/>
      <c r="V11" s="24"/>
      <c r="W11" s="38"/>
      <c r="X11" s="70"/>
      <c r="Y11" s="37"/>
      <c r="Z11" s="22"/>
      <c r="AA11" s="23"/>
      <c r="AB11" s="37"/>
    </row>
    <row r="12" spans="1:28" x14ac:dyDescent="0.3">
      <c r="A12" s="7"/>
      <c r="B12" s="7">
        <v>3</v>
      </c>
      <c r="C12" s="20">
        <v>10.039999999999999</v>
      </c>
      <c r="D12" s="5">
        <v>20</v>
      </c>
      <c r="E12" s="35">
        <v>0</v>
      </c>
      <c r="F12" s="36">
        <v>49059</v>
      </c>
      <c r="G12" s="37">
        <v>34404</v>
      </c>
      <c r="H12" s="48">
        <v>0</v>
      </c>
      <c r="I12" s="48">
        <f t="shared" si="5"/>
        <v>2.4768113300322625</v>
      </c>
      <c r="J12" s="52">
        <f t="shared" si="0"/>
        <v>1.9939560404777579</v>
      </c>
      <c r="K12" s="35">
        <v>0</v>
      </c>
      <c r="L12" s="50">
        <f t="shared" si="1"/>
        <v>4.9536226600645251E-2</v>
      </c>
      <c r="M12" s="50">
        <f t="shared" si="2"/>
        <v>3.9879120809555163E-2</v>
      </c>
      <c r="N12" s="35">
        <f t="shared" si="9"/>
        <v>0</v>
      </c>
      <c r="O12" s="51">
        <f t="shared" si="10"/>
        <v>3.0195389123102485</v>
      </c>
      <c r="P12" s="49">
        <f t="shared" si="4"/>
        <v>2.3156899832640101</v>
      </c>
      <c r="Q12" s="26"/>
      <c r="R12" s="36"/>
      <c r="S12" s="37"/>
      <c r="T12" s="22"/>
      <c r="U12" s="50"/>
      <c r="V12" s="24"/>
      <c r="W12" s="38"/>
      <c r="X12" s="70"/>
      <c r="Y12" s="37"/>
      <c r="Z12" s="22"/>
      <c r="AA12" s="23"/>
      <c r="AB12" s="37"/>
    </row>
    <row r="13" spans="1:28" x14ac:dyDescent="0.3">
      <c r="A13" s="7">
        <v>4</v>
      </c>
      <c r="B13" s="7">
        <v>1</v>
      </c>
      <c r="C13" s="20">
        <v>9.99</v>
      </c>
      <c r="D13" s="5">
        <v>20</v>
      </c>
      <c r="E13" s="35">
        <v>0</v>
      </c>
      <c r="F13" s="36">
        <v>173701</v>
      </c>
      <c r="G13" s="37">
        <v>95917</v>
      </c>
      <c r="H13" s="48">
        <v>0</v>
      </c>
      <c r="I13" s="48">
        <f t="shared" si="5"/>
        <v>8.5642938372353807</v>
      </c>
      <c r="J13" s="52">
        <f t="shared" si="0"/>
        <v>5.4750072547305342</v>
      </c>
      <c r="K13" s="35">
        <v>0</v>
      </c>
      <c r="L13" s="50">
        <f>I13*D13/1000</f>
        <v>0.17128587674470763</v>
      </c>
      <c r="M13" s="50">
        <f>J13*D13/1000</f>
        <v>0.10950014509461069</v>
      </c>
      <c r="N13" s="35">
        <f>K13*C13/$G$20</f>
        <v>0</v>
      </c>
      <c r="O13" s="51">
        <f>L13*$G$20/C13</f>
        <v>11.213309648752631</v>
      </c>
      <c r="P13" s="52">
        <f>M13*$G$20/C13</f>
        <v>7.1684779671546934</v>
      </c>
      <c r="Q13" s="26">
        <f t="shared" ref="Q13:V13" si="11">AVERAGE(H13:H15)</f>
        <v>0</v>
      </c>
      <c r="R13" s="48">
        <f t="shared" si="11"/>
        <v>9.278900590051931</v>
      </c>
      <c r="S13" s="52">
        <f t="shared" si="11"/>
        <v>5.9263730552097842</v>
      </c>
      <c r="T13" s="22">
        <f t="shared" si="11"/>
        <v>0</v>
      </c>
      <c r="U13" s="50">
        <f t="shared" si="11"/>
        <v>0.18557801180103861</v>
      </c>
      <c r="V13" s="53">
        <f t="shared" si="11"/>
        <v>0.11852746110419569</v>
      </c>
      <c r="W13" s="38">
        <f>T13*G34/10</f>
        <v>0</v>
      </c>
      <c r="X13" s="70">
        <f>U13*G20/AVERAGE(C13:C15)</f>
        <v>12.16112422022838</v>
      </c>
      <c r="Y13" s="49">
        <f>V13*G20/AVERAGE(C13:C15)</f>
        <v>7.7672304170484949</v>
      </c>
      <c r="Z13" s="22">
        <f>W13*1000/G22</f>
        <v>0</v>
      </c>
      <c r="AA13" s="48">
        <f>X13*1000/G20</f>
        <v>18.594991162428716</v>
      </c>
      <c r="AB13" s="52">
        <f>Y13*1000/G20</f>
        <v>11.876499108636843</v>
      </c>
    </row>
    <row r="14" spans="1:28" x14ac:dyDescent="0.3">
      <c r="A14" s="7"/>
      <c r="B14" s="7">
        <v>2</v>
      </c>
      <c r="C14" s="20">
        <v>9.99</v>
      </c>
      <c r="D14" s="5">
        <v>20</v>
      </c>
      <c r="E14" s="35">
        <v>0</v>
      </c>
      <c r="F14" s="36">
        <v>195509</v>
      </c>
      <c r="G14" s="37">
        <v>104166</v>
      </c>
      <c r="H14" s="48">
        <v>0</v>
      </c>
      <c r="I14" s="48">
        <f t="shared" si="5"/>
        <v>9.6293908231396959</v>
      </c>
      <c r="J14" s="52">
        <f t="shared" si="0"/>
        <v>5.9418222607678137</v>
      </c>
      <c r="K14" s="35">
        <v>0</v>
      </c>
      <c r="L14" s="50">
        <f t="shared" si="1"/>
        <v>0.19258781646279391</v>
      </c>
      <c r="M14" s="66">
        <f t="shared" ref="M14:M15" si="12">J14*D14/1000</f>
        <v>0.11883644521535627</v>
      </c>
      <c r="N14" s="35">
        <v>0</v>
      </c>
      <c r="O14" s="51">
        <f t="shared" ref="O14:O15" si="13">L14*$G$20/C14</f>
        <v>12.607851047714437</v>
      </c>
      <c r="P14" s="52">
        <f t="shared" ref="P14:P15" si="14">M14*$G$20/C14</f>
        <v>7.7796832002845848</v>
      </c>
      <c r="Q14" s="22"/>
      <c r="R14" s="23"/>
      <c r="S14" s="24"/>
      <c r="T14" s="22"/>
      <c r="U14" s="23"/>
      <c r="V14" s="24"/>
      <c r="W14" s="22"/>
      <c r="X14" s="23"/>
      <c r="Y14" s="24"/>
      <c r="Z14" s="22"/>
      <c r="AA14" s="23"/>
      <c r="AB14" s="24"/>
    </row>
    <row r="15" spans="1:28" x14ac:dyDescent="0.3">
      <c r="A15" s="7"/>
      <c r="B15" s="7">
        <v>3</v>
      </c>
      <c r="C15" s="20">
        <v>9.9600000000000009</v>
      </c>
      <c r="D15" s="5">
        <v>20</v>
      </c>
      <c r="E15" s="54">
        <v>0</v>
      </c>
      <c r="F15" s="55">
        <v>195788</v>
      </c>
      <c r="G15" s="56">
        <v>111596</v>
      </c>
      <c r="H15" s="58">
        <v>0</v>
      </c>
      <c r="I15" s="58">
        <f t="shared" si="5"/>
        <v>9.6430171097807129</v>
      </c>
      <c r="J15" s="59">
        <f t="shared" si="0"/>
        <v>6.3622896501310073</v>
      </c>
      <c r="K15" s="54">
        <v>0</v>
      </c>
      <c r="L15" s="60">
        <f>I15*D15/1000</f>
        <v>0.19286034219561426</v>
      </c>
      <c r="M15" s="67">
        <f t="shared" si="12"/>
        <v>0.12724579300262015</v>
      </c>
      <c r="N15" s="54">
        <v>0</v>
      </c>
      <c r="O15" s="68">
        <f t="shared" si="13"/>
        <v>12.663721264651778</v>
      </c>
      <c r="P15" s="59">
        <f t="shared" si="14"/>
        <v>8.3552960465575872</v>
      </c>
      <c r="Q15" s="27"/>
      <c r="R15" s="33"/>
      <c r="S15" s="28"/>
      <c r="T15" s="27"/>
      <c r="U15" s="33"/>
      <c r="V15" s="28"/>
      <c r="W15" s="27"/>
      <c r="X15" s="33"/>
      <c r="Y15" s="28"/>
      <c r="Z15" s="27"/>
      <c r="AA15" s="33"/>
      <c r="AB15" s="28"/>
    </row>
    <row r="16" spans="1:28" x14ac:dyDescent="0.3">
      <c r="T16">
        <f>SUM(T4:T13)</f>
        <v>0</v>
      </c>
      <c r="U16">
        <f t="shared" ref="U16:Y16" si="15">SUM(U4:U13)</f>
        <v>0.25062382018943768</v>
      </c>
      <c r="V16">
        <f t="shared" si="15"/>
        <v>0.20841293587689813</v>
      </c>
      <c r="W16">
        <f t="shared" si="15"/>
        <v>0</v>
      </c>
      <c r="X16">
        <f t="shared" si="15"/>
        <v>16.18745602709285</v>
      </c>
      <c r="Y16">
        <f t="shared" si="15"/>
        <v>13.331962537332952</v>
      </c>
    </row>
    <row r="18" spans="1:7" x14ac:dyDescent="0.3">
      <c r="F18" t="s">
        <v>11</v>
      </c>
      <c r="G18" t="s">
        <v>47</v>
      </c>
    </row>
    <row r="19" spans="1:7" x14ac:dyDescent="0.3">
      <c r="B19" s="21" t="s">
        <v>16</v>
      </c>
      <c r="C19" s="21" t="s">
        <v>17</v>
      </c>
      <c r="D19" s="21" t="s">
        <v>18</v>
      </c>
    </row>
    <row r="20" spans="1:7" x14ac:dyDescent="0.3">
      <c r="A20" t="s">
        <v>31</v>
      </c>
      <c r="B20" s="25">
        <v>11638.352782465656</v>
      </c>
      <c r="C20" s="25">
        <v>20475.130705101034</v>
      </c>
      <c r="D20" s="25">
        <v>17670.811549149828</v>
      </c>
      <c r="F20">
        <v>4</v>
      </c>
      <c r="G20">
        <v>654</v>
      </c>
    </row>
    <row r="21" spans="1:7" x14ac:dyDescent="0.3">
      <c r="A21" t="s">
        <v>32</v>
      </c>
      <c r="B21" s="25">
        <v>-2070.5714285714494</v>
      </c>
      <c r="C21" s="25">
        <v>-1654.0357142857101</v>
      </c>
      <c r="D21" s="25">
        <v>-830.82142857142753</v>
      </c>
      <c r="F21">
        <v>3</v>
      </c>
      <c r="G21">
        <v>612</v>
      </c>
    </row>
    <row r="22" spans="1:7" x14ac:dyDescent="0.3">
      <c r="F22">
        <v>2</v>
      </c>
      <c r="G22">
        <v>655</v>
      </c>
    </row>
    <row r="23" spans="1:7" x14ac:dyDescent="0.3">
      <c r="F23">
        <v>1</v>
      </c>
      <c r="G23">
        <v>583</v>
      </c>
    </row>
  </sheetData>
  <mergeCells count="9">
    <mergeCell ref="A1:B1"/>
    <mergeCell ref="T2:V2"/>
    <mergeCell ref="W2:Y2"/>
    <mergeCell ref="Z2:AB2"/>
    <mergeCell ref="E2:G2"/>
    <mergeCell ref="H2:J2"/>
    <mergeCell ref="K2:M2"/>
    <mergeCell ref="N2:P2"/>
    <mergeCell ref="Q2:S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3"/>
  <sheetViews>
    <sheetView topLeftCell="A2" workbookViewId="0">
      <selection activeCell="W16" sqref="W16:Y16"/>
    </sheetView>
  </sheetViews>
  <sheetFormatPr defaultRowHeight="14.4" x14ac:dyDescent="0.3"/>
  <cols>
    <col min="1" max="1" width="7.33203125" customWidth="1"/>
    <col min="8" max="8" width="5.77734375" customWidth="1"/>
    <col min="11" max="11" width="5.6640625" customWidth="1"/>
    <col min="14" max="14" width="5.6640625" customWidth="1"/>
    <col min="17" max="17" width="5.6640625" customWidth="1"/>
    <col min="20" max="20" width="5.109375" customWidth="1"/>
    <col min="23" max="23" width="4.21875" customWidth="1"/>
    <col min="26" max="26" width="4.21875" customWidth="1"/>
  </cols>
  <sheetData>
    <row r="1" spans="1:28" x14ac:dyDescent="0.3">
      <c r="A1" s="9" t="s">
        <v>21</v>
      </c>
    </row>
    <row r="2" spans="1:28" x14ac:dyDescent="0.3">
      <c r="E2" s="105" t="s">
        <v>15</v>
      </c>
      <c r="F2" s="106"/>
      <c r="G2" s="107"/>
      <c r="H2" s="94" t="s">
        <v>35</v>
      </c>
      <c r="I2" s="108"/>
      <c r="J2" s="95"/>
      <c r="K2" s="105" t="s">
        <v>42</v>
      </c>
      <c r="L2" s="106"/>
      <c r="M2" s="107"/>
      <c r="N2" s="105" t="s">
        <v>43</v>
      </c>
      <c r="O2" s="106"/>
      <c r="P2" s="106"/>
      <c r="Q2" s="109" t="s">
        <v>44</v>
      </c>
      <c r="R2" s="110"/>
      <c r="S2" s="111"/>
      <c r="T2" s="102" t="s">
        <v>42</v>
      </c>
      <c r="U2" s="103"/>
      <c r="V2" s="104"/>
      <c r="W2" s="112" t="s">
        <v>45</v>
      </c>
      <c r="X2" s="113"/>
      <c r="Y2" s="114"/>
      <c r="Z2" s="94" t="s">
        <v>46</v>
      </c>
      <c r="AA2" s="108"/>
      <c r="AB2" s="95"/>
    </row>
    <row r="3" spans="1:28" x14ac:dyDescent="0.3">
      <c r="A3" s="7" t="s">
        <v>11</v>
      </c>
      <c r="B3" s="7" t="s">
        <v>12</v>
      </c>
      <c r="C3" t="s">
        <v>13</v>
      </c>
      <c r="D3" s="5" t="s">
        <v>14</v>
      </c>
      <c r="E3" s="38" t="s">
        <v>16</v>
      </c>
      <c r="F3" s="39" t="s">
        <v>17</v>
      </c>
      <c r="G3" s="40" t="s">
        <v>18</v>
      </c>
      <c r="H3" s="38" t="s">
        <v>16</v>
      </c>
      <c r="I3" s="39" t="s">
        <v>17</v>
      </c>
      <c r="J3" s="40" t="s">
        <v>18</v>
      </c>
      <c r="K3" s="38" t="s">
        <v>16</v>
      </c>
      <c r="L3" s="39" t="s">
        <v>17</v>
      </c>
      <c r="M3" s="40" t="s">
        <v>18</v>
      </c>
      <c r="N3" s="38" t="s">
        <v>16</v>
      </c>
      <c r="O3" s="39" t="s">
        <v>17</v>
      </c>
      <c r="P3" s="39" t="s">
        <v>18</v>
      </c>
      <c r="Q3" s="38" t="s">
        <v>16</v>
      </c>
      <c r="R3" s="39" t="s">
        <v>17</v>
      </c>
      <c r="S3" s="40" t="s">
        <v>18</v>
      </c>
      <c r="T3" s="38" t="s">
        <v>16</v>
      </c>
      <c r="U3" s="39" t="s">
        <v>17</v>
      </c>
      <c r="V3" s="40" t="s">
        <v>18</v>
      </c>
      <c r="W3" s="38" t="s">
        <v>16</v>
      </c>
      <c r="X3" s="39" t="s">
        <v>17</v>
      </c>
      <c r="Y3" s="40" t="s">
        <v>18</v>
      </c>
      <c r="Z3" s="45" t="s">
        <v>16</v>
      </c>
      <c r="AA3" s="46" t="s">
        <v>17</v>
      </c>
      <c r="AB3" s="47" t="s">
        <v>18</v>
      </c>
    </row>
    <row r="4" spans="1:28" x14ac:dyDescent="0.3">
      <c r="A4" s="7">
        <v>1</v>
      </c>
      <c r="B4" s="7">
        <v>1</v>
      </c>
      <c r="C4">
        <v>10</v>
      </c>
      <c r="D4" s="5">
        <v>20</v>
      </c>
      <c r="E4" s="35">
        <v>0</v>
      </c>
      <c r="F4" s="36">
        <v>0</v>
      </c>
      <c r="G4" s="37">
        <v>13973</v>
      </c>
      <c r="H4" s="26">
        <v>0</v>
      </c>
      <c r="I4" s="48">
        <f>(F4-$C$21)/$C$20</f>
        <v>8.0782669381135375E-2</v>
      </c>
      <c r="J4" s="52">
        <f>(G4-$D$21)/$D$20</f>
        <v>0.83775560547379968</v>
      </c>
      <c r="K4" s="35">
        <f>H4*D4/1000</f>
        <v>0</v>
      </c>
      <c r="L4" s="50">
        <f t="shared" ref="L4:L14" si="0">I4*D4/1000</f>
        <v>1.6156533876227075E-3</v>
      </c>
      <c r="M4" s="53">
        <f t="shared" ref="M4:M11" si="1">J4*D4/1000</f>
        <v>1.6755112109475993E-2</v>
      </c>
      <c r="N4" s="36">
        <f>K4*C4/$G$23</f>
        <v>0</v>
      </c>
      <c r="O4" s="51">
        <f>L4*$G$23/C4</f>
        <v>0.10065520604889469</v>
      </c>
      <c r="P4" s="51">
        <f t="shared" ref="P4:P12" si="2">M4*$G$22/C4</f>
        <v>1.1192414889129965</v>
      </c>
      <c r="Q4" s="26">
        <f>AVERAGE(H4:H6)</f>
        <v>0</v>
      </c>
      <c r="R4" s="51">
        <f>AVERAGE(I4:I6)</f>
        <v>8.0782669381135375E-2</v>
      </c>
      <c r="S4" s="49">
        <f>AVERAGE(J4:J6)</f>
        <v>1.0326910025881668</v>
      </c>
      <c r="T4" s="22">
        <v>0</v>
      </c>
      <c r="U4" s="50">
        <f>AVERAGE(L4:L6)</f>
        <v>1.6156533876227075E-3</v>
      </c>
      <c r="V4" s="24">
        <f>AVERAGE(M4:M6)</f>
        <v>2.0653820051763336E-2</v>
      </c>
      <c r="W4" s="38">
        <f>T4*G25/10</f>
        <v>0</v>
      </c>
      <c r="X4" s="48">
        <f>U4*G23/AVERAGE(C4:C6)</f>
        <v>0.10035414361804057</v>
      </c>
      <c r="Y4" s="37">
        <f>V4*G23/10</f>
        <v>1.286732989224856</v>
      </c>
      <c r="Z4" s="22">
        <f>W4*1000/G23</f>
        <v>0</v>
      </c>
      <c r="AA4" s="48">
        <f>X4*1000/G23</f>
        <v>0.16108209248481631</v>
      </c>
      <c r="AB4" s="49">
        <f>Y4*1000/G23</f>
        <v>2.0653820051763341</v>
      </c>
    </row>
    <row r="5" spans="1:28" x14ac:dyDescent="0.3">
      <c r="A5" s="7"/>
      <c r="B5" s="7">
        <v>2</v>
      </c>
      <c r="C5">
        <v>10.039999999999999</v>
      </c>
      <c r="D5" s="5">
        <v>20</v>
      </c>
      <c r="E5" s="35">
        <v>0</v>
      </c>
      <c r="F5" s="36">
        <v>0</v>
      </c>
      <c r="G5" s="37">
        <v>16230</v>
      </c>
      <c r="H5" s="26">
        <v>0</v>
      </c>
      <c r="I5" s="48">
        <f t="shared" ref="I5:I15" si="3">(F5-$C$21)/$C$20</f>
        <v>8.0782669381135375E-2</v>
      </c>
      <c r="J5" s="52">
        <f t="shared" ref="J5:J15" si="4">(G5-$D$21)/$D$20</f>
        <v>0.96548035618614536</v>
      </c>
      <c r="K5" s="35">
        <f t="shared" ref="K5:K15" si="5">H5*D5/1000</f>
        <v>0</v>
      </c>
      <c r="L5" s="50">
        <f t="shared" si="0"/>
        <v>1.6156533876227075E-3</v>
      </c>
      <c r="M5" s="53">
        <f t="shared" si="1"/>
        <v>1.9309607123722906E-2</v>
      </c>
      <c r="N5" s="36">
        <f>K5*C5/$G$23</f>
        <v>0</v>
      </c>
      <c r="O5" s="51">
        <f t="shared" ref="O5:O6" si="6">L5*$G$23/C5</f>
        <v>0.10025418929172779</v>
      </c>
      <c r="P5" s="51">
        <f t="shared" si="2"/>
        <v>1.2847427847257873</v>
      </c>
      <c r="Q5" s="26"/>
      <c r="R5" s="36"/>
      <c r="S5" s="37"/>
      <c r="T5" s="22"/>
      <c r="U5" s="50"/>
      <c r="V5" s="24"/>
      <c r="W5" s="38"/>
      <c r="X5" s="48"/>
      <c r="Y5" s="37"/>
      <c r="Z5" s="22"/>
      <c r="AA5" s="48"/>
      <c r="AB5" s="37"/>
    </row>
    <row r="6" spans="1:28" x14ac:dyDescent="0.3">
      <c r="A6" s="7"/>
      <c r="B6" s="7">
        <v>3</v>
      </c>
      <c r="C6">
        <v>10.050000000000001</v>
      </c>
      <c r="D6" s="5">
        <v>20</v>
      </c>
      <c r="E6" s="35">
        <v>0</v>
      </c>
      <c r="F6" s="36">
        <v>0</v>
      </c>
      <c r="G6" s="37">
        <v>22050</v>
      </c>
      <c r="H6" s="26">
        <v>0</v>
      </c>
      <c r="I6" s="48">
        <f t="shared" si="3"/>
        <v>8.0782669381135375E-2</v>
      </c>
      <c r="J6" s="52">
        <f t="shared" si="4"/>
        <v>1.2948370461045555</v>
      </c>
      <c r="K6" s="35">
        <f t="shared" si="5"/>
        <v>0</v>
      </c>
      <c r="L6" s="50">
        <f t="shared" si="0"/>
        <v>1.6156533876227075E-3</v>
      </c>
      <c r="M6" s="53">
        <f t="shared" si="1"/>
        <v>2.5896740922091113E-2</v>
      </c>
      <c r="N6" s="36">
        <f>K6*C6/$G$23</f>
        <v>0</v>
      </c>
      <c r="O6" s="51">
        <f t="shared" si="6"/>
        <v>0.1001544338794972</v>
      </c>
      <c r="P6" s="51">
        <f t="shared" si="2"/>
        <v>1.7212958145230708</v>
      </c>
      <c r="Q6" s="26"/>
      <c r="R6" s="36"/>
      <c r="S6" s="37"/>
      <c r="T6" s="22"/>
      <c r="U6" s="50"/>
      <c r="V6" s="24"/>
      <c r="W6" s="38"/>
      <c r="X6" s="48"/>
      <c r="Y6" s="37"/>
      <c r="Z6" s="22"/>
      <c r="AA6" s="48"/>
      <c r="AB6" s="37"/>
    </row>
    <row r="7" spans="1:28" x14ac:dyDescent="0.3">
      <c r="A7" s="7">
        <v>2</v>
      </c>
      <c r="B7" s="7">
        <v>1</v>
      </c>
      <c r="C7">
        <v>9.9700000000000006</v>
      </c>
      <c r="D7" s="5">
        <v>20</v>
      </c>
      <c r="E7" s="35">
        <v>0</v>
      </c>
      <c r="F7" s="36">
        <v>9846</v>
      </c>
      <c r="G7" s="37">
        <v>22231</v>
      </c>
      <c r="H7" s="26">
        <v>0</v>
      </c>
      <c r="I7" s="48">
        <f t="shared" si="3"/>
        <v>0.56165872051896937</v>
      </c>
      <c r="J7" s="52">
        <f t="shared" si="4"/>
        <v>1.305079925980025</v>
      </c>
      <c r="K7" s="35">
        <f t="shared" si="5"/>
        <v>0</v>
      </c>
      <c r="L7" s="50">
        <f t="shared" si="0"/>
        <v>1.1233174410379387E-2</v>
      </c>
      <c r="M7" s="53">
        <f t="shared" si="1"/>
        <v>2.6101598519600502E-2</v>
      </c>
      <c r="N7" s="36">
        <f>K7*C7/$G$22</f>
        <v>0</v>
      </c>
      <c r="O7" s="51">
        <f>L7*$G$22/C7</f>
        <v>0.75263395247075526</v>
      </c>
      <c r="P7" s="51">
        <f t="shared" si="2"/>
        <v>1.7488332809521701</v>
      </c>
      <c r="Q7" s="26">
        <f t="shared" ref="Q7:V7" si="7">AVERAGE(H7:H9)</f>
        <v>0</v>
      </c>
      <c r="R7" s="51">
        <f t="shared" si="7"/>
        <v>0.51869603181449564</v>
      </c>
      <c r="S7" s="49">
        <f t="shared" si="7"/>
        <v>1.246716260538584</v>
      </c>
      <c r="T7" s="22">
        <f t="shared" si="7"/>
        <v>0</v>
      </c>
      <c r="U7" s="50">
        <f t="shared" si="7"/>
        <v>1.0373920636289913E-2</v>
      </c>
      <c r="V7" s="24">
        <f t="shared" si="7"/>
        <v>2.4934325210771675E-2</v>
      </c>
      <c r="W7" s="38">
        <f>T7*G28/10</f>
        <v>0</v>
      </c>
      <c r="X7" s="48">
        <f>U7*G22/AVERAGE(C7:C9)</f>
        <v>0.69552816845516852</v>
      </c>
      <c r="Y7" s="37">
        <f>V7*G22/10</f>
        <v>1.6656129240795479</v>
      </c>
      <c r="Z7" s="22">
        <f>W7*1000/G22</f>
        <v>0</v>
      </c>
      <c r="AA7" s="48">
        <f>X7*1000/G21</f>
        <v>1.0634987285247224</v>
      </c>
      <c r="AB7" s="49">
        <f>Y7*1000/G22</f>
        <v>2.4934325210771675</v>
      </c>
    </row>
    <row r="8" spans="1:28" x14ac:dyDescent="0.3">
      <c r="A8" s="7"/>
      <c r="B8" s="7">
        <v>2</v>
      </c>
      <c r="C8">
        <v>9.9700000000000006</v>
      </c>
      <c r="D8" s="5">
        <v>20</v>
      </c>
      <c r="E8" s="35">
        <v>0</v>
      </c>
      <c r="F8" s="36">
        <v>8367</v>
      </c>
      <c r="G8" s="37">
        <v>20859</v>
      </c>
      <c r="H8" s="26">
        <v>0</v>
      </c>
      <c r="I8" s="48">
        <f t="shared" si="3"/>
        <v>0.48942474940045866</v>
      </c>
      <c r="J8" s="52">
        <f t="shared" si="4"/>
        <v>1.2274377647140355</v>
      </c>
      <c r="K8" s="35">
        <f t="shared" si="5"/>
        <v>0</v>
      </c>
      <c r="L8" s="50">
        <f t="shared" si="0"/>
        <v>9.7884949880091728E-3</v>
      </c>
      <c r="M8" s="53">
        <f t="shared" si="1"/>
        <v>2.4548755294280709E-2</v>
      </c>
      <c r="N8" s="36">
        <f>K8*C8/$G$22</f>
        <v>0</v>
      </c>
      <c r="O8" s="51">
        <f t="shared" ref="O8:O9" si="8">L8*$G$22/C8</f>
        <v>0.655838982145449</v>
      </c>
      <c r="P8" s="51">
        <f t="shared" si="2"/>
        <v>1.6447912273399712</v>
      </c>
      <c r="Q8" s="26"/>
      <c r="R8" s="36"/>
      <c r="S8" s="37"/>
      <c r="T8" s="22"/>
      <c r="U8" s="50"/>
      <c r="V8" s="24"/>
      <c r="W8" s="38"/>
      <c r="X8" s="48"/>
      <c r="Y8" s="37"/>
      <c r="Z8" s="22"/>
      <c r="AA8" s="48"/>
      <c r="AB8" s="37"/>
    </row>
    <row r="9" spans="1:28" x14ac:dyDescent="0.3">
      <c r="A9" s="7"/>
      <c r="B9" s="7">
        <v>3</v>
      </c>
      <c r="C9">
        <v>9.9499999999999993</v>
      </c>
      <c r="D9" s="5">
        <v>20</v>
      </c>
      <c r="E9" s="35">
        <v>0</v>
      </c>
      <c r="F9" s="36">
        <v>8686</v>
      </c>
      <c r="G9" s="37">
        <v>20509</v>
      </c>
      <c r="H9" s="26">
        <v>0</v>
      </c>
      <c r="I9" s="48">
        <f t="shared" si="3"/>
        <v>0.505004625524059</v>
      </c>
      <c r="J9" s="52">
        <f t="shared" si="4"/>
        <v>1.2076310909216912</v>
      </c>
      <c r="K9" s="35">
        <f t="shared" si="5"/>
        <v>0</v>
      </c>
      <c r="L9" s="50">
        <f t="shared" si="0"/>
        <v>1.010009251048118E-2</v>
      </c>
      <c r="M9" s="53">
        <f t="shared" si="1"/>
        <v>2.4152621818433823E-2</v>
      </c>
      <c r="N9" s="36">
        <f t="shared" ref="N9" si="9">K9*C9/$G$22</f>
        <v>0</v>
      </c>
      <c r="O9" s="51">
        <f t="shared" si="8"/>
        <v>0.67807656251270643</v>
      </c>
      <c r="P9" s="51">
        <f t="shared" si="2"/>
        <v>1.6215026507250048</v>
      </c>
      <c r="Q9" s="26"/>
      <c r="R9" s="36"/>
      <c r="S9" s="37"/>
      <c r="T9" s="22"/>
      <c r="U9" s="50"/>
      <c r="V9" s="24"/>
      <c r="W9" s="38"/>
      <c r="X9" s="48"/>
      <c r="Y9" s="37"/>
      <c r="Z9" s="22"/>
      <c r="AA9" s="48"/>
      <c r="AB9" s="37"/>
    </row>
    <row r="10" spans="1:28" x14ac:dyDescent="0.3">
      <c r="A10" s="7">
        <v>3</v>
      </c>
      <c r="B10" s="7">
        <v>1</v>
      </c>
      <c r="C10">
        <v>10</v>
      </c>
      <c r="D10" s="5">
        <v>20</v>
      </c>
      <c r="E10" s="35">
        <v>0</v>
      </c>
      <c r="F10" s="36">
        <v>46342</v>
      </c>
      <c r="G10" s="37">
        <v>26312</v>
      </c>
      <c r="H10" s="26">
        <v>0</v>
      </c>
      <c r="I10" s="48">
        <f t="shared" si="3"/>
        <v>2.3441137644278043</v>
      </c>
      <c r="J10" s="52">
        <f t="shared" si="4"/>
        <v>1.5360257423987589</v>
      </c>
      <c r="K10" s="35">
        <f t="shared" si="5"/>
        <v>0</v>
      </c>
      <c r="L10" s="50">
        <f t="shared" si="0"/>
        <v>4.688227528855609E-2</v>
      </c>
      <c r="M10" s="53">
        <f t="shared" si="1"/>
        <v>3.0720514847975177E-2</v>
      </c>
      <c r="N10" s="36">
        <f>K10*C10/$G$21</f>
        <v>0</v>
      </c>
      <c r="O10" s="51">
        <f>L10*$G$21/C10</f>
        <v>3.066100803871568</v>
      </c>
      <c r="P10" s="51">
        <f t="shared" si="2"/>
        <v>2.052130391844742</v>
      </c>
      <c r="Q10" s="26">
        <f t="shared" ref="Q10:U10" si="10">AVERAGE(H10:H12)</f>
        <v>0</v>
      </c>
      <c r="R10" s="51">
        <f t="shared" si="10"/>
        <v>2.148722256344783</v>
      </c>
      <c r="S10" s="49">
        <f>AVERAGE(J10:J12)</f>
        <v>1.3341863047053462</v>
      </c>
      <c r="T10" s="22">
        <f t="shared" si="10"/>
        <v>0</v>
      </c>
      <c r="U10" s="50">
        <f t="shared" si="10"/>
        <v>4.2974445126895661E-2</v>
      </c>
      <c r="V10" s="24">
        <f>AVERAGE(M10:M12)</f>
        <v>2.6683726094106918E-2</v>
      </c>
      <c r="W10" s="38">
        <f>T10*G31/10</f>
        <v>0</v>
      </c>
      <c r="X10" s="48">
        <f>U10*G21/AVERAGE(C10:C12)</f>
        <v>2.8114658665878385</v>
      </c>
      <c r="Y10" s="37">
        <f>V10*G21/10</f>
        <v>1.7451156865545925</v>
      </c>
      <c r="Z10" s="22">
        <f>W10*1000/G21</f>
        <v>0</v>
      </c>
      <c r="AA10" s="48">
        <f>X10*1000/G21</f>
        <v>4.2988774718468479</v>
      </c>
      <c r="AB10" s="49">
        <f>Y10*1000/G21</f>
        <v>2.6683726094106919</v>
      </c>
    </row>
    <row r="11" spans="1:28" x14ac:dyDescent="0.3">
      <c r="A11" s="7"/>
      <c r="B11" s="7">
        <v>2</v>
      </c>
      <c r="C11">
        <v>9.98</v>
      </c>
      <c r="D11" s="5">
        <v>20</v>
      </c>
      <c r="E11" s="35">
        <v>0</v>
      </c>
      <c r="F11" s="36">
        <v>35582</v>
      </c>
      <c r="G11" s="37">
        <v>17823</v>
      </c>
      <c r="H11" s="26">
        <v>0</v>
      </c>
      <c r="I11" s="48">
        <f t="shared" si="3"/>
        <v>1.8185981936129463</v>
      </c>
      <c r="J11" s="52">
        <f t="shared" si="4"/>
        <v>1.0556290171895866</v>
      </c>
      <c r="K11" s="35">
        <f t="shared" si="5"/>
        <v>0</v>
      </c>
      <c r="L11" s="50">
        <f t="shared" si="0"/>
        <v>3.6371963872258925E-2</v>
      </c>
      <c r="M11" s="53">
        <f t="shared" si="1"/>
        <v>2.111258034379173E-2</v>
      </c>
      <c r="N11" s="36">
        <f t="shared" ref="N11" si="11">K11*C11/$G$21</f>
        <v>0</v>
      </c>
      <c r="O11" s="51">
        <f t="shared" ref="O11:O12" si="12">L11*$G$21/C11</f>
        <v>2.3834934240939214</v>
      </c>
      <c r="P11" s="51">
        <f t="shared" si="2"/>
        <v>1.4131466602858593</v>
      </c>
      <c r="Q11" s="26"/>
      <c r="R11" s="36"/>
      <c r="S11" s="37"/>
      <c r="T11" s="22"/>
      <c r="U11" s="50"/>
      <c r="V11" s="24"/>
      <c r="W11" s="38"/>
      <c r="X11" s="48"/>
      <c r="Y11" s="37"/>
      <c r="Z11" s="22"/>
      <c r="AA11" s="23"/>
      <c r="AB11" s="37"/>
    </row>
    <row r="12" spans="1:28" x14ac:dyDescent="0.3">
      <c r="A12" s="7"/>
      <c r="B12" s="7">
        <v>3</v>
      </c>
      <c r="C12">
        <v>10.01</v>
      </c>
      <c r="D12" s="5">
        <v>20</v>
      </c>
      <c r="E12" s="35">
        <v>0</v>
      </c>
      <c r="F12" s="36">
        <v>45100</v>
      </c>
      <c r="G12" s="37">
        <v>24101</v>
      </c>
      <c r="H12" s="26">
        <v>0</v>
      </c>
      <c r="I12" s="48">
        <f t="shared" si="3"/>
        <v>2.2834548109935988</v>
      </c>
      <c r="J12" s="52">
        <f>(G12-$D$21)/$D$20</f>
        <v>1.4109041545276928</v>
      </c>
      <c r="K12" s="35">
        <f t="shared" si="5"/>
        <v>0</v>
      </c>
      <c r="L12" s="50">
        <f t="shared" si="0"/>
        <v>4.5669096219871974E-2</v>
      </c>
      <c r="M12" s="53">
        <f>J12*D12/1000</f>
        <v>2.8218083090553854E-2</v>
      </c>
      <c r="N12" s="36">
        <f>K12*C12/$G$21</f>
        <v>0</v>
      </c>
      <c r="O12" s="51">
        <f t="shared" si="12"/>
        <v>2.9837751176619651</v>
      </c>
      <c r="P12" s="51">
        <f t="shared" si="2"/>
        <v>1.883084865583414</v>
      </c>
      <c r="Q12" s="26"/>
      <c r="R12" s="36"/>
      <c r="S12" s="37"/>
      <c r="T12" s="22"/>
      <c r="U12" s="50"/>
      <c r="V12" s="24"/>
      <c r="W12" s="38"/>
      <c r="X12" s="48"/>
      <c r="Y12" s="37"/>
      <c r="Z12" s="22"/>
      <c r="AA12" s="23"/>
      <c r="AB12" s="37"/>
    </row>
    <row r="13" spans="1:28" x14ac:dyDescent="0.3">
      <c r="A13" s="7">
        <v>4</v>
      </c>
      <c r="B13" s="7">
        <v>1</v>
      </c>
      <c r="C13">
        <v>10.029999999999999</v>
      </c>
      <c r="D13" s="5">
        <v>20</v>
      </c>
      <c r="E13" s="35">
        <v>0</v>
      </c>
      <c r="F13" s="36">
        <v>154315</v>
      </c>
      <c r="G13" s="37">
        <v>87988</v>
      </c>
      <c r="H13" s="26">
        <v>0</v>
      </c>
      <c r="I13" s="48">
        <f>(F13-$C$21)/$C$20</f>
        <v>7.6174866945014745</v>
      </c>
      <c r="J13" s="52">
        <f t="shared" si="4"/>
        <v>5.0263012075891123</v>
      </c>
      <c r="K13" s="35">
        <f t="shared" si="5"/>
        <v>0</v>
      </c>
      <c r="L13" s="50">
        <f>I13*D13/1000</f>
        <v>0.15234973389002948</v>
      </c>
      <c r="M13" s="53">
        <f t="shared" ref="M13:M15" si="13">J13*D13/1000</f>
        <v>0.10052602415178226</v>
      </c>
      <c r="N13" s="36">
        <f>K13*C13/$G$20</f>
        <v>0</v>
      </c>
      <c r="O13" s="51">
        <f>L13*$G$20/C13</f>
        <v>9.2959159661712913</v>
      </c>
      <c r="P13" s="51">
        <f>M13*$G$22/C13</f>
        <v>6.6950532535783207</v>
      </c>
      <c r="Q13" s="26">
        <f t="shared" ref="Q13:T13" si="14">AVERAGE(H13:H15)</f>
        <v>0</v>
      </c>
      <c r="R13" s="48">
        <f>AVERAGE(I13:I15)</f>
        <v>8.4295938424112755</v>
      </c>
      <c r="S13" s="52">
        <f t="shared" si="14"/>
        <v>5.6278770494097321</v>
      </c>
      <c r="T13" s="22">
        <f t="shared" si="14"/>
        <v>0</v>
      </c>
      <c r="U13" s="50">
        <f>AVERAGE(L13:L15)</f>
        <v>0.16859187684822552</v>
      </c>
      <c r="V13" s="53">
        <f>AVERAGE(M13:M15)</f>
        <v>0.11255754098819465</v>
      </c>
      <c r="W13" s="38">
        <f>T13*G34/10</f>
        <v>0</v>
      </c>
      <c r="X13" s="48">
        <f>U13*G20/AVERAGE(C13:C15)</f>
        <v>10.300655104603731</v>
      </c>
      <c r="Y13" s="37">
        <f>V13*G23/AVERAGE(C13:C15)</f>
        <v>7.0006670251892116</v>
      </c>
      <c r="Z13" s="22">
        <f>W13*1000/G20</f>
        <v>0</v>
      </c>
      <c r="AA13" s="48">
        <f>X13*1000/G20</f>
        <v>16.831135791836161</v>
      </c>
      <c r="AB13" s="52">
        <f>Y13*1000/G20</f>
        <v>11.438998407171916</v>
      </c>
    </row>
    <row r="14" spans="1:28" x14ac:dyDescent="0.3">
      <c r="A14" s="7"/>
      <c r="B14" s="7">
        <v>2</v>
      </c>
      <c r="C14">
        <v>10.01</v>
      </c>
      <c r="D14" s="5">
        <v>20</v>
      </c>
      <c r="E14" s="35">
        <v>0</v>
      </c>
      <c r="F14" s="36">
        <v>181308</v>
      </c>
      <c r="G14" s="37">
        <v>100054</v>
      </c>
      <c r="H14" s="26">
        <v>0</v>
      </c>
      <c r="I14" s="48">
        <f>(F14-$C$21)/$C$20</f>
        <v>8.9358177170856248</v>
      </c>
      <c r="J14" s="52">
        <f>(G14-$D$21)/$D$20</f>
        <v>5.7091221389560429</v>
      </c>
      <c r="K14" s="35">
        <f t="shared" si="5"/>
        <v>0</v>
      </c>
      <c r="L14" s="50">
        <f t="shared" si="0"/>
        <v>0.17871635434171251</v>
      </c>
      <c r="M14" s="53">
        <f>J14*D14/1000</f>
        <v>0.11418244277912086</v>
      </c>
      <c r="N14" s="36">
        <f>K14*C14/$G$20</f>
        <v>0</v>
      </c>
      <c r="O14" s="51">
        <f t="shared" ref="O14:O15" si="15">L14*$G$20/C14</f>
        <v>10.926514371341465</v>
      </c>
      <c r="P14" s="51">
        <f t="shared" ref="P14" si="16">M14*$G$22/C14</f>
        <v>7.6197674102350383</v>
      </c>
      <c r="Q14" s="22"/>
      <c r="R14" s="23"/>
      <c r="S14" s="24"/>
      <c r="T14" s="22"/>
      <c r="U14" s="23"/>
      <c r="V14" s="24"/>
      <c r="W14" s="22"/>
      <c r="X14" s="23"/>
      <c r="Y14" s="24"/>
      <c r="Z14" s="22"/>
      <c r="AA14" s="23"/>
      <c r="AB14" s="24"/>
    </row>
    <row r="15" spans="1:28" x14ac:dyDescent="0.3">
      <c r="A15" s="7"/>
      <c r="B15" s="7">
        <v>3</v>
      </c>
      <c r="C15">
        <v>10.01</v>
      </c>
      <c r="D15" s="5">
        <v>20</v>
      </c>
      <c r="E15" s="35">
        <v>0</v>
      </c>
      <c r="F15" s="55">
        <v>177206</v>
      </c>
      <c r="G15" s="56">
        <v>107813</v>
      </c>
      <c r="H15" s="26">
        <v>0</v>
      </c>
      <c r="I15" s="58">
        <f t="shared" si="3"/>
        <v>8.7354771156467272</v>
      </c>
      <c r="J15" s="59">
        <f t="shared" si="4"/>
        <v>6.1482078016840402</v>
      </c>
      <c r="K15" s="54">
        <f t="shared" si="5"/>
        <v>0</v>
      </c>
      <c r="L15" s="60">
        <f>I15*D15/1000</f>
        <v>0.17470954231293456</v>
      </c>
      <c r="M15" s="53">
        <f t="shared" si="13"/>
        <v>0.12296415603368081</v>
      </c>
      <c r="N15" s="36">
        <f>K15*C15/$G$20</f>
        <v>0</v>
      </c>
      <c r="O15" s="51">
        <f t="shared" si="15"/>
        <v>10.681542447104491</v>
      </c>
      <c r="P15" s="51">
        <f>M15*$G$22/C15</f>
        <v>8.205799823226652</v>
      </c>
      <c r="Q15" s="27"/>
      <c r="R15" s="33"/>
      <c r="S15" s="28"/>
      <c r="T15" s="27"/>
      <c r="U15" s="33"/>
      <c r="V15" s="28"/>
      <c r="W15" s="27"/>
      <c r="X15" s="33"/>
      <c r="Y15" s="28"/>
      <c r="Z15" s="27"/>
      <c r="AA15" s="33"/>
      <c r="AB15" s="28"/>
    </row>
    <row r="16" spans="1:28" x14ac:dyDescent="0.3">
      <c r="W16">
        <f>SUM(W4:W13)</f>
        <v>0</v>
      </c>
      <c r="X16">
        <f t="shared" ref="X16:Y16" si="17">SUM(X4:X13)</f>
        <v>13.90800328326478</v>
      </c>
      <c r="Y16">
        <f t="shared" si="17"/>
        <v>11.698128625048209</v>
      </c>
    </row>
    <row r="18" spans="1:7" x14ac:dyDescent="0.3">
      <c r="F18" t="s">
        <v>11</v>
      </c>
      <c r="G18" t="s">
        <v>47</v>
      </c>
    </row>
    <row r="19" spans="1:7" x14ac:dyDescent="0.3">
      <c r="B19" t="s">
        <v>16</v>
      </c>
      <c r="C19" t="s">
        <v>17</v>
      </c>
      <c r="D19" t="s">
        <v>18</v>
      </c>
    </row>
    <row r="20" spans="1:7" x14ac:dyDescent="0.3">
      <c r="A20" t="s">
        <v>31</v>
      </c>
      <c r="B20" s="69">
        <v>11638.352782465656</v>
      </c>
      <c r="C20" s="69">
        <v>20475.130705101034</v>
      </c>
      <c r="D20" s="69">
        <v>17670.811549149828</v>
      </c>
      <c r="F20">
        <v>4</v>
      </c>
      <c r="G20">
        <v>612</v>
      </c>
    </row>
    <row r="21" spans="1:7" x14ac:dyDescent="0.3">
      <c r="A21" t="s">
        <v>32</v>
      </c>
      <c r="B21" s="69">
        <v>-2070.5714285714494</v>
      </c>
      <c r="C21" s="69">
        <v>-1654.0357142857101</v>
      </c>
      <c r="D21" s="69">
        <v>-830.82142857142753</v>
      </c>
      <c r="F21">
        <v>3</v>
      </c>
      <c r="G21">
        <v>654</v>
      </c>
    </row>
    <row r="22" spans="1:7" x14ac:dyDescent="0.3">
      <c r="F22">
        <v>2</v>
      </c>
      <c r="G22">
        <v>668</v>
      </c>
    </row>
    <row r="23" spans="1:7" x14ac:dyDescent="0.3">
      <c r="F23">
        <v>1</v>
      </c>
      <c r="G23">
        <v>623</v>
      </c>
    </row>
  </sheetData>
  <mergeCells count="8">
    <mergeCell ref="W2:Y2"/>
    <mergeCell ref="Z2:AB2"/>
    <mergeCell ref="E2:G2"/>
    <mergeCell ref="H2:J2"/>
    <mergeCell ref="K2:M2"/>
    <mergeCell ref="N2:P2"/>
    <mergeCell ref="Q2:S2"/>
    <mergeCell ref="T2:V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3"/>
  <sheetViews>
    <sheetView topLeftCell="C1" workbookViewId="0">
      <selection activeCell="W16" sqref="W16:Y16"/>
    </sheetView>
  </sheetViews>
  <sheetFormatPr defaultRowHeight="14.4" x14ac:dyDescent="0.3"/>
  <cols>
    <col min="1" max="1" width="5.88671875" customWidth="1"/>
    <col min="5" max="5" width="6" customWidth="1"/>
    <col min="8" max="8" width="5.44140625" customWidth="1"/>
    <col min="14" max="14" width="5.5546875" customWidth="1"/>
    <col min="15" max="15" width="8.109375" customWidth="1"/>
    <col min="17" max="17" width="4.88671875" customWidth="1"/>
    <col min="19" max="19" width="7.21875" customWidth="1"/>
    <col min="20" max="20" width="6.33203125" customWidth="1"/>
    <col min="22" max="22" width="7.44140625" customWidth="1"/>
    <col min="23" max="23" width="6.21875" customWidth="1"/>
    <col min="26" max="26" width="6.109375" customWidth="1"/>
  </cols>
  <sheetData>
    <row r="1" spans="1:28" x14ac:dyDescent="0.3">
      <c r="A1" s="8" t="s">
        <v>22</v>
      </c>
      <c r="B1" s="72"/>
    </row>
    <row r="2" spans="1:28" x14ac:dyDescent="0.3">
      <c r="E2" s="105" t="s">
        <v>15</v>
      </c>
      <c r="F2" s="106"/>
      <c r="G2" s="107"/>
      <c r="H2" s="94" t="s">
        <v>35</v>
      </c>
      <c r="I2" s="108"/>
      <c r="J2" s="95"/>
      <c r="K2" s="105" t="s">
        <v>42</v>
      </c>
      <c r="L2" s="106"/>
      <c r="M2" s="107"/>
      <c r="N2" s="105" t="s">
        <v>43</v>
      </c>
      <c r="O2" s="106"/>
      <c r="P2" s="106"/>
      <c r="Q2" s="109" t="s">
        <v>44</v>
      </c>
      <c r="R2" s="110"/>
      <c r="S2" s="111"/>
      <c r="T2" s="102" t="s">
        <v>42</v>
      </c>
      <c r="U2" s="103"/>
      <c r="V2" s="104"/>
      <c r="W2" s="112" t="s">
        <v>45</v>
      </c>
      <c r="X2" s="113"/>
      <c r="Y2" s="114"/>
      <c r="Z2" s="94" t="s">
        <v>46</v>
      </c>
      <c r="AA2" s="108"/>
      <c r="AB2" s="95"/>
    </row>
    <row r="3" spans="1:28" x14ac:dyDescent="0.3">
      <c r="A3" s="7" t="s">
        <v>11</v>
      </c>
      <c r="B3" s="7" t="s">
        <v>12</v>
      </c>
      <c r="C3" t="s">
        <v>13</v>
      </c>
      <c r="D3" s="5" t="s">
        <v>14</v>
      </c>
      <c r="E3" s="38" t="s">
        <v>16</v>
      </c>
      <c r="F3" s="39" t="s">
        <v>17</v>
      </c>
      <c r="G3" s="40" t="s">
        <v>18</v>
      </c>
      <c r="H3" s="38" t="s">
        <v>16</v>
      </c>
      <c r="I3" s="39" t="s">
        <v>17</v>
      </c>
      <c r="J3" s="40" t="s">
        <v>18</v>
      </c>
      <c r="K3" s="38" t="s">
        <v>16</v>
      </c>
      <c r="L3" s="39" t="s">
        <v>17</v>
      </c>
      <c r="M3" s="40" t="s">
        <v>18</v>
      </c>
      <c r="N3" s="38" t="s">
        <v>16</v>
      </c>
      <c r="O3" s="39" t="s">
        <v>17</v>
      </c>
      <c r="P3" s="39" t="s">
        <v>18</v>
      </c>
      <c r="Q3" s="38" t="s">
        <v>16</v>
      </c>
      <c r="R3" s="39" t="s">
        <v>17</v>
      </c>
      <c r="S3" s="40" t="s">
        <v>18</v>
      </c>
      <c r="T3" s="38" t="s">
        <v>16</v>
      </c>
      <c r="U3" s="39" t="s">
        <v>17</v>
      </c>
      <c r="V3" s="40" t="s">
        <v>18</v>
      </c>
      <c r="W3" s="22"/>
      <c r="X3" s="23"/>
      <c r="Y3" s="24"/>
      <c r="Z3" s="45" t="s">
        <v>16</v>
      </c>
      <c r="AA3" s="46" t="s">
        <v>17</v>
      </c>
      <c r="AB3" s="47" t="s">
        <v>18</v>
      </c>
    </row>
    <row r="4" spans="1:28" x14ac:dyDescent="0.3">
      <c r="A4" s="7">
        <v>1</v>
      </c>
      <c r="B4" s="7">
        <v>1</v>
      </c>
      <c r="C4" s="20">
        <v>9.9600000000000009</v>
      </c>
      <c r="D4" s="5">
        <v>20</v>
      </c>
      <c r="E4" s="35">
        <v>0</v>
      </c>
      <c r="F4" s="36">
        <v>0</v>
      </c>
      <c r="G4" s="37">
        <v>9339</v>
      </c>
      <c r="H4" s="26">
        <v>0</v>
      </c>
      <c r="I4" s="48">
        <v>0</v>
      </c>
      <c r="J4" s="52">
        <f>(G4-$D$21)/$D$20</f>
        <v>0.57551524446316182</v>
      </c>
      <c r="K4" s="35">
        <f>H4*D4/1000</f>
        <v>0</v>
      </c>
      <c r="L4" s="50">
        <v>0</v>
      </c>
      <c r="M4" s="53">
        <f>J4*D4/1000</f>
        <v>1.1510304889263237E-2</v>
      </c>
      <c r="N4" s="36">
        <f>K4*C4/$G$23</f>
        <v>0</v>
      </c>
      <c r="O4" s="51">
        <f>L4*$G$25/C4</f>
        <v>0</v>
      </c>
      <c r="P4" s="51">
        <f t="shared" ref="P4:P9" si="0">M4*$G$22/C4</f>
        <v>0.78237714960152716</v>
      </c>
      <c r="Q4" s="26">
        <f>AVERAGE(H4:H6)</f>
        <v>0</v>
      </c>
      <c r="R4" s="51">
        <f>AVERAGE(I4:I6)</f>
        <v>0</v>
      </c>
      <c r="S4" s="71">
        <f>AVERAGE(J4:J6)</f>
        <v>0.62478670345897436</v>
      </c>
      <c r="T4" s="22">
        <v>0</v>
      </c>
      <c r="U4" s="50">
        <f>AVERAGE(L4:L6)</f>
        <v>0</v>
      </c>
      <c r="V4" s="73">
        <f>AVERAGE(M4:M6)</f>
        <v>1.249573406917949E-2</v>
      </c>
      <c r="W4" s="36">
        <f t="shared" ref="W4" si="1">T4*E23/10</f>
        <v>0</v>
      </c>
      <c r="X4" s="74">
        <f>U4*G23/10</f>
        <v>0</v>
      </c>
      <c r="Y4" s="52">
        <f>V4*G23/10</f>
        <v>0.78723124635830788</v>
      </c>
      <c r="Z4" s="31">
        <f t="shared" ref="Z4" si="2">W4*1000/$G$23</f>
        <v>0</v>
      </c>
      <c r="AA4" s="31">
        <f>X4*1000/$G$23</f>
        <v>0</v>
      </c>
      <c r="AB4" s="49">
        <f>Y4*1000/$G$23</f>
        <v>1.2495734069179489</v>
      </c>
    </row>
    <row r="5" spans="1:28" x14ac:dyDescent="0.3">
      <c r="A5" s="7"/>
      <c r="B5" s="7">
        <v>2</v>
      </c>
      <c r="C5" s="20">
        <v>10.02</v>
      </c>
      <c r="D5" s="5">
        <v>20</v>
      </c>
      <c r="E5" s="35">
        <v>0</v>
      </c>
      <c r="F5" s="36">
        <v>0</v>
      </c>
      <c r="G5" s="37">
        <v>11688</v>
      </c>
      <c r="H5" s="26">
        <v>0</v>
      </c>
      <c r="I5" s="48">
        <v>0</v>
      </c>
      <c r="J5" s="52">
        <f t="shared" ref="J5:J15" si="3">(G5-$D$21)/$D$20</f>
        <v>0.70844632085806658</v>
      </c>
      <c r="K5" s="35">
        <f t="shared" ref="K5:K15" si="4">H5*D5/1000</f>
        <v>0</v>
      </c>
      <c r="L5" s="50">
        <v>0</v>
      </c>
      <c r="M5" s="53">
        <f t="shared" ref="M5:M14" si="5">J5*D5/1000</f>
        <v>1.4168926417161332E-2</v>
      </c>
      <c r="N5" s="36">
        <f t="shared" ref="N5:N6" si="6">K5*C5/$G$23</f>
        <v>0</v>
      </c>
      <c r="O5" s="51">
        <f t="shared" ref="O5:O6" si="7">L5*$G$25/C5</f>
        <v>0</v>
      </c>
      <c r="P5" s="51">
        <f t="shared" si="0"/>
        <v>0.9573216750916389</v>
      </c>
      <c r="Q5" s="26"/>
      <c r="R5" s="36"/>
      <c r="S5" s="37"/>
      <c r="T5" s="22"/>
      <c r="U5" s="50"/>
      <c r="V5" s="73"/>
      <c r="W5" s="38"/>
      <c r="X5" s="48"/>
      <c r="Y5" s="52"/>
      <c r="Z5" s="22"/>
      <c r="AA5" s="48"/>
      <c r="AB5" s="37"/>
    </row>
    <row r="6" spans="1:28" x14ac:dyDescent="0.3">
      <c r="A6" s="7"/>
      <c r="B6" s="7">
        <v>3</v>
      </c>
      <c r="C6" s="20">
        <v>10.039999999999999</v>
      </c>
      <c r="D6" s="5">
        <v>20</v>
      </c>
      <c r="E6" s="35">
        <v>0</v>
      </c>
      <c r="F6" s="36">
        <v>0</v>
      </c>
      <c r="G6" s="37">
        <v>9602</v>
      </c>
      <c r="H6" s="26">
        <v>0</v>
      </c>
      <c r="I6" s="48">
        <v>0</v>
      </c>
      <c r="J6" s="52">
        <f t="shared" si="3"/>
        <v>0.59039854505569478</v>
      </c>
      <c r="K6" s="35">
        <f t="shared" si="4"/>
        <v>0</v>
      </c>
      <c r="L6" s="50">
        <f t="shared" ref="L6:L12" si="8">I6*D6/1000</f>
        <v>0</v>
      </c>
      <c r="M6" s="53">
        <f t="shared" si="5"/>
        <v>1.1807970901113896E-2</v>
      </c>
      <c r="N6" s="36">
        <f t="shared" si="6"/>
        <v>0</v>
      </c>
      <c r="O6" s="51">
        <f t="shared" si="7"/>
        <v>0</v>
      </c>
      <c r="P6" s="51">
        <f t="shared" si="0"/>
        <v>0.79621477092172399</v>
      </c>
      <c r="Q6" s="26"/>
      <c r="R6" s="36"/>
      <c r="S6" s="37"/>
      <c r="T6" s="22"/>
      <c r="U6" s="50"/>
      <c r="V6" s="73"/>
      <c r="W6" s="38"/>
      <c r="X6" s="48"/>
      <c r="Y6" s="52"/>
      <c r="Z6" s="22"/>
      <c r="AA6" s="48"/>
      <c r="AB6" s="37"/>
    </row>
    <row r="7" spans="1:28" x14ac:dyDescent="0.3">
      <c r="A7" s="7">
        <v>2</v>
      </c>
      <c r="B7" s="7">
        <v>1</v>
      </c>
      <c r="C7" s="20">
        <v>10.01</v>
      </c>
      <c r="D7" s="5">
        <v>20</v>
      </c>
      <c r="E7" s="35">
        <v>0</v>
      </c>
      <c r="F7" s="36">
        <v>1570</v>
      </c>
      <c r="G7" s="37">
        <v>12902</v>
      </c>
      <c r="H7" s="26">
        <v>0</v>
      </c>
      <c r="I7" s="48">
        <f t="shared" ref="I7:I15" si="9">(F7-$C$21)/$C$20</f>
        <v>0.15746105657252268</v>
      </c>
      <c r="J7" s="52">
        <f t="shared" si="3"/>
        <v>0.7771471836692263</v>
      </c>
      <c r="K7" s="35">
        <v>0</v>
      </c>
      <c r="L7" s="50">
        <f t="shared" si="8"/>
        <v>3.149221131450454E-3</v>
      </c>
      <c r="M7" s="53">
        <f>J7*D7/1000</f>
        <v>1.5542943673384525E-2</v>
      </c>
      <c r="N7" s="36">
        <f>K7*C7/$G$22</f>
        <v>0</v>
      </c>
      <c r="O7" s="51">
        <f t="shared" ref="O7:O8" si="10">L7*$G$22/C7</f>
        <v>0.21298928131787787</v>
      </c>
      <c r="P7" s="51">
        <f t="shared" si="0"/>
        <v>1.051206080607525</v>
      </c>
      <c r="Q7" s="26">
        <f t="shared" ref="Q7:U7" si="11">AVERAGE(H7:H9)</f>
        <v>0</v>
      </c>
      <c r="R7" s="51">
        <f>AVERAGE(I7:I9)</f>
        <v>0.19404201963389153</v>
      </c>
      <c r="S7" s="71">
        <f t="shared" si="11"/>
        <v>0.78612620912175568</v>
      </c>
      <c r="T7" s="22">
        <f t="shared" si="11"/>
        <v>0</v>
      </c>
      <c r="U7" s="50">
        <f t="shared" si="11"/>
        <v>3.8808403926778312E-3</v>
      </c>
      <c r="V7" s="73">
        <f>AVERAGE(M7:M9)</f>
        <v>1.5722524182435114E-2</v>
      </c>
      <c r="W7" s="36">
        <f t="shared" ref="W7" si="12">T7*E22/10</f>
        <v>0</v>
      </c>
      <c r="X7" s="74">
        <f>U7*G22/10</f>
        <v>0.26273289458428917</v>
      </c>
      <c r="Y7" s="52">
        <f>V7*G22/10</f>
        <v>1.0644148871508572</v>
      </c>
      <c r="Z7" s="31">
        <f t="shared" ref="Z7" si="13">W7*1000/$G$22</f>
        <v>0</v>
      </c>
      <c r="AA7" s="31">
        <f>X7*1000/$G$22</f>
        <v>0.38808403926778312</v>
      </c>
      <c r="AB7" s="49">
        <f>Y7*1000/$G$22</f>
        <v>1.5722524182435111</v>
      </c>
    </row>
    <row r="8" spans="1:28" x14ac:dyDescent="0.3">
      <c r="A8" s="7"/>
      <c r="B8" s="7">
        <v>2</v>
      </c>
      <c r="C8" s="20">
        <v>9.99</v>
      </c>
      <c r="D8" s="5">
        <v>20</v>
      </c>
      <c r="E8" s="35">
        <v>0</v>
      </c>
      <c r="F8" s="36">
        <v>3364</v>
      </c>
      <c r="G8" s="37">
        <v>12823</v>
      </c>
      <c r="H8" s="26">
        <v>0</v>
      </c>
      <c r="I8" s="48">
        <f t="shared" si="9"/>
        <v>0.24507954486637543</v>
      </c>
      <c r="J8" s="52">
        <f t="shared" si="3"/>
        <v>0.7726765344418115</v>
      </c>
      <c r="K8" s="35">
        <f t="shared" si="4"/>
        <v>0</v>
      </c>
      <c r="L8" s="50">
        <f t="shared" si="8"/>
        <v>4.9015908973275091E-3</v>
      </c>
      <c r="M8" s="53">
        <f t="shared" si="5"/>
        <v>1.5453530688836229E-2</v>
      </c>
      <c r="N8" s="36">
        <f t="shared" ref="N8:N9" si="14">K8*C8/$G$22</f>
        <v>0</v>
      </c>
      <c r="O8" s="51">
        <f t="shared" si="10"/>
        <v>0.33216987362269507</v>
      </c>
      <c r="P8" s="51">
        <f t="shared" si="0"/>
        <v>1.0472512789131259</v>
      </c>
      <c r="Q8" s="26"/>
      <c r="R8" s="36"/>
      <c r="S8" s="37"/>
      <c r="T8" s="22"/>
      <c r="U8" s="50"/>
      <c r="V8" s="73"/>
      <c r="W8" s="38"/>
      <c r="X8" s="48"/>
      <c r="Y8" s="52"/>
      <c r="Z8" s="22"/>
      <c r="AA8" s="48"/>
      <c r="AB8" s="37"/>
    </row>
    <row r="9" spans="1:28" x14ac:dyDescent="0.3">
      <c r="A9" s="7"/>
      <c r="B9" s="7">
        <v>3</v>
      </c>
      <c r="C9" s="20">
        <v>10.02</v>
      </c>
      <c r="D9" s="5">
        <v>20</v>
      </c>
      <c r="E9" s="35">
        <v>0</v>
      </c>
      <c r="F9" s="36">
        <v>2023</v>
      </c>
      <c r="G9" s="37">
        <v>13457</v>
      </c>
      <c r="H9" s="26">
        <v>0</v>
      </c>
      <c r="I9" s="48">
        <f t="shared" si="9"/>
        <v>0.17958545746277649</v>
      </c>
      <c r="J9" s="52">
        <f t="shared" si="3"/>
        <v>0.80855490925422935</v>
      </c>
      <c r="K9" s="35">
        <f t="shared" si="4"/>
        <v>0</v>
      </c>
      <c r="L9" s="50">
        <f t="shared" si="8"/>
        <v>3.5917091492555296E-3</v>
      </c>
      <c r="M9" s="53">
        <f t="shared" si="5"/>
        <v>1.6171098185084588E-2</v>
      </c>
      <c r="N9" s="36">
        <f t="shared" si="14"/>
        <v>0</v>
      </c>
      <c r="O9" s="51">
        <f>L9*$G$22/C9</f>
        <v>0.24267336267924089</v>
      </c>
      <c r="P9" s="51">
        <f t="shared" si="0"/>
        <v>1.0925981508285696</v>
      </c>
      <c r="Q9" s="26"/>
      <c r="R9" s="36"/>
      <c r="S9" s="37"/>
      <c r="T9" s="22"/>
      <c r="U9" s="50"/>
      <c r="V9" s="73"/>
      <c r="W9" s="38"/>
      <c r="X9" s="48"/>
      <c r="Y9" s="52"/>
      <c r="Z9" s="22"/>
      <c r="AA9" s="48"/>
      <c r="AB9" s="37"/>
    </row>
    <row r="10" spans="1:28" x14ac:dyDescent="0.3">
      <c r="A10" s="7">
        <v>3</v>
      </c>
      <c r="B10" s="7">
        <v>1</v>
      </c>
      <c r="C10" s="20">
        <v>9.9700000000000006</v>
      </c>
      <c r="D10" s="5">
        <v>20</v>
      </c>
      <c r="E10" s="35">
        <v>0</v>
      </c>
      <c r="F10" s="36">
        <v>37534</v>
      </c>
      <c r="G10" s="37">
        <v>18764</v>
      </c>
      <c r="H10" s="26">
        <v>0</v>
      </c>
      <c r="I10" s="48">
        <f t="shared" si="9"/>
        <v>1.9139333603630022</v>
      </c>
      <c r="J10" s="52">
        <f t="shared" si="3"/>
        <v>1.1088806744427178</v>
      </c>
      <c r="K10" s="35">
        <f t="shared" si="4"/>
        <v>0</v>
      </c>
      <c r="L10" s="50">
        <f t="shared" si="8"/>
        <v>3.8278667207260045E-2</v>
      </c>
      <c r="M10" s="53">
        <f t="shared" si="5"/>
        <v>2.2177613488854355E-2</v>
      </c>
      <c r="N10" s="36">
        <f>K10*C10/$G$21</f>
        <v>0</v>
      </c>
      <c r="O10" s="51">
        <f t="shared" ref="O10:O11" si="15">L10*$G$21/C10</f>
        <v>2.5378334026077116</v>
      </c>
      <c r="P10" s="51">
        <f t="shared" ref="P10:P11" si="16">M10*$G$21/C10</f>
        <v>1.4703513055298625</v>
      </c>
      <c r="Q10" s="26">
        <f t="shared" ref="Q10:V10" si="17">AVERAGE(H10:H12)</f>
        <v>0</v>
      </c>
      <c r="R10" s="51">
        <f t="shared" si="17"/>
        <v>2.1573343299805039</v>
      </c>
      <c r="S10" s="71">
        <f t="shared" si="17"/>
        <v>1.2642970414666455</v>
      </c>
      <c r="T10" s="22">
        <f t="shared" si="17"/>
        <v>0</v>
      </c>
      <c r="U10" s="50">
        <f t="shared" si="17"/>
        <v>4.3146686599610073E-2</v>
      </c>
      <c r="V10" s="73">
        <f t="shared" si="17"/>
        <v>2.5285940829332915E-2</v>
      </c>
      <c r="W10" s="36">
        <f t="shared" ref="W10" si="18">T10*E21/10</f>
        <v>0</v>
      </c>
      <c r="X10" s="66">
        <f>U10*G21/10</f>
        <v>2.8519959842342262</v>
      </c>
      <c r="Y10" s="52">
        <f>V10*G21/10</f>
        <v>1.6714006888189057</v>
      </c>
      <c r="Z10" s="31">
        <f t="shared" ref="Z10:AA10" si="19">W10*1000/$G$21</f>
        <v>0</v>
      </c>
      <c r="AA10" s="31">
        <f t="shared" si="19"/>
        <v>4.3146686599610078</v>
      </c>
      <c r="AB10" s="49">
        <f>Y10*1000/$G$21</f>
        <v>2.5285940829332918</v>
      </c>
    </row>
    <row r="11" spans="1:28" x14ac:dyDescent="0.3">
      <c r="A11" s="7"/>
      <c r="B11" s="7">
        <v>2</v>
      </c>
      <c r="C11" s="20">
        <v>9.99</v>
      </c>
      <c r="D11" s="5">
        <v>20</v>
      </c>
      <c r="E11" s="35">
        <v>0</v>
      </c>
      <c r="F11" s="36">
        <v>43217</v>
      </c>
      <c r="G11" s="37">
        <v>22779</v>
      </c>
      <c r="H11" s="26">
        <v>0</v>
      </c>
      <c r="I11" s="48">
        <f t="shared" si="9"/>
        <v>2.1914895861009986</v>
      </c>
      <c r="J11" s="52">
        <f t="shared" si="3"/>
        <v>1.336091518089181</v>
      </c>
      <c r="K11" s="35">
        <f t="shared" si="4"/>
        <v>0</v>
      </c>
      <c r="L11" s="50">
        <f t="shared" si="8"/>
        <v>4.3829791722019978E-2</v>
      </c>
      <c r="M11" s="53">
        <f t="shared" si="5"/>
        <v>2.6721830361783619E-2</v>
      </c>
      <c r="N11" s="36">
        <f t="shared" ref="N11:N12" si="20">K11*C11/$G$21</f>
        <v>0</v>
      </c>
      <c r="O11" s="51">
        <f t="shared" si="15"/>
        <v>2.900049282107628</v>
      </c>
      <c r="P11" s="51">
        <f t="shared" si="16"/>
        <v>1.7680810679818793</v>
      </c>
      <c r="Q11" s="26"/>
      <c r="R11" s="36"/>
      <c r="S11" s="37"/>
      <c r="T11" s="22"/>
      <c r="U11" s="50"/>
      <c r="V11" s="73"/>
      <c r="W11" s="38"/>
      <c r="X11" s="48"/>
      <c r="Y11" s="52"/>
      <c r="Z11" s="22"/>
      <c r="AA11" s="23"/>
      <c r="AB11" s="37"/>
    </row>
    <row r="12" spans="1:28" x14ac:dyDescent="0.3">
      <c r="A12" s="7"/>
      <c r="B12" s="7">
        <v>3</v>
      </c>
      <c r="C12" s="20">
        <v>10.02</v>
      </c>
      <c r="D12" s="5">
        <v>20</v>
      </c>
      <c r="E12" s="35">
        <v>0</v>
      </c>
      <c r="F12" s="36">
        <v>46802</v>
      </c>
      <c r="G12" s="37">
        <v>22988</v>
      </c>
      <c r="H12" s="26">
        <v>0</v>
      </c>
      <c r="I12" s="48">
        <f t="shared" si="9"/>
        <v>2.3665800434775104</v>
      </c>
      <c r="J12" s="52">
        <f t="shared" si="3"/>
        <v>1.347918931868038</v>
      </c>
      <c r="K12" s="35">
        <f t="shared" si="4"/>
        <v>0</v>
      </c>
      <c r="L12" s="50">
        <f t="shared" si="8"/>
        <v>4.7331600869550211E-2</v>
      </c>
      <c r="M12" s="53">
        <f t="shared" si="5"/>
        <v>2.695837863736076E-2</v>
      </c>
      <c r="N12" s="36">
        <f t="shared" si="20"/>
        <v>0</v>
      </c>
      <c r="O12" s="51">
        <f>L12*$G$21/C12</f>
        <v>3.122374069338592</v>
      </c>
      <c r="P12" s="51">
        <f>M12*$G$21/C12</f>
        <v>1.7783920438418626</v>
      </c>
      <c r="Q12" s="26"/>
      <c r="R12" s="36"/>
      <c r="S12" s="37"/>
      <c r="T12" s="22"/>
      <c r="U12" s="50"/>
      <c r="V12" s="73"/>
      <c r="W12" s="38"/>
      <c r="X12" s="48"/>
      <c r="Y12" s="52"/>
      <c r="Z12" s="22"/>
      <c r="AA12" s="23"/>
      <c r="AB12" s="37"/>
    </row>
    <row r="13" spans="1:28" x14ac:dyDescent="0.3">
      <c r="A13" s="7">
        <v>4</v>
      </c>
      <c r="B13" s="7">
        <v>1</v>
      </c>
      <c r="C13" s="20">
        <v>9.99</v>
      </c>
      <c r="D13" s="5">
        <v>20</v>
      </c>
      <c r="E13" s="35">
        <v>0</v>
      </c>
      <c r="F13" s="36">
        <v>131094</v>
      </c>
      <c r="G13" s="37">
        <v>39842</v>
      </c>
      <c r="H13" s="26">
        <v>0</v>
      </c>
      <c r="I13" s="48">
        <f>(F13-$C$21)/$C$20</f>
        <v>6.4833791601249109</v>
      </c>
      <c r="J13" s="52">
        <f t="shared" si="3"/>
        <v>2.301695160714238</v>
      </c>
      <c r="K13" s="35">
        <f t="shared" si="4"/>
        <v>0</v>
      </c>
      <c r="L13" s="50">
        <f>I13*D13/1000</f>
        <v>0.12966758320249822</v>
      </c>
      <c r="M13" s="53">
        <f t="shared" si="5"/>
        <v>4.6033903214284765E-2</v>
      </c>
      <c r="N13" s="36">
        <f>K13*C13/$G$20</f>
        <v>0</v>
      </c>
      <c r="O13" s="51">
        <f t="shared" ref="O13:O14" si="21">L13*$G$20/C13</f>
        <v>7.8787010013930345</v>
      </c>
      <c r="P13" s="51">
        <f t="shared" ref="P13:P14" si="22">M13*$G$20/C13</f>
        <v>2.7970549800871725</v>
      </c>
      <c r="Q13" s="26">
        <f t="shared" ref="Q13:V13" si="23">AVERAGE(H13:H15)</f>
        <v>0</v>
      </c>
      <c r="R13" s="48">
        <f>AVERAGE(I13:I15)</f>
        <v>7.4149157450699592</v>
      </c>
      <c r="S13" s="52">
        <f t="shared" si="23"/>
        <v>2.7768101062454522</v>
      </c>
      <c r="T13" s="22">
        <f t="shared" si="23"/>
        <v>0</v>
      </c>
      <c r="U13" s="50">
        <f>AVERAGE(L13:L15)</f>
        <v>0.14829831490139919</v>
      </c>
      <c r="V13" s="73">
        <f t="shared" si="23"/>
        <v>5.5536202124909041E-2</v>
      </c>
      <c r="W13" s="36">
        <f t="shared" ref="W13" si="24">T13*E20/AVERAGE(A13:A15)</f>
        <v>0</v>
      </c>
      <c r="X13" s="51">
        <f>U13*G20/AVERAGE(C13:C15)</f>
        <v>8.9927149995154156</v>
      </c>
      <c r="Y13" s="52">
        <f>V13*G20/AVERAGE(C13:C15)</f>
        <v>3.3676797891927861</v>
      </c>
      <c r="Z13" s="51">
        <f t="shared" ref="Z13" si="25">W13*1000/$G$20</f>
        <v>0</v>
      </c>
      <c r="AA13" s="51">
        <f>X13*1000/$G$20</f>
        <v>14.815016473666253</v>
      </c>
      <c r="AB13" s="52">
        <f>Y13*1000/$G$20</f>
        <v>5.5480721403505537</v>
      </c>
    </row>
    <row r="14" spans="1:28" x14ac:dyDescent="0.3">
      <c r="A14" s="7"/>
      <c r="B14" s="7">
        <v>2</v>
      </c>
      <c r="C14" s="20">
        <v>10.050000000000001</v>
      </c>
      <c r="D14" s="5">
        <v>20</v>
      </c>
      <c r="E14" s="35">
        <v>0</v>
      </c>
      <c r="F14" s="36">
        <v>141374</v>
      </c>
      <c r="G14" s="37">
        <v>48244</v>
      </c>
      <c r="H14" s="26">
        <v>0</v>
      </c>
      <c r="I14" s="48">
        <f t="shared" si="9"/>
        <v>6.9854516571487713</v>
      </c>
      <c r="J14" s="52">
        <f t="shared" si="3"/>
        <v>2.7771685127235992</v>
      </c>
      <c r="K14" s="35">
        <f t="shared" si="4"/>
        <v>0</v>
      </c>
      <c r="L14" s="50">
        <f>I14*D14/1000</f>
        <v>0.13970903314297542</v>
      </c>
      <c r="M14" s="53">
        <f t="shared" si="5"/>
        <v>5.554337025447198E-2</v>
      </c>
      <c r="N14" s="36">
        <f t="shared" ref="N14:N15" si="26">K14*C14/$G$20</f>
        <v>0</v>
      </c>
      <c r="O14" s="51">
        <f t="shared" si="21"/>
        <v>8.4381475739090632</v>
      </c>
      <c r="P14" s="51">
        <f t="shared" si="22"/>
        <v>3.3547090292999493</v>
      </c>
      <c r="Q14" s="22"/>
      <c r="R14" s="23"/>
      <c r="S14" s="24"/>
      <c r="T14" s="22"/>
      <c r="U14" s="23"/>
      <c r="V14" s="24"/>
      <c r="W14" s="22"/>
      <c r="X14" s="23"/>
      <c r="Y14" s="24"/>
      <c r="Z14" s="22"/>
      <c r="AA14" s="23"/>
      <c r="AB14" s="24"/>
    </row>
    <row r="15" spans="1:28" x14ac:dyDescent="0.3">
      <c r="A15" s="7"/>
      <c r="B15" s="7">
        <v>3</v>
      </c>
      <c r="C15" s="20">
        <v>9.99</v>
      </c>
      <c r="D15" s="5">
        <v>20</v>
      </c>
      <c r="E15" s="35">
        <v>0</v>
      </c>
      <c r="F15" s="55">
        <v>178034</v>
      </c>
      <c r="G15" s="56">
        <v>56627</v>
      </c>
      <c r="H15" s="57">
        <v>0</v>
      </c>
      <c r="I15" s="48">
        <f t="shared" si="9"/>
        <v>8.7759164179361981</v>
      </c>
      <c r="J15" s="52">
        <f t="shared" si="3"/>
        <v>3.2515666452985186</v>
      </c>
      <c r="K15" s="54">
        <f t="shared" si="4"/>
        <v>0</v>
      </c>
      <c r="L15" s="60">
        <f>I15*D15/1000</f>
        <v>0.17551832835872397</v>
      </c>
      <c r="M15" s="53">
        <f t="shared" ref="M15" si="27">J15*D15/1000</f>
        <v>6.5031332905970379E-2</v>
      </c>
      <c r="N15" s="36">
        <f t="shared" si="26"/>
        <v>0</v>
      </c>
      <c r="O15" s="51">
        <f>L15*$G$20/C15</f>
        <v>10.664627158533078</v>
      </c>
      <c r="P15" s="51">
        <f>M15*$G$20/C15</f>
        <v>3.9513532606530548</v>
      </c>
      <c r="Q15" s="27"/>
      <c r="R15" s="33"/>
      <c r="S15" s="28"/>
      <c r="T15" s="27"/>
      <c r="U15" s="33"/>
      <c r="V15" s="28"/>
      <c r="W15" s="27"/>
      <c r="X15" s="33"/>
      <c r="Y15" s="28"/>
      <c r="Z15" s="27"/>
      <c r="AA15" s="33"/>
      <c r="AB15" s="28"/>
    </row>
    <row r="16" spans="1:28" x14ac:dyDescent="0.3">
      <c r="W16">
        <f>SUM(W4:W13)</f>
        <v>0</v>
      </c>
      <c r="X16">
        <f t="shared" ref="X16:Y16" si="28">SUM(X4:X13)</f>
        <v>12.107443878333932</v>
      </c>
      <c r="Y16">
        <f t="shared" si="28"/>
        <v>6.890726611520857</v>
      </c>
    </row>
    <row r="18" spans="1:7" x14ac:dyDescent="0.3">
      <c r="F18" t="s">
        <v>11</v>
      </c>
      <c r="G18" t="s">
        <v>47</v>
      </c>
    </row>
    <row r="19" spans="1:7" x14ac:dyDescent="0.3">
      <c r="B19" t="s">
        <v>16</v>
      </c>
      <c r="C19" t="s">
        <v>17</v>
      </c>
      <c r="D19" t="s">
        <v>18</v>
      </c>
    </row>
    <row r="20" spans="1:7" x14ac:dyDescent="0.3">
      <c r="A20" t="s">
        <v>31</v>
      </c>
      <c r="B20" s="25">
        <v>11638.352782465656</v>
      </c>
      <c r="C20" s="25">
        <v>20475.130705101034</v>
      </c>
      <c r="D20" s="25">
        <v>17670.811549149828</v>
      </c>
      <c r="F20">
        <v>4</v>
      </c>
      <c r="G20">
        <v>607</v>
      </c>
    </row>
    <row r="21" spans="1:7" x14ac:dyDescent="0.3">
      <c r="A21" t="s">
        <v>32</v>
      </c>
      <c r="B21" s="25">
        <v>-2070.5714285714494</v>
      </c>
      <c r="C21" s="25">
        <v>-1654.0357142857101</v>
      </c>
      <c r="D21" s="25">
        <v>-830.82142857142753</v>
      </c>
      <c r="F21">
        <v>3</v>
      </c>
      <c r="G21">
        <v>661</v>
      </c>
    </row>
    <row r="22" spans="1:7" x14ac:dyDescent="0.3">
      <c r="F22">
        <v>2</v>
      </c>
      <c r="G22">
        <v>677</v>
      </c>
    </row>
    <row r="23" spans="1:7" x14ac:dyDescent="0.3">
      <c r="F23">
        <v>1</v>
      </c>
      <c r="G23">
        <v>630</v>
      </c>
    </row>
  </sheetData>
  <mergeCells count="8">
    <mergeCell ref="W2:Y2"/>
    <mergeCell ref="Z2:AB2"/>
    <mergeCell ref="E2:G2"/>
    <mergeCell ref="H2:J2"/>
    <mergeCell ref="K2:M2"/>
    <mergeCell ref="N2:P2"/>
    <mergeCell ref="Q2:S2"/>
    <mergeCell ref="T2:V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6"/>
  <sheetViews>
    <sheetView workbookViewId="0">
      <selection activeCell="R21" sqref="R21"/>
    </sheetView>
  </sheetViews>
  <sheetFormatPr defaultRowHeight="14.4" x14ac:dyDescent="0.3"/>
  <cols>
    <col min="6" max="6" width="7.109375" customWidth="1"/>
  </cols>
  <sheetData>
    <row r="1" spans="1:23" x14ac:dyDescent="0.3">
      <c r="A1" t="s">
        <v>48</v>
      </c>
    </row>
    <row r="2" spans="1:23" x14ac:dyDescent="0.3">
      <c r="B2" s="115" t="s">
        <v>49</v>
      </c>
      <c r="C2" s="116"/>
      <c r="D2" s="116"/>
      <c r="E2" t="s">
        <v>50</v>
      </c>
    </row>
    <row r="3" spans="1:23" x14ac:dyDescent="0.3">
      <c r="A3" s="61" t="s">
        <v>51</v>
      </c>
      <c r="B3" s="62" t="s">
        <v>16</v>
      </c>
      <c r="C3" s="63" t="s">
        <v>17</v>
      </c>
      <c r="D3" s="64" t="s">
        <v>18</v>
      </c>
      <c r="E3" s="62" t="s">
        <v>16</v>
      </c>
      <c r="F3" s="63" t="s">
        <v>17</v>
      </c>
      <c r="G3" s="64" t="s">
        <v>18</v>
      </c>
      <c r="V3" s="10" t="s">
        <v>52</v>
      </c>
      <c r="W3" s="10" t="s">
        <v>53</v>
      </c>
    </row>
    <row r="4" spans="1:23" x14ac:dyDescent="0.3">
      <c r="A4" s="61" t="s">
        <v>54</v>
      </c>
      <c r="B4" s="22">
        <v>0</v>
      </c>
      <c r="C4" s="80">
        <v>0</v>
      </c>
      <c r="D4" s="71">
        <v>1.9515219261186292</v>
      </c>
      <c r="E4" s="84">
        <f>AVERAGE(B4:B6)</f>
        <v>0</v>
      </c>
      <c r="F4" s="48">
        <f>AVERAGE(C4:C6)</f>
        <v>0</v>
      </c>
      <c r="G4" s="77">
        <f>AVERAGE(D4:D6)</f>
        <v>1.7554924460709707</v>
      </c>
      <c r="V4" s="75" t="s">
        <v>66</v>
      </c>
      <c r="W4" s="4" t="s">
        <v>0</v>
      </c>
    </row>
    <row r="5" spans="1:23" x14ac:dyDescent="0.3">
      <c r="A5" s="61" t="s">
        <v>55</v>
      </c>
      <c r="B5" s="22">
        <v>0</v>
      </c>
      <c r="C5" s="78">
        <v>0</v>
      </c>
      <c r="D5" s="71">
        <v>2.0653820051763341</v>
      </c>
      <c r="E5" s="84">
        <f>_xlfn.STDEV.P(B4:B6)</f>
        <v>0</v>
      </c>
      <c r="F5" s="48">
        <f>_xlfn.STDEV.P(C4:C6)</f>
        <v>0</v>
      </c>
      <c r="G5" s="77">
        <f>_xlfn.STDEV.P(D4:D6)</f>
        <v>0.36074606492092148</v>
      </c>
      <c r="V5" s="75" t="s">
        <v>67</v>
      </c>
      <c r="W5" s="3" t="s">
        <v>1</v>
      </c>
    </row>
    <row r="6" spans="1:23" x14ac:dyDescent="0.3">
      <c r="A6" s="61" t="s">
        <v>56</v>
      </c>
      <c r="B6" s="22">
        <v>0</v>
      </c>
      <c r="C6" s="78">
        <v>0</v>
      </c>
      <c r="D6" s="71">
        <v>1.2495734069179489</v>
      </c>
      <c r="E6" s="38"/>
      <c r="F6" s="39"/>
      <c r="G6" s="40"/>
      <c r="V6" s="75" t="s">
        <v>68</v>
      </c>
      <c r="W6" s="1" t="s">
        <v>2</v>
      </c>
    </row>
    <row r="7" spans="1:23" x14ac:dyDescent="0.3">
      <c r="A7" s="61" t="s">
        <v>57</v>
      </c>
      <c r="B7" s="22">
        <v>0</v>
      </c>
      <c r="C7" s="79">
        <v>1.179322729218544</v>
      </c>
      <c r="D7" s="79">
        <v>2.7984930244769686</v>
      </c>
      <c r="E7" s="84">
        <f>AVERAGE(B7:B9)</f>
        <v>0</v>
      </c>
      <c r="F7" s="48">
        <f>AVERAGE(C7:C9)</f>
        <v>0.87696849900368312</v>
      </c>
      <c r="G7" s="77">
        <f>AVERAGE(D7:D9)</f>
        <v>2.2880593212658824</v>
      </c>
      <c r="P7" s="48"/>
      <c r="V7" s="75" t="s">
        <v>69</v>
      </c>
      <c r="W7" s="2" t="s">
        <v>3</v>
      </c>
    </row>
    <row r="8" spans="1:23" x14ac:dyDescent="0.3">
      <c r="A8" s="61" t="s">
        <v>58</v>
      </c>
      <c r="B8" s="22">
        <v>0</v>
      </c>
      <c r="C8" s="70">
        <v>1.0634987285247224</v>
      </c>
      <c r="D8" s="79">
        <v>2.4934325210771675</v>
      </c>
      <c r="E8" s="84">
        <f>_xlfn.STDEV.P(B7:B9)</f>
        <v>0</v>
      </c>
      <c r="F8" s="48">
        <f>_xlfn.STDEV.P(C7:C9)</f>
        <v>0.34891241595623729</v>
      </c>
      <c r="G8" s="77">
        <f>_xlfn.STDEV.P(D7:D9)</f>
        <v>0.52124857761244225</v>
      </c>
      <c r="P8" s="48"/>
    </row>
    <row r="9" spans="1:23" x14ac:dyDescent="0.3">
      <c r="A9" s="61" t="s">
        <v>59</v>
      </c>
      <c r="B9" s="22">
        <v>0</v>
      </c>
      <c r="C9" s="70">
        <v>0.38808403926778301</v>
      </c>
      <c r="D9" s="79">
        <v>1.5722524182435111</v>
      </c>
      <c r="E9" s="38"/>
      <c r="F9" s="48"/>
      <c r="G9" s="40"/>
      <c r="Q9" s="48"/>
      <c r="R9" s="36"/>
      <c r="S9" s="23"/>
    </row>
    <row r="10" spans="1:23" x14ac:dyDescent="0.3">
      <c r="A10" s="61" t="s">
        <v>60</v>
      </c>
      <c r="B10" s="22">
        <v>0</v>
      </c>
      <c r="C10" s="79">
        <v>5.3167899006966088</v>
      </c>
      <c r="D10" s="79">
        <v>4.2385325266746454</v>
      </c>
      <c r="E10" s="85">
        <f>AVERAGE(B10:B12)</f>
        <v>0</v>
      </c>
      <c r="F10" s="70">
        <f>AVERAGE(C10:C12)</f>
        <v>4.6434453441681542</v>
      </c>
      <c r="G10" s="79">
        <f>AVERAGE(D10:D12)</f>
        <v>3.145166406339543</v>
      </c>
      <c r="P10" s="48"/>
      <c r="Q10" s="48"/>
      <c r="R10" s="36"/>
      <c r="S10" s="23"/>
    </row>
    <row r="11" spans="1:23" x14ac:dyDescent="0.3">
      <c r="A11" s="61" t="s">
        <v>61</v>
      </c>
      <c r="B11" s="22">
        <v>0</v>
      </c>
      <c r="C11" s="70">
        <v>4.2988774718468479</v>
      </c>
      <c r="D11" s="79">
        <v>2.6683726094106919</v>
      </c>
      <c r="E11" s="85">
        <f>_xlfn.STDEV.P(B10:B12)</f>
        <v>0</v>
      </c>
      <c r="F11" s="70">
        <f>_xlfn.STDEV.P(C10:C12)</f>
        <v>0.47617014414345149</v>
      </c>
      <c r="G11" s="79">
        <f>_xlfn.STDEV.P(D10:D12)</f>
        <v>0.7752296923873695</v>
      </c>
      <c r="P11" s="48"/>
      <c r="R11" s="23"/>
      <c r="S11" s="23"/>
    </row>
    <row r="12" spans="1:23" x14ac:dyDescent="0.3">
      <c r="A12" s="61" t="s">
        <v>62</v>
      </c>
      <c r="B12" s="22">
        <v>0</v>
      </c>
      <c r="C12" s="70">
        <v>4.3146686599610078</v>
      </c>
      <c r="D12" s="79">
        <v>2.5285940829332918</v>
      </c>
      <c r="E12" s="38"/>
      <c r="F12" s="48"/>
      <c r="G12" s="40"/>
      <c r="Q12" s="48"/>
      <c r="R12" s="36"/>
      <c r="S12" s="23"/>
    </row>
    <row r="13" spans="1:23" x14ac:dyDescent="0.3">
      <c r="A13" s="61" t="s">
        <v>63</v>
      </c>
      <c r="B13" s="22">
        <v>0</v>
      </c>
      <c r="C13" s="78">
        <v>18.594991162428716</v>
      </c>
      <c r="D13" s="49">
        <v>11.876499108636843</v>
      </c>
      <c r="E13" s="85">
        <f>AVERAGE(B13:B15)</f>
        <v>0</v>
      </c>
      <c r="F13" s="70">
        <f>AVERAGE(C13:C15)</f>
        <v>16.747047809310377</v>
      </c>
      <c r="G13" s="79">
        <f>AVERAGE(D13:D15)</f>
        <v>9.6211898853864373</v>
      </c>
      <c r="P13" s="23"/>
      <c r="Q13" s="48"/>
      <c r="R13" s="36"/>
      <c r="S13" s="23"/>
    </row>
    <row r="14" spans="1:23" x14ac:dyDescent="0.3">
      <c r="A14" s="61" t="s">
        <v>64</v>
      </c>
      <c r="B14" s="22">
        <v>0</v>
      </c>
      <c r="C14" s="78">
        <v>16.831135791836161</v>
      </c>
      <c r="D14" s="49">
        <v>11.438998407171916</v>
      </c>
      <c r="E14" s="85">
        <f>_xlfn.STDEV.P(B13:B15)</f>
        <v>0</v>
      </c>
      <c r="F14" s="70">
        <f>_xlfn.STDEV.P(C13:C15)</f>
        <v>1.5443132785643294</v>
      </c>
      <c r="G14" s="79">
        <f>_xlfn.STDEV.P(D13:D15)</f>
        <v>2.8856620083486564</v>
      </c>
      <c r="P14" s="23"/>
      <c r="R14" s="23"/>
      <c r="S14" s="23"/>
    </row>
    <row r="15" spans="1:23" x14ac:dyDescent="0.3">
      <c r="A15" s="61" t="s">
        <v>65</v>
      </c>
      <c r="B15" s="27">
        <v>0</v>
      </c>
      <c r="C15" s="82">
        <v>14.815016473666253</v>
      </c>
      <c r="D15" s="83">
        <v>5.5480721403505537</v>
      </c>
      <c r="E15" s="27"/>
      <c r="F15" s="33"/>
      <c r="G15" s="28"/>
      <c r="Q15" s="23"/>
      <c r="R15" s="36"/>
      <c r="S15" s="23"/>
    </row>
    <row r="16" spans="1:23" x14ac:dyDescent="0.3">
      <c r="A16" s="61" t="s">
        <v>7</v>
      </c>
      <c r="F16" s="81">
        <f>SUM(F13+F10+F7+F4)</f>
        <v>22.267461652482215</v>
      </c>
      <c r="G16" s="81">
        <f>SUM(G13+G10+G7+G4)</f>
        <v>16.809908059062835</v>
      </c>
      <c r="Q16" s="23"/>
      <c r="R16" s="36"/>
      <c r="S16" s="23"/>
    </row>
  </sheetData>
  <mergeCells count="1">
    <mergeCell ref="B2:D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CA0C-CE91-4DE2-AFF7-DD30F01728F3}">
  <dimension ref="A1:Q12"/>
  <sheetViews>
    <sheetView tabSelected="1" workbookViewId="0">
      <selection activeCell="U8" sqref="U8"/>
    </sheetView>
  </sheetViews>
  <sheetFormatPr defaultRowHeight="14.4" x14ac:dyDescent="0.3"/>
  <cols>
    <col min="1" max="1" width="18.21875" customWidth="1"/>
    <col min="5" max="5" width="8.21875" customWidth="1"/>
  </cols>
  <sheetData>
    <row r="1" spans="1:17" ht="18" x14ac:dyDescent="0.35">
      <c r="A1" s="117" t="s">
        <v>70</v>
      </c>
    </row>
    <row r="2" spans="1:17" x14ac:dyDescent="0.3">
      <c r="B2" s="118" t="s">
        <v>20</v>
      </c>
      <c r="C2" s="119"/>
      <c r="D2" s="119"/>
      <c r="E2" s="120"/>
      <c r="F2" s="121" t="s">
        <v>21</v>
      </c>
      <c r="G2" s="122"/>
      <c r="H2" s="122"/>
      <c r="I2" s="123"/>
      <c r="J2" s="124" t="s">
        <v>22</v>
      </c>
      <c r="K2" s="125"/>
      <c r="L2" s="125"/>
      <c r="M2" s="126"/>
      <c r="N2" s="127" t="s">
        <v>71</v>
      </c>
      <c r="O2" s="128"/>
      <c r="P2" s="128"/>
      <c r="Q2" s="129"/>
    </row>
    <row r="3" spans="1:17" x14ac:dyDescent="0.3">
      <c r="B3" s="38" t="s">
        <v>16</v>
      </c>
      <c r="C3" s="86" t="s">
        <v>17</v>
      </c>
      <c r="D3" s="86" t="s">
        <v>18</v>
      </c>
      <c r="E3" s="40" t="s">
        <v>7</v>
      </c>
      <c r="F3" s="38" t="s">
        <v>16</v>
      </c>
      <c r="G3" s="86" t="s">
        <v>17</v>
      </c>
      <c r="H3" s="86" t="s">
        <v>18</v>
      </c>
      <c r="I3" s="40" t="s">
        <v>7</v>
      </c>
      <c r="J3" s="38" t="s">
        <v>16</v>
      </c>
      <c r="K3" s="86" t="s">
        <v>17</v>
      </c>
      <c r="L3" s="86" t="s">
        <v>18</v>
      </c>
      <c r="M3" s="40" t="s">
        <v>7</v>
      </c>
      <c r="N3" s="87" t="s">
        <v>16</v>
      </c>
      <c r="O3" s="88" t="s">
        <v>17</v>
      </c>
      <c r="P3" s="88" t="s">
        <v>18</v>
      </c>
      <c r="Q3" s="89" t="s">
        <v>7</v>
      </c>
    </row>
    <row r="4" spans="1:17" x14ac:dyDescent="0.3">
      <c r="A4" s="130" t="s">
        <v>72</v>
      </c>
      <c r="B4" s="87">
        <v>0.53</v>
      </c>
      <c r="C4" s="88">
        <v>0.32</v>
      </c>
      <c r="D4" s="88">
        <v>0.15</v>
      </c>
      <c r="E4" s="89">
        <f>SUM(B4:D4)</f>
        <v>1</v>
      </c>
      <c r="F4" s="87">
        <v>0.53</v>
      </c>
      <c r="G4" s="88">
        <v>0.32</v>
      </c>
      <c r="H4" s="88">
        <v>0.15</v>
      </c>
      <c r="I4" s="89">
        <f>SUM(F4:H4)</f>
        <v>1</v>
      </c>
      <c r="J4" s="87">
        <v>0.53</v>
      </c>
      <c r="K4" s="88">
        <v>0.32</v>
      </c>
      <c r="L4" s="88">
        <v>0.15</v>
      </c>
      <c r="M4" s="89">
        <f>SUM(J4:L4)</f>
        <v>1</v>
      </c>
      <c r="N4" s="35"/>
      <c r="O4" s="90"/>
      <c r="P4" s="90"/>
      <c r="Q4" s="37"/>
    </row>
    <row r="5" spans="1:17" x14ac:dyDescent="0.3">
      <c r="A5" s="27" t="s">
        <v>73</v>
      </c>
      <c r="B5" s="30">
        <f>E5*B4</f>
        <v>151.05000000000001</v>
      </c>
      <c r="C5" s="30">
        <f>E5*C4</f>
        <v>91.2</v>
      </c>
      <c r="D5" s="30">
        <f>E5*D4</f>
        <v>42.75</v>
      </c>
      <c r="E5" s="80">
        <f>0.285*1000</f>
        <v>285</v>
      </c>
      <c r="F5" s="32">
        <f>$I$5*F4</f>
        <v>142.88800000000001</v>
      </c>
      <c r="G5" s="32">
        <f t="shared" ref="G5:H5" si="0">$I$5*G4</f>
        <v>86.272000000000006</v>
      </c>
      <c r="H5" s="32">
        <f t="shared" si="0"/>
        <v>40.440000000000005</v>
      </c>
      <c r="I5" s="25">
        <f>0.2696*1000</f>
        <v>269.60000000000002</v>
      </c>
      <c r="J5" s="32">
        <f>$M$5*J4</f>
        <v>116.494</v>
      </c>
      <c r="K5" s="32">
        <f t="shared" ref="K5:L5" si="1">$M$5*K4</f>
        <v>70.335999999999999</v>
      </c>
      <c r="L5" s="32">
        <f t="shared" si="1"/>
        <v>32.97</v>
      </c>
      <c r="M5" s="25">
        <f>0.2198*1000</f>
        <v>219.79999999999998</v>
      </c>
      <c r="N5" s="35"/>
      <c r="O5" s="90"/>
      <c r="P5" s="90"/>
      <c r="Q5" s="37"/>
    </row>
    <row r="6" spans="1:17" x14ac:dyDescent="0.3">
      <c r="A6" s="130" t="s">
        <v>74</v>
      </c>
      <c r="B6" s="131">
        <v>88.156329602256633</v>
      </c>
      <c r="C6" s="132">
        <v>0</v>
      </c>
      <c r="D6" s="132">
        <v>0</v>
      </c>
      <c r="E6" s="133">
        <f>SUM(B6:D6)</f>
        <v>88.156329602256633</v>
      </c>
      <c r="F6" s="132">
        <v>88.257564369310003</v>
      </c>
      <c r="G6" s="132">
        <v>0</v>
      </c>
      <c r="H6" s="132">
        <v>0</v>
      </c>
      <c r="I6" s="133">
        <f>SUM(F6:H6)</f>
        <v>88.257564369310003</v>
      </c>
      <c r="J6" s="131">
        <v>66.315426974639735</v>
      </c>
      <c r="K6" s="132">
        <v>0</v>
      </c>
      <c r="L6" s="132">
        <v>0</v>
      </c>
      <c r="M6" s="133">
        <f>SUM(J6:L6)</f>
        <v>66.315426974639735</v>
      </c>
      <c r="N6" s="35"/>
      <c r="O6" s="90"/>
      <c r="P6" s="90"/>
      <c r="Q6" s="37"/>
    </row>
    <row r="7" spans="1:17" x14ac:dyDescent="0.3">
      <c r="A7" s="27" t="s">
        <v>75</v>
      </c>
      <c r="B7" s="26">
        <f>B6*100/B5</f>
        <v>58.362349951841523</v>
      </c>
      <c r="C7" s="26">
        <f t="shared" ref="C7:D7" si="2">C6*100/C5</f>
        <v>0</v>
      </c>
      <c r="D7" s="26">
        <f t="shared" si="2"/>
        <v>0</v>
      </c>
      <c r="E7" s="134">
        <f>(E6*100/E5)</f>
        <v>30.932045474476009</v>
      </c>
      <c r="F7" s="34">
        <f>F6*100/F5</f>
        <v>61.766953396583339</v>
      </c>
      <c r="G7" s="34">
        <f t="shared" ref="G7:H7" si="3">G6*100/G5</f>
        <v>0</v>
      </c>
      <c r="H7" s="34">
        <f t="shared" si="3"/>
        <v>0</v>
      </c>
      <c r="I7" s="135">
        <f>(I6*100/I5)</f>
        <v>32.736485300189166</v>
      </c>
      <c r="J7" s="26">
        <f>J6*100/J5</f>
        <v>56.926045096433917</v>
      </c>
      <c r="K7" s="26">
        <f t="shared" ref="K7:L7" si="4">K6*100/K5</f>
        <v>0</v>
      </c>
      <c r="L7" s="26">
        <f t="shared" si="4"/>
        <v>0</v>
      </c>
      <c r="M7" s="134">
        <f>(M6*100/M5)</f>
        <v>30.170803901109981</v>
      </c>
      <c r="N7" s="26">
        <f>AVERAGE(B7,F7,J7)</f>
        <v>59.018449481619591</v>
      </c>
      <c r="O7" s="25">
        <f>AVERAGE(C7,G7,K7)</f>
        <v>0</v>
      </c>
      <c r="P7" s="25">
        <f>AVERAGE(D7,H7,L7)</f>
        <v>0</v>
      </c>
      <c r="Q7" s="49">
        <f>AVERAGE(E7,I7,M7)</f>
        <v>31.279778225258383</v>
      </c>
    </row>
    <row r="8" spans="1:17" x14ac:dyDescent="0.3">
      <c r="A8" s="130" t="s">
        <v>76</v>
      </c>
      <c r="B8" s="136">
        <f>B5-B6-B10</f>
        <v>62.893670397743378</v>
      </c>
      <c r="C8" s="136">
        <f t="shared" ref="C8:D8" si="5">C5-C6-C10</f>
        <v>75.012543972907153</v>
      </c>
      <c r="D8" s="136">
        <f t="shared" si="5"/>
        <v>29.418037462667048</v>
      </c>
      <c r="E8" s="137">
        <f>0.1792*1000</f>
        <v>179.2</v>
      </c>
      <c r="F8" s="138">
        <f>F5-F6-F10</f>
        <v>54.630435630690002</v>
      </c>
      <c r="G8" s="138">
        <f t="shared" ref="G8:H8" si="6">G5-G6-G10</f>
        <v>72.36399671673523</v>
      </c>
      <c r="H8" s="138">
        <f t="shared" si="6"/>
        <v>28.741871374951796</v>
      </c>
      <c r="I8" s="69">
        <f>0.1727*1000</f>
        <v>172.7</v>
      </c>
      <c r="J8" s="136">
        <f>J5-J6</f>
        <v>50.178573025360265</v>
      </c>
      <c r="K8" s="138">
        <f t="shared" ref="K8" si="7">K5-K6</f>
        <v>70.335999999999999</v>
      </c>
      <c r="L8" s="138">
        <f>L5-L6</f>
        <v>32.97</v>
      </c>
      <c r="M8" s="25">
        <f>0.1566*1000</f>
        <v>156.6</v>
      </c>
      <c r="N8" s="26"/>
      <c r="O8" s="25"/>
      <c r="P8" s="25"/>
      <c r="Q8" s="49"/>
    </row>
    <row r="9" spans="1:17" x14ac:dyDescent="0.3">
      <c r="A9" s="27" t="s">
        <v>77</v>
      </c>
      <c r="B9" s="139">
        <f>B8*100/B5</f>
        <v>41.637650048158477</v>
      </c>
      <c r="C9" s="139">
        <f t="shared" ref="C9:D9" si="8">C8*100/C5</f>
        <v>82.250596461520999</v>
      </c>
      <c r="D9" s="139">
        <f t="shared" si="8"/>
        <v>68.814122719688996</v>
      </c>
      <c r="E9" s="140">
        <v>62.877192982456144</v>
      </c>
      <c r="F9" s="141">
        <f>F8*100/F5</f>
        <v>38.233046603416661</v>
      </c>
      <c r="G9" s="141">
        <f t="shared" ref="G9:H9" si="9">G8*100/G5</f>
        <v>83.878890853040645</v>
      </c>
      <c r="H9" s="141">
        <f t="shared" si="9"/>
        <v>71.072876792660225</v>
      </c>
      <c r="I9" s="142">
        <v>64.057863501483681</v>
      </c>
      <c r="J9" s="143">
        <f>J8*100/J5</f>
        <v>43.073954903566076</v>
      </c>
      <c r="K9" s="141">
        <f>K8*100/K5</f>
        <v>100</v>
      </c>
      <c r="L9" s="141">
        <f>L8*100/L5</f>
        <v>100</v>
      </c>
      <c r="M9" s="144">
        <f>M8*100/M5</f>
        <v>71.24658780709737</v>
      </c>
      <c r="N9" s="26">
        <f>AVERAGE(B9,F9,J9)</f>
        <v>40.981550518380409</v>
      </c>
      <c r="O9" s="25">
        <f>AVERAGE(C9,G9,K9)</f>
        <v>88.709829104853881</v>
      </c>
      <c r="P9" s="25">
        <f>AVERAGE(D9,H9,L9)</f>
        <v>79.962333170783083</v>
      </c>
      <c r="Q9" s="49">
        <f>AVERAGE(E9,I9,M9)</f>
        <v>66.060548097012401</v>
      </c>
    </row>
    <row r="10" spans="1:17" x14ac:dyDescent="0.3">
      <c r="A10" s="130" t="s">
        <v>78</v>
      </c>
      <c r="B10" s="69">
        <v>0</v>
      </c>
      <c r="C10" s="69">
        <v>16.18745602709285</v>
      </c>
      <c r="D10" s="69">
        <v>13.331962537332952</v>
      </c>
      <c r="E10" s="49">
        <f>SUM(B10:D10)</f>
        <v>29.519418564425802</v>
      </c>
      <c r="F10" s="145">
        <v>0</v>
      </c>
      <c r="G10" s="146">
        <v>13.90800328326478</v>
      </c>
      <c r="H10" s="146">
        <v>11.698128625048209</v>
      </c>
      <c r="I10" s="147">
        <f>SUM(F10:H10)</f>
        <v>25.606131908312989</v>
      </c>
      <c r="J10" s="30">
        <v>0</v>
      </c>
      <c r="K10" s="13">
        <v>12.107443878333932</v>
      </c>
      <c r="L10" s="13">
        <v>6.890726611520857</v>
      </c>
      <c r="M10" s="71">
        <f>SUM(J10:L10)</f>
        <v>18.99817048985479</v>
      </c>
      <c r="N10" s="26"/>
      <c r="O10" s="25"/>
      <c r="P10" s="25"/>
      <c r="Q10" s="49"/>
    </row>
    <row r="11" spans="1:17" x14ac:dyDescent="0.3">
      <c r="A11" s="27" t="s">
        <v>79</v>
      </c>
      <c r="B11" s="54">
        <v>0</v>
      </c>
      <c r="C11" s="34">
        <f>C10*100/C5</f>
        <v>17.749403538479001</v>
      </c>
      <c r="D11" s="34">
        <f>D10*100/D5</f>
        <v>31.185877280310997</v>
      </c>
      <c r="E11" s="135">
        <f>E10*100/E5</f>
        <v>10.35769072435993</v>
      </c>
      <c r="F11" s="57">
        <f>F10*100/F5</f>
        <v>0</v>
      </c>
      <c r="G11" s="57">
        <f t="shared" ref="G11:H11" si="10">G10*100/G5</f>
        <v>16.121109146959359</v>
      </c>
      <c r="H11" s="57">
        <f t="shared" si="10"/>
        <v>28.927123207339783</v>
      </c>
      <c r="I11" s="148">
        <f>I10*100/I5</f>
        <v>9.4978234081279638</v>
      </c>
      <c r="J11" s="54">
        <v>0</v>
      </c>
      <c r="K11" s="34">
        <f>K10*100/K5</f>
        <v>17.213722529478407</v>
      </c>
      <c r="L11" s="149">
        <f>L10*100/L5</f>
        <v>20.89998972253824</v>
      </c>
      <c r="M11" s="148">
        <f>M10*100/M5</f>
        <v>8.6433896678138264</v>
      </c>
      <c r="N11" s="57">
        <f>AVERAGE(B11,F11,J11)</f>
        <v>0</v>
      </c>
      <c r="O11" s="34">
        <f>AVERAGE(C11,G11,K11)</f>
        <v>17.028078404972252</v>
      </c>
      <c r="P11" s="34">
        <f>AVERAGE(D11,H11,L11)</f>
        <v>27.004330070063006</v>
      </c>
      <c r="Q11" s="83">
        <f>AVERAGE(E11,I11,M11)</f>
        <v>9.4996346001005723</v>
      </c>
    </row>
    <row r="12" spans="1:17" x14ac:dyDescent="0.3">
      <c r="A12" s="22" t="s">
        <v>7</v>
      </c>
      <c r="E12" s="25">
        <f>E7+E9+E11</f>
        <v>104.16692918129208</v>
      </c>
      <c r="F12" s="25"/>
      <c r="G12" s="25"/>
      <c r="H12" s="25"/>
      <c r="I12" s="25">
        <f>I7+I9+I11</f>
        <v>106.29217220980081</v>
      </c>
      <c r="J12" s="25"/>
      <c r="K12" s="25"/>
      <c r="L12" s="25"/>
      <c r="M12" s="25">
        <f t="shared" ref="M12" si="11">M7+M9+M11</f>
        <v>110.06078137602117</v>
      </c>
      <c r="N12" s="81">
        <f>SUM(N7:N11)</f>
        <v>100</v>
      </c>
      <c r="O12" s="81">
        <f>SUM(O7:O11)</f>
        <v>105.73790750982613</v>
      </c>
      <c r="P12" s="81">
        <f>SUM(P7:P11)</f>
        <v>106.96666324084609</v>
      </c>
      <c r="Q12" s="81">
        <f>AVERAGE(E12,I12,M12)</f>
        <v>106.83996092237135</v>
      </c>
    </row>
  </sheetData>
  <mergeCells count="4">
    <mergeCell ref="B2:E2"/>
    <mergeCell ref="F2:I2"/>
    <mergeCell ref="J2:M2"/>
    <mergeCell ref="N2:Q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Loam columns</vt:lpstr>
      <vt:lpstr>Standards</vt:lpstr>
      <vt:lpstr>Column D</vt:lpstr>
      <vt:lpstr>Column E</vt:lpstr>
      <vt:lpstr>Column F</vt:lpstr>
      <vt:lpstr>Column G</vt:lpstr>
      <vt:lpstr>Average</vt:lpstr>
      <vt:lpstr>LOAM mass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2022-07-20T11:18:06Z</dcterms:modified>
</cp:coreProperties>
</file>