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filterPrivacy="1"/>
  <xr:revisionPtr revIDLastSave="0" documentId="13_ncr:1_{53F41F2D-3872-41D9-93A7-D30B99E89F89}" xr6:coauthVersionLast="46" xr6:coauthVersionMax="46" xr10:uidLastSave="{00000000-0000-0000-0000-000000000000}"/>
  <bookViews>
    <workbookView xWindow="-108" yWindow="-108" windowWidth="23256" windowHeight="12576" activeTab="1" xr2:uid="{00000000-000D-0000-FFFF-FFFF00000000}"/>
  </bookViews>
  <sheets>
    <sheet name="F&amp;C" sheetId="1" r:id="rId1"/>
    <sheet name="Sample4" sheetId="2" r:id="rId2"/>
    <sheet name="Sample5" sheetId="3" r:id="rId3"/>
    <sheet name="Sample6" sheetId="4" r:id="rId4"/>
    <sheet name="Average-15s" sheetId="7" r:id="rId5"/>
    <sheet name="T student" sheetId="8"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3" i="4" l="1"/>
  <c r="E10" i="7" l="1"/>
  <c r="D34" i="4"/>
  <c r="D35" i="2"/>
  <c r="D33" i="3"/>
  <c r="D32" i="3"/>
  <c r="F8" i="7"/>
  <c r="C8" i="7"/>
  <c r="C9" i="7"/>
  <c r="D9" i="7"/>
  <c r="E9" i="7"/>
  <c r="F9" i="7"/>
  <c r="F10" i="7" s="1"/>
  <c r="G9" i="7"/>
  <c r="H9" i="7"/>
  <c r="B9" i="7"/>
  <c r="D8" i="7"/>
  <c r="E8" i="7"/>
  <c r="G8" i="7"/>
  <c r="H8" i="7"/>
  <c r="B8" i="7"/>
  <c r="D5" i="4"/>
  <c r="D6" i="4" s="1"/>
  <c r="D7" i="4" s="1"/>
  <c r="D8" i="4" s="1"/>
  <c r="D9" i="4" s="1"/>
  <c r="D10" i="4" s="1"/>
  <c r="D11" i="4" s="1"/>
  <c r="D12" i="4" s="1"/>
  <c r="D13" i="4" s="1"/>
  <c r="D14" i="4" s="1"/>
  <c r="D15" i="4" s="1"/>
  <c r="D16" i="4" s="1"/>
  <c r="D17" i="4" s="1"/>
  <c r="D18" i="4" s="1"/>
  <c r="D19" i="4" s="1"/>
  <c r="D6" i="3"/>
  <c r="D7" i="3" s="1"/>
  <c r="D8" i="3" s="1"/>
  <c r="D9" i="3" s="1"/>
  <c r="D10" i="3" s="1"/>
  <c r="D11" i="3" s="1"/>
  <c r="D12" i="3" s="1"/>
  <c r="D13" i="3" s="1"/>
  <c r="D14" i="3" s="1"/>
  <c r="D15" i="3" s="1"/>
  <c r="D16" i="3" s="1"/>
  <c r="D17" i="3" s="1"/>
  <c r="D18" i="3" s="1"/>
  <c r="D19" i="3" s="1"/>
  <c r="D5" i="3"/>
  <c r="D4" i="3"/>
  <c r="D5" i="2"/>
  <c r="D6" i="2" s="1"/>
  <c r="D7" i="2" s="1"/>
  <c r="D8" i="2" s="1"/>
  <c r="D9" i="2" s="1"/>
  <c r="D10" i="2" s="1"/>
  <c r="D11" i="2" s="1"/>
  <c r="D12" i="2" s="1"/>
  <c r="D13" i="2" s="1"/>
  <c r="D14" i="2" s="1"/>
  <c r="D15" i="2" s="1"/>
  <c r="D16" i="2" s="1"/>
  <c r="D17" i="2" s="1"/>
  <c r="D18" i="2" s="1"/>
  <c r="D19" i="2" s="1"/>
  <c r="E24" i="7" l="1"/>
  <c r="E23" i="7"/>
  <c r="B28" i="7" l="1"/>
  <c r="C28" i="7"/>
  <c r="D28" i="7"/>
  <c r="B29" i="7"/>
  <c r="C29" i="7"/>
  <c r="D29" i="7"/>
  <c r="C27" i="7"/>
  <c r="D27" i="7"/>
  <c r="B27" i="7"/>
  <c r="H17" i="7" l="1"/>
  <c r="G17" i="7"/>
  <c r="F17" i="7"/>
  <c r="E17" i="7"/>
  <c r="D17" i="7"/>
  <c r="C17" i="7"/>
  <c r="B17" i="7"/>
  <c r="H16" i="7"/>
  <c r="G16" i="7"/>
  <c r="F16" i="7"/>
  <c r="E16" i="7"/>
  <c r="D16" i="7"/>
  <c r="C16" i="7"/>
  <c r="B16" i="7"/>
  <c r="T4" i="4" l="1"/>
  <c r="T4" i="3"/>
  <c r="T4" i="2"/>
  <c r="R4" i="4"/>
  <c r="S4" i="4"/>
  <c r="Q4" i="4"/>
  <c r="R4" i="3"/>
  <c r="S4" i="3"/>
  <c r="Q4" i="3"/>
  <c r="R4" i="2"/>
  <c r="S4" i="2"/>
  <c r="Q4" i="2"/>
  <c r="J15" i="2" l="1"/>
  <c r="J16" i="2"/>
  <c r="J17" i="2"/>
  <c r="J18" i="2"/>
  <c r="J19" i="2"/>
  <c r="I16" i="2"/>
  <c r="I17" i="2"/>
  <c r="I18" i="2"/>
  <c r="I19" i="2"/>
  <c r="I15" i="2"/>
  <c r="H16" i="2"/>
  <c r="H17" i="2"/>
  <c r="H18" i="2"/>
  <c r="H19" i="2"/>
  <c r="H15" i="2"/>
  <c r="H16" i="4"/>
  <c r="J16" i="3"/>
  <c r="J17" i="3"/>
  <c r="J18" i="3"/>
  <c r="J19" i="3"/>
  <c r="J15" i="3"/>
  <c r="H16" i="3"/>
  <c r="I16" i="3"/>
  <c r="H17" i="3"/>
  <c r="I17" i="3"/>
  <c r="H18" i="3"/>
  <c r="I18" i="3"/>
  <c r="H19" i="3"/>
  <c r="I19" i="3"/>
  <c r="I15" i="3"/>
  <c r="H15" i="3"/>
  <c r="E5" i="8" l="1"/>
  <c r="E7" i="8"/>
  <c r="E9" i="8"/>
  <c r="E3" i="8"/>
  <c r="G4" i="8" l="1"/>
  <c r="G5" i="8"/>
  <c r="H5" i="8" s="1"/>
  <c r="G6" i="8"/>
  <c r="G7" i="8"/>
  <c r="H7" i="8" s="1"/>
  <c r="G8" i="8"/>
  <c r="G9" i="8"/>
  <c r="H9" i="8" s="1"/>
  <c r="G10" i="8"/>
  <c r="G3" i="8"/>
  <c r="H3" i="8" s="1"/>
  <c r="I12" i="3" l="1"/>
  <c r="I11" i="3"/>
  <c r="I10" i="3"/>
  <c r="J6" i="2"/>
  <c r="J7" i="2"/>
  <c r="J8" i="2"/>
  <c r="J9" i="2"/>
  <c r="J10" i="2"/>
  <c r="J11" i="2"/>
  <c r="J12" i="2"/>
  <c r="J13" i="2"/>
  <c r="J14" i="2"/>
  <c r="J5" i="2"/>
  <c r="I6" i="2"/>
  <c r="I7" i="2"/>
  <c r="I8" i="2"/>
  <c r="I9" i="2"/>
  <c r="I10" i="2"/>
  <c r="I11" i="2"/>
  <c r="I12" i="2"/>
  <c r="I13" i="2"/>
  <c r="I14" i="2"/>
  <c r="I5" i="2"/>
  <c r="L5" i="2" s="1"/>
  <c r="H5" i="3" l="1"/>
  <c r="K5" i="3" s="1"/>
  <c r="N5" i="3" s="1"/>
  <c r="I5" i="3"/>
  <c r="L5" i="3" s="1"/>
  <c r="O5" i="3" s="1"/>
  <c r="J5" i="3"/>
  <c r="M5" i="3" s="1"/>
  <c r="P5" i="3" s="1"/>
  <c r="H6" i="3"/>
  <c r="K6" i="3" s="1"/>
  <c r="I6" i="3"/>
  <c r="L6" i="3" s="1"/>
  <c r="J6" i="3"/>
  <c r="M6" i="3" s="1"/>
  <c r="H7" i="3"/>
  <c r="K7" i="3" s="1"/>
  <c r="I7" i="3"/>
  <c r="L7" i="3" s="1"/>
  <c r="J7" i="3"/>
  <c r="M7" i="3" s="1"/>
  <c r="H8" i="3"/>
  <c r="K8" i="3" s="1"/>
  <c r="I8" i="3"/>
  <c r="L8" i="3" s="1"/>
  <c r="J8" i="3"/>
  <c r="M8" i="3" s="1"/>
  <c r="H9" i="3"/>
  <c r="K9" i="3" s="1"/>
  <c r="I9" i="3"/>
  <c r="L9" i="3" s="1"/>
  <c r="J9" i="3"/>
  <c r="M9" i="3" s="1"/>
  <c r="H10" i="3"/>
  <c r="K10" i="3" s="1"/>
  <c r="L10" i="3"/>
  <c r="J10" i="3"/>
  <c r="M10" i="3" s="1"/>
  <c r="H11" i="3"/>
  <c r="K11" i="3" s="1"/>
  <c r="L11" i="3"/>
  <c r="J11" i="3"/>
  <c r="M11" i="3" s="1"/>
  <c r="H12" i="3"/>
  <c r="K12" i="3" s="1"/>
  <c r="L12" i="3"/>
  <c r="J12" i="3"/>
  <c r="M12" i="3" s="1"/>
  <c r="H13" i="3"/>
  <c r="K13" i="3" s="1"/>
  <c r="I13" i="3"/>
  <c r="L13" i="3" s="1"/>
  <c r="J13" i="3"/>
  <c r="M13" i="3" s="1"/>
  <c r="H14" i="3"/>
  <c r="K14" i="3" s="1"/>
  <c r="I14" i="3"/>
  <c r="L14" i="3" s="1"/>
  <c r="J14" i="3"/>
  <c r="M14" i="3" s="1"/>
  <c r="K15" i="3"/>
  <c r="L15" i="3"/>
  <c r="M15" i="3"/>
  <c r="K16" i="3"/>
  <c r="L16" i="3"/>
  <c r="M16" i="3"/>
  <c r="K17" i="3"/>
  <c r="L17" i="3"/>
  <c r="M17" i="3"/>
  <c r="K18" i="3"/>
  <c r="L18" i="3"/>
  <c r="M18" i="3"/>
  <c r="K19" i="3"/>
  <c r="L19" i="3"/>
  <c r="M19" i="3"/>
  <c r="S5" i="3" l="1"/>
  <c r="R5" i="3"/>
  <c r="T5" i="3"/>
  <c r="Q5" i="3"/>
  <c r="O11" i="3"/>
  <c r="R11" i="3" s="1"/>
  <c r="O7" i="3"/>
  <c r="R7" i="3" s="1"/>
  <c r="O19" i="3"/>
  <c r="R19" i="3" s="1"/>
  <c r="O14" i="3"/>
  <c r="O17" i="3"/>
  <c r="R17" i="3" s="1"/>
  <c r="O13" i="3"/>
  <c r="R13" i="3" s="1"/>
  <c r="O8" i="3"/>
  <c r="R8" i="3" s="1"/>
  <c r="O16" i="3"/>
  <c r="R16" i="3" s="1"/>
  <c r="O9" i="3"/>
  <c r="R9" i="3" s="1"/>
  <c r="O12" i="3"/>
  <c r="R12" i="3" s="1"/>
  <c r="O6" i="3"/>
  <c r="R6" i="3" s="1"/>
  <c r="O10" i="3"/>
  <c r="R10" i="3" s="1"/>
  <c r="O18" i="3"/>
  <c r="R18" i="3" s="1"/>
  <c r="P16" i="3"/>
  <c r="S16" i="3" s="1"/>
  <c r="P14" i="3"/>
  <c r="P18" i="3"/>
  <c r="S18" i="3" s="1"/>
  <c r="P13" i="3"/>
  <c r="S13" i="3" s="1"/>
  <c r="P10" i="3"/>
  <c r="S10" i="3" s="1"/>
  <c r="P8" i="3"/>
  <c r="S8" i="3" s="1"/>
  <c r="P9" i="3"/>
  <c r="S9" i="3" s="1"/>
  <c r="P17" i="3"/>
  <c r="S17" i="3" s="1"/>
  <c r="P12" i="3"/>
  <c r="S12" i="3" s="1"/>
  <c r="N19" i="3"/>
  <c r="N18" i="3"/>
  <c r="N12" i="3"/>
  <c r="N14" i="3"/>
  <c r="N13" i="3"/>
  <c r="N10" i="3"/>
  <c r="N16" i="3"/>
  <c r="N6" i="3"/>
  <c r="N9" i="3"/>
  <c r="N17" i="3"/>
  <c r="N8" i="3"/>
  <c r="P7" i="3"/>
  <c r="S7" i="3" s="1"/>
  <c r="N7" i="3"/>
  <c r="B32" i="3" s="1"/>
  <c r="P6" i="3"/>
  <c r="S6" i="3" s="1"/>
  <c r="P19" i="3"/>
  <c r="S19" i="3" s="1"/>
  <c r="P15" i="3"/>
  <c r="S15" i="3" s="1"/>
  <c r="P11" i="3"/>
  <c r="S11" i="3" s="1"/>
  <c r="O15" i="3"/>
  <c r="R15" i="3" s="1"/>
  <c r="N15" i="3"/>
  <c r="N11" i="3"/>
  <c r="D31" i="7"/>
  <c r="C31" i="7"/>
  <c r="B31" i="7"/>
  <c r="D30" i="7"/>
  <c r="C30" i="7"/>
  <c r="B30" i="7"/>
  <c r="D24" i="7"/>
  <c r="C24" i="7"/>
  <c r="B24" i="7"/>
  <c r="D23" i="7"/>
  <c r="C23" i="7"/>
  <c r="B23" i="7"/>
  <c r="D36" i="3" l="1"/>
  <c r="D37" i="3"/>
  <c r="D38" i="3"/>
  <c r="D34" i="3"/>
  <c r="B33" i="3"/>
  <c r="B38" i="3"/>
  <c r="B34" i="3"/>
  <c r="C32" i="3"/>
  <c r="T17" i="3"/>
  <c r="Q17" i="3"/>
  <c r="Q9" i="3"/>
  <c r="T9" i="3"/>
  <c r="T18" i="3"/>
  <c r="Q18" i="3"/>
  <c r="T19" i="3"/>
  <c r="Q19" i="3"/>
  <c r="T11" i="3"/>
  <c r="Q11" i="3"/>
  <c r="Q6" i="3"/>
  <c r="B36" i="3" s="1"/>
  <c r="T6" i="3"/>
  <c r="R14" i="3"/>
  <c r="B37" i="3" s="1"/>
  <c r="T13" i="3"/>
  <c r="Q13" i="3"/>
  <c r="S14" i="3"/>
  <c r="T7" i="3"/>
  <c r="Q7" i="3"/>
  <c r="T15" i="3"/>
  <c r="Q15" i="3"/>
  <c r="T8" i="3"/>
  <c r="Q8" i="3"/>
  <c r="Q16" i="3"/>
  <c r="T16" i="3"/>
  <c r="T10" i="3"/>
  <c r="Q10" i="3"/>
  <c r="Q14" i="3"/>
  <c r="T14" i="3"/>
  <c r="T12" i="3"/>
  <c r="Q12" i="3"/>
  <c r="J16" i="4"/>
  <c r="M16" i="4" s="1"/>
  <c r="J17" i="4"/>
  <c r="M17" i="4" s="1"/>
  <c r="J18" i="4"/>
  <c r="M18" i="4" s="1"/>
  <c r="J19" i="4"/>
  <c r="M19" i="4" s="1"/>
  <c r="J15" i="4"/>
  <c r="M15" i="4" s="1"/>
  <c r="I16" i="4"/>
  <c r="L16" i="4" s="1"/>
  <c r="I17" i="4"/>
  <c r="L17" i="4" s="1"/>
  <c r="I18" i="4"/>
  <c r="L18" i="4" s="1"/>
  <c r="I19" i="4"/>
  <c r="L19" i="4" s="1"/>
  <c r="I15" i="4"/>
  <c r="L15" i="4" s="1"/>
  <c r="K16" i="4"/>
  <c r="H17" i="4"/>
  <c r="K17" i="4" s="1"/>
  <c r="H18" i="4"/>
  <c r="K18" i="4" s="1"/>
  <c r="H19" i="4"/>
  <c r="K19" i="4" s="1"/>
  <c r="H15" i="4"/>
  <c r="K15" i="4" s="1"/>
  <c r="H28" i="3"/>
  <c r="I28" i="3"/>
  <c r="G28" i="3"/>
  <c r="L18" i="2"/>
  <c r="M15" i="2"/>
  <c r="M16" i="2"/>
  <c r="M17" i="2"/>
  <c r="M18" i="2"/>
  <c r="M19" i="2"/>
  <c r="L15" i="2"/>
  <c r="L16" i="2"/>
  <c r="L17" i="2"/>
  <c r="L19" i="2"/>
  <c r="K16" i="2"/>
  <c r="K17" i="2"/>
  <c r="K18" i="2"/>
  <c r="K19" i="2"/>
  <c r="K15" i="2"/>
  <c r="C36" i="3" l="1"/>
  <c r="I34" i="3"/>
  <c r="H34" i="3"/>
  <c r="G34" i="3"/>
  <c r="C21" i="4"/>
  <c r="J34" i="3" l="1"/>
  <c r="H25" i="4" l="1"/>
  <c r="J25" i="4"/>
  <c r="I25" i="4"/>
  <c r="K24" i="4"/>
  <c r="J6" i="4"/>
  <c r="J7" i="4"/>
  <c r="J8" i="4"/>
  <c r="J9" i="4"/>
  <c r="J10" i="4"/>
  <c r="J11" i="4"/>
  <c r="J12" i="4"/>
  <c r="J13" i="4"/>
  <c r="J14" i="4"/>
  <c r="J5" i="4"/>
  <c r="I6" i="4"/>
  <c r="I7" i="4"/>
  <c r="I8" i="4"/>
  <c r="I9" i="4"/>
  <c r="I10" i="4"/>
  <c r="I11" i="4"/>
  <c r="I12" i="4"/>
  <c r="I13" i="4"/>
  <c r="I14" i="4"/>
  <c r="I5" i="4"/>
  <c r="H6" i="4"/>
  <c r="H7" i="4"/>
  <c r="H8" i="4"/>
  <c r="H9" i="4"/>
  <c r="H10" i="4"/>
  <c r="H11" i="4"/>
  <c r="H12" i="4"/>
  <c r="H13" i="4"/>
  <c r="H14" i="4"/>
  <c r="H5" i="4"/>
  <c r="K25" i="4" l="1"/>
  <c r="G26" i="3"/>
  <c r="I26" i="3"/>
  <c r="H26" i="3"/>
  <c r="J25" i="3"/>
  <c r="I36" i="3" l="1"/>
  <c r="I35" i="3"/>
  <c r="I37" i="3" s="1"/>
  <c r="H36" i="3"/>
  <c r="H35" i="3"/>
  <c r="H37" i="3" s="1"/>
  <c r="G29" i="3"/>
  <c r="G35" i="3"/>
  <c r="G36" i="3"/>
  <c r="J26" i="3"/>
  <c r="J36" i="3" s="1"/>
  <c r="M14" i="4"/>
  <c r="L14" i="4"/>
  <c r="K14" i="4"/>
  <c r="M13" i="4"/>
  <c r="L13" i="4"/>
  <c r="K13" i="4"/>
  <c r="M12" i="4"/>
  <c r="L12" i="4"/>
  <c r="K12" i="4"/>
  <c r="M11" i="4"/>
  <c r="L11" i="4"/>
  <c r="K11" i="4"/>
  <c r="M10" i="4"/>
  <c r="L10" i="4"/>
  <c r="K10" i="4"/>
  <c r="M9" i="4"/>
  <c r="L9" i="4"/>
  <c r="K9" i="4"/>
  <c r="M8" i="4"/>
  <c r="L8" i="4"/>
  <c r="K8" i="4"/>
  <c r="M7" i="4"/>
  <c r="L7" i="4"/>
  <c r="K7" i="4"/>
  <c r="M6" i="4"/>
  <c r="L6" i="4"/>
  <c r="K6" i="4"/>
  <c r="M5" i="4"/>
  <c r="L5" i="4"/>
  <c r="K5" i="4"/>
  <c r="G37" i="3" l="1"/>
  <c r="J35" i="3"/>
  <c r="J37" i="3" s="1"/>
  <c r="N17" i="4"/>
  <c r="N19" i="4"/>
  <c r="N18" i="4"/>
  <c r="N16" i="4"/>
  <c r="N15" i="4"/>
  <c r="O16" i="4"/>
  <c r="R16" i="4" s="1"/>
  <c r="O17" i="4"/>
  <c r="R17" i="4" s="1"/>
  <c r="O18" i="4"/>
  <c r="R18" i="4" s="1"/>
  <c r="O15" i="4"/>
  <c r="R15" i="4" s="1"/>
  <c r="O19" i="4"/>
  <c r="P16" i="4"/>
  <c r="S16" i="4" s="1"/>
  <c r="P17" i="4"/>
  <c r="S17" i="4" s="1"/>
  <c r="P18" i="4"/>
  <c r="S18" i="4" s="1"/>
  <c r="P19" i="4"/>
  <c r="P15" i="4"/>
  <c r="S15" i="4" s="1"/>
  <c r="N7" i="4"/>
  <c r="N9" i="4"/>
  <c r="N11" i="4"/>
  <c r="N5" i="4"/>
  <c r="O5" i="4"/>
  <c r="P14" i="4"/>
  <c r="N6" i="4"/>
  <c r="O6" i="4"/>
  <c r="R6" i="4" s="1"/>
  <c r="O7" i="4"/>
  <c r="R7" i="4" s="1"/>
  <c r="O9" i="4"/>
  <c r="R9" i="4" s="1"/>
  <c r="O11" i="4"/>
  <c r="R11" i="4" s="1"/>
  <c r="O13" i="4"/>
  <c r="R13" i="4" s="1"/>
  <c r="N13" i="4"/>
  <c r="P5" i="4"/>
  <c r="P7" i="4"/>
  <c r="S7" i="4" s="1"/>
  <c r="P9" i="4"/>
  <c r="S9" i="4" s="1"/>
  <c r="P11" i="4"/>
  <c r="S11" i="4" s="1"/>
  <c r="P13" i="4"/>
  <c r="S13" i="4" s="1"/>
  <c r="N8" i="4"/>
  <c r="N10" i="4"/>
  <c r="N12" i="4"/>
  <c r="N14" i="4"/>
  <c r="O8" i="4"/>
  <c r="R8" i="4" s="1"/>
  <c r="O10" i="4"/>
  <c r="R10" i="4" s="1"/>
  <c r="O12" i="4"/>
  <c r="R12" i="4" s="1"/>
  <c r="O14" i="4"/>
  <c r="P6" i="4"/>
  <c r="S6" i="4" s="1"/>
  <c r="P8" i="4"/>
  <c r="S8" i="4" s="1"/>
  <c r="P10" i="4"/>
  <c r="S10" i="4" s="1"/>
  <c r="P12" i="4"/>
  <c r="S12" i="4" s="1"/>
  <c r="H27" i="2"/>
  <c r="I27" i="2"/>
  <c r="J26" i="2"/>
  <c r="G27" i="2"/>
  <c r="M6" i="2"/>
  <c r="M7" i="2"/>
  <c r="M8" i="2"/>
  <c r="M9" i="2"/>
  <c r="M10" i="2"/>
  <c r="M11" i="2"/>
  <c r="M12" i="2"/>
  <c r="M13" i="2"/>
  <c r="M14" i="2"/>
  <c r="M5" i="2"/>
  <c r="L6" i="2"/>
  <c r="L7" i="2"/>
  <c r="L8" i="2"/>
  <c r="L9" i="2"/>
  <c r="L10" i="2"/>
  <c r="L11" i="2"/>
  <c r="L12" i="2"/>
  <c r="L13" i="2"/>
  <c r="L14" i="2"/>
  <c r="H6" i="2"/>
  <c r="K6" i="2" s="1"/>
  <c r="H7" i="2"/>
  <c r="K7" i="2" s="1"/>
  <c r="H8" i="2"/>
  <c r="K8" i="2" s="1"/>
  <c r="H9" i="2"/>
  <c r="K9" i="2" s="1"/>
  <c r="H10" i="2"/>
  <c r="K10" i="2" s="1"/>
  <c r="H11" i="2"/>
  <c r="K11" i="2" s="1"/>
  <c r="H12" i="2"/>
  <c r="K12" i="2" s="1"/>
  <c r="H13" i="2"/>
  <c r="K13" i="2" s="1"/>
  <c r="H14" i="2"/>
  <c r="K14" i="2" s="1"/>
  <c r="H5" i="2"/>
  <c r="K5" i="2" s="1"/>
  <c r="D38" i="4" l="1"/>
  <c r="S5" i="4"/>
  <c r="B35" i="4"/>
  <c r="C33" i="4"/>
  <c r="R5" i="4"/>
  <c r="B34" i="4"/>
  <c r="D33" i="4"/>
  <c r="D37" i="4"/>
  <c r="D39" i="4"/>
  <c r="D35" i="4"/>
  <c r="H33" i="4"/>
  <c r="Q19" i="4"/>
  <c r="T19" i="4"/>
  <c r="Q8" i="4"/>
  <c r="T8" i="4"/>
  <c r="Q6" i="4"/>
  <c r="T6" i="4"/>
  <c r="I33" i="4"/>
  <c r="I35" i="4" s="1"/>
  <c r="R19" i="4"/>
  <c r="S14" i="4"/>
  <c r="T14" i="4"/>
  <c r="Q14" i="4"/>
  <c r="Q5" i="4"/>
  <c r="T5" i="4"/>
  <c r="T10" i="4"/>
  <c r="Q10" i="4"/>
  <c r="T11" i="4"/>
  <c r="Q11" i="4"/>
  <c r="J33" i="4"/>
  <c r="J35" i="4" s="1"/>
  <c r="S19" i="4"/>
  <c r="Q17" i="4"/>
  <c r="T17" i="4"/>
  <c r="T12" i="4"/>
  <c r="Q12" i="4"/>
  <c r="R14" i="4"/>
  <c r="C37" i="4" s="1"/>
  <c r="T9" i="4"/>
  <c r="Q9" i="4"/>
  <c r="Q15" i="4"/>
  <c r="T15" i="4"/>
  <c r="Q13" i="4"/>
  <c r="T13" i="4"/>
  <c r="T7" i="4"/>
  <c r="Q7" i="4"/>
  <c r="Q16" i="4"/>
  <c r="T16" i="4"/>
  <c r="Q18" i="4"/>
  <c r="T18" i="4"/>
  <c r="H29" i="2"/>
  <c r="J27" i="4"/>
  <c r="J29" i="4" s="1"/>
  <c r="I27" i="4"/>
  <c r="I29" i="4" s="1"/>
  <c r="H27" i="4"/>
  <c r="H28" i="4" s="1"/>
  <c r="P6" i="2"/>
  <c r="S6" i="2" s="1"/>
  <c r="P15" i="2"/>
  <c r="S15" i="2" s="1"/>
  <c r="M20" i="2"/>
  <c r="P16" i="2"/>
  <c r="S16" i="2" s="1"/>
  <c r="P18" i="2"/>
  <c r="S18" i="2" s="1"/>
  <c r="I35" i="2"/>
  <c r="P17" i="2"/>
  <c r="S17" i="2" s="1"/>
  <c r="I29" i="2"/>
  <c r="I31" i="2" s="1"/>
  <c r="I32" i="2" s="1"/>
  <c r="P19" i="2"/>
  <c r="S19" i="2" s="1"/>
  <c r="P14" i="2"/>
  <c r="N19" i="2"/>
  <c r="N17" i="2"/>
  <c r="K20" i="2"/>
  <c r="N18" i="2"/>
  <c r="N15" i="2"/>
  <c r="N14" i="2"/>
  <c r="G35" i="2"/>
  <c r="G29" i="2"/>
  <c r="N16" i="2"/>
  <c r="L20" i="2"/>
  <c r="O16" i="2"/>
  <c r="R16" i="2" s="1"/>
  <c r="H35" i="2"/>
  <c r="O18" i="2"/>
  <c r="R18" i="2" s="1"/>
  <c r="H30" i="2"/>
  <c r="O17" i="2"/>
  <c r="R17" i="2" s="1"/>
  <c r="O19" i="2"/>
  <c r="R19" i="2" s="1"/>
  <c r="O15" i="2"/>
  <c r="R15" i="2" s="1"/>
  <c r="O12" i="2"/>
  <c r="R12" i="2" s="1"/>
  <c r="O5" i="2"/>
  <c r="O10" i="2"/>
  <c r="R10" i="2" s="1"/>
  <c r="I30" i="3"/>
  <c r="I29" i="3"/>
  <c r="I31" i="3" s="1"/>
  <c r="H30" i="3"/>
  <c r="H29" i="3"/>
  <c r="H31" i="3" s="1"/>
  <c r="G30" i="3"/>
  <c r="J28" i="3"/>
  <c r="J30" i="3" s="1"/>
  <c r="J27" i="2"/>
  <c r="N11" i="2"/>
  <c r="N10" i="2"/>
  <c r="N9" i="2"/>
  <c r="N8" i="2"/>
  <c r="N7" i="2"/>
  <c r="C34" i="2" s="1"/>
  <c r="N5" i="2"/>
  <c r="N6" i="2"/>
  <c r="N12" i="2"/>
  <c r="N13" i="2"/>
  <c r="P11" i="2"/>
  <c r="S11" i="2" s="1"/>
  <c r="O11" i="2"/>
  <c r="R11" i="2" s="1"/>
  <c r="P10" i="2"/>
  <c r="S10" i="2" s="1"/>
  <c r="O6" i="2"/>
  <c r="R6" i="2" s="1"/>
  <c r="P9" i="2"/>
  <c r="S9" i="2" s="1"/>
  <c r="O9" i="2"/>
  <c r="R9" i="2" s="1"/>
  <c r="P8" i="2"/>
  <c r="S8" i="2" s="1"/>
  <c r="O14" i="2"/>
  <c r="O8" i="2"/>
  <c r="R8" i="2" s="1"/>
  <c r="P13" i="2"/>
  <c r="S13" i="2" s="1"/>
  <c r="P7" i="2"/>
  <c r="S7" i="2" s="1"/>
  <c r="O13" i="2"/>
  <c r="R13" i="2" s="1"/>
  <c r="O7" i="2"/>
  <c r="R7" i="2" s="1"/>
  <c r="P12" i="2"/>
  <c r="S12" i="2" s="1"/>
  <c r="P5" i="2"/>
  <c r="D38" i="2" l="1"/>
  <c r="D34" i="2"/>
  <c r="B38" i="4"/>
  <c r="B39" i="4"/>
  <c r="R5" i="2"/>
  <c r="B35" i="2"/>
  <c r="D36" i="2"/>
  <c r="D40" i="2"/>
  <c r="S5" i="2"/>
  <c r="B36" i="2"/>
  <c r="B37" i="4"/>
  <c r="D39" i="2"/>
  <c r="B34" i="2"/>
  <c r="I34" i="4"/>
  <c r="I36" i="4" s="1"/>
  <c r="K33" i="4"/>
  <c r="K35" i="4" s="1"/>
  <c r="J34" i="4"/>
  <c r="J36" i="4" s="1"/>
  <c r="H35" i="4"/>
  <c r="H34" i="4"/>
  <c r="H36" i="4" s="1"/>
  <c r="Q11" i="2"/>
  <c r="T11" i="2"/>
  <c r="T13" i="2"/>
  <c r="Q13" i="2"/>
  <c r="T14" i="2"/>
  <c r="Q14" i="2"/>
  <c r="T18" i="2"/>
  <c r="Q18" i="2"/>
  <c r="Q16" i="2"/>
  <c r="T16" i="2"/>
  <c r="T12" i="2"/>
  <c r="Q12" i="2"/>
  <c r="T17" i="2"/>
  <c r="Q17" i="2"/>
  <c r="T5" i="2"/>
  <c r="Q5" i="2"/>
  <c r="B38" i="2" s="1"/>
  <c r="R14" i="2"/>
  <c r="C38" i="2" s="1"/>
  <c r="Q7" i="2"/>
  <c r="T7" i="2"/>
  <c r="Q8" i="2"/>
  <c r="T8" i="2"/>
  <c r="Q19" i="2"/>
  <c r="T19" i="2"/>
  <c r="T15" i="2"/>
  <c r="Q15" i="2"/>
  <c r="T6" i="2"/>
  <c r="Q6" i="2"/>
  <c r="Q9" i="2"/>
  <c r="T9" i="2"/>
  <c r="S14" i="2"/>
  <c r="T10" i="2"/>
  <c r="Q10" i="2"/>
  <c r="I28" i="4"/>
  <c r="I30" i="4" s="1"/>
  <c r="H29" i="4"/>
  <c r="K27" i="4"/>
  <c r="K29" i="4" s="1"/>
  <c r="J28" i="4"/>
  <c r="J30" i="4" s="1"/>
  <c r="H36" i="2"/>
  <c r="H38" i="2" s="1"/>
  <c r="H37" i="2"/>
  <c r="I30" i="2"/>
  <c r="J29" i="2"/>
  <c r="J31" i="2" s="1"/>
  <c r="I36" i="2"/>
  <c r="I38" i="2" s="1"/>
  <c r="I37" i="2"/>
  <c r="H31" i="2"/>
  <c r="H32" i="2" s="1"/>
  <c r="G31" i="2"/>
  <c r="G32" i="2" s="1"/>
  <c r="G37" i="2"/>
  <c r="G36" i="2"/>
  <c r="G38" i="2" s="1"/>
  <c r="J35" i="2"/>
  <c r="J37" i="2" s="1"/>
  <c r="G30" i="2"/>
  <c r="H30" i="4"/>
  <c r="G31" i="3"/>
  <c r="J29" i="3"/>
  <c r="J31" i="3" s="1"/>
  <c r="B40" i="2" l="1"/>
  <c r="B39" i="2"/>
  <c r="K34" i="4"/>
  <c r="K36" i="4" s="1"/>
  <c r="K28" i="4"/>
  <c r="K30" i="4" s="1"/>
  <c r="J36" i="2"/>
  <c r="J38" i="2" s="1"/>
  <c r="J30" i="2"/>
  <c r="J32" i="2" s="1"/>
</calcChain>
</file>

<file path=xl/sharedStrings.xml><?xml version="1.0" encoding="utf-8"?>
<sst xmlns="http://schemas.openxmlformats.org/spreadsheetml/2006/main" count="269" uniqueCount="74">
  <si>
    <t>Flakes and crumbles (15-09-20)</t>
  </si>
  <si>
    <t>Flakes</t>
  </si>
  <si>
    <t>Initial weght (mg)</t>
  </si>
  <si>
    <t>Flake 1</t>
  </si>
  <si>
    <t>Session</t>
  </si>
  <si>
    <t>Vol (mL)</t>
  </si>
  <si>
    <t>-</t>
  </si>
  <si>
    <t>Total</t>
  </si>
  <si>
    <t>NTO</t>
  </si>
  <si>
    <t>DNAN</t>
  </si>
  <si>
    <t>RDX</t>
  </si>
  <si>
    <t>Area</t>
  </si>
  <si>
    <t>Standards</t>
  </si>
  <si>
    <t>Conc (ppm)</t>
  </si>
  <si>
    <t>Area (AU)</t>
  </si>
  <si>
    <t>Time (min)</t>
  </si>
  <si>
    <t>lambda (nm)</t>
  </si>
  <si>
    <t>nd</t>
  </si>
  <si>
    <t>Mass (mg)</t>
  </si>
  <si>
    <t>Cummulative (mg)</t>
  </si>
  <si>
    <t>%</t>
  </si>
  <si>
    <t>Mass balance</t>
  </si>
  <si>
    <t xml:space="preserve">InitiL mass </t>
  </si>
  <si>
    <t>diss (mg)</t>
  </si>
  <si>
    <t>initial</t>
  </si>
  <si>
    <t>solid</t>
  </si>
  <si>
    <t>% diss</t>
  </si>
  <si>
    <t>% solid</t>
  </si>
  <si>
    <t>Gravimetry</t>
  </si>
  <si>
    <t>Diss rate</t>
  </si>
  <si>
    <t>NTO 1</t>
  </si>
  <si>
    <t>NTO 2</t>
  </si>
  <si>
    <t>Average</t>
  </si>
  <si>
    <t>Error</t>
  </si>
  <si>
    <t xml:space="preserve">NTO </t>
  </si>
  <si>
    <t>Dissolved (%)</t>
  </si>
  <si>
    <t>Solid (%)</t>
  </si>
  <si>
    <t>R</t>
  </si>
  <si>
    <t>FLAKES</t>
  </si>
  <si>
    <t>Conc 2</t>
  </si>
  <si>
    <t>Area 2</t>
  </si>
  <si>
    <t>1st attemp</t>
  </si>
  <si>
    <t>2nd attemp</t>
  </si>
  <si>
    <t>STANDARDS</t>
  </si>
  <si>
    <t>MASS BALANCE</t>
  </si>
  <si>
    <t>15-50</t>
  </si>
  <si>
    <t>50-100</t>
  </si>
  <si>
    <t>Diss rate (mg/min)</t>
  </si>
  <si>
    <t>0-15</t>
  </si>
  <si>
    <t>1st attempt</t>
  </si>
  <si>
    <t>2nd attempt</t>
  </si>
  <si>
    <t>NTO3</t>
  </si>
  <si>
    <t>DNAN2</t>
  </si>
  <si>
    <t>RDX2</t>
  </si>
  <si>
    <t>DI water</t>
  </si>
  <si>
    <t>error</t>
  </si>
  <si>
    <t>average</t>
  </si>
  <si>
    <t>samples</t>
  </si>
  <si>
    <t>rain</t>
  </si>
  <si>
    <t>Sx1x2</t>
  </si>
  <si>
    <t>t cal</t>
  </si>
  <si>
    <t>95% confident, 2 tails</t>
  </si>
  <si>
    <t>t tab</t>
  </si>
  <si>
    <t>DI</t>
  </si>
  <si>
    <t>T student</t>
  </si>
  <si>
    <t>Values</t>
  </si>
  <si>
    <t>Diff</t>
  </si>
  <si>
    <t>% (M/M)</t>
  </si>
  <si>
    <t>% total</t>
  </si>
  <si>
    <t>Dissolution rate (%/min)</t>
  </si>
  <si>
    <t>Cum (mL)</t>
  </si>
  <si>
    <t>cum</t>
  </si>
  <si>
    <t>Dissolution rate (microg/min)</t>
  </si>
  <si>
    <t>InitiL mass (mg)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</si>
</sst>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
  </numFmts>
  <fonts count="7" x14ac:knownFonts="1">
    <font>
      <sz val="11"/>
      <color theme="1"/>
      <name val="Calibri"/>
      <family val="2"/>
      <scheme val="minor"/>
    </font>
    <font>
      <sz val="14"/>
      <color theme="1"/>
      <name val="Calibri"/>
      <family val="2"/>
      <scheme val="minor"/>
    </font>
    <font>
      <b/>
      <sz val="11"/>
      <color theme="1"/>
      <name val="Calibri"/>
      <family val="2"/>
      <scheme val="minor"/>
    </font>
    <font>
      <b/>
      <sz val="11"/>
      <color theme="5"/>
      <name val="Calibri"/>
      <family val="2"/>
      <scheme val="minor"/>
    </font>
    <font>
      <b/>
      <sz val="11"/>
      <color theme="8"/>
      <name val="Calibri"/>
      <family val="2"/>
      <scheme val="minor"/>
    </font>
    <font>
      <b/>
      <sz val="11"/>
      <color theme="5" tint="-0.249977111117893"/>
      <name val="Calibri"/>
      <family val="2"/>
      <scheme val="minor"/>
    </font>
    <font>
      <sz val="11"/>
      <color rgb="FF00B050"/>
      <name val="Calibri"/>
      <family val="2"/>
      <scheme val="minor"/>
    </font>
  </fonts>
  <fills count="8">
    <fill>
      <patternFill patternType="none"/>
    </fill>
    <fill>
      <patternFill patternType="gray125"/>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7"/>
        <bgColor indexed="64"/>
      </patternFill>
    </fill>
    <fill>
      <patternFill patternType="solid">
        <fgColor theme="7" tint="0.59999389629810485"/>
        <bgColor indexed="64"/>
      </patternFill>
    </fill>
  </fills>
  <borders count="2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93">
    <xf numFmtId="0" fontId="0" fillId="0" borderId="0" xfId="0"/>
    <xf numFmtId="0" fontId="0" fillId="0" borderId="0" xfId="0" applyAlignment="1">
      <alignment horizontal="center"/>
    </xf>
    <xf numFmtId="0" fontId="1" fillId="2" borderId="0" xfId="0" applyFont="1" applyFill="1"/>
    <xf numFmtId="164" fontId="0" fillId="0" borderId="0" xfId="0" applyNumberFormat="1"/>
    <xf numFmtId="164" fontId="0" fillId="0" borderId="0" xfId="0" applyNumberFormat="1" applyBorder="1"/>
    <xf numFmtId="0" fontId="0" fillId="0" borderId="0" xfId="0" applyBorder="1"/>
    <xf numFmtId="0" fontId="0" fillId="0" borderId="2" xfId="0" applyBorder="1"/>
    <xf numFmtId="0" fontId="0" fillId="0" borderId="3" xfId="0" applyBorder="1"/>
    <xf numFmtId="0" fontId="0" fillId="0" borderId="4" xfId="0" applyBorder="1"/>
    <xf numFmtId="2" fontId="0" fillId="0" borderId="0" xfId="0" applyNumberFormat="1"/>
    <xf numFmtId="0" fontId="0" fillId="0" borderId="5" xfId="0" applyBorder="1"/>
    <xf numFmtId="0" fontId="0" fillId="0" borderId="9" xfId="0" applyBorder="1"/>
    <xf numFmtId="2" fontId="0" fillId="0" borderId="5" xfId="0" applyNumberFormat="1" applyBorder="1"/>
    <xf numFmtId="2" fontId="0" fillId="0" borderId="0" xfId="0" applyNumberFormat="1" applyBorder="1"/>
    <xf numFmtId="2" fontId="0" fillId="0" borderId="9" xfId="0" applyNumberFormat="1" applyBorder="1"/>
    <xf numFmtId="2" fontId="0" fillId="0" borderId="10" xfId="0" applyNumberFormat="1" applyBorder="1"/>
    <xf numFmtId="2" fontId="0" fillId="0" borderId="1" xfId="0" applyNumberFormat="1" applyBorder="1"/>
    <xf numFmtId="2" fontId="0" fillId="0" borderId="11" xfId="0" applyNumberFormat="1" applyBorder="1"/>
    <xf numFmtId="0" fontId="0" fillId="0" borderId="6" xfId="0" applyBorder="1"/>
    <xf numFmtId="0" fontId="0" fillId="0" borderId="7" xfId="0" applyBorder="1"/>
    <xf numFmtId="0" fontId="0" fillId="0" borderId="8" xfId="0" applyBorder="1"/>
    <xf numFmtId="0" fontId="2" fillId="0" borderId="0" xfId="0" applyFont="1"/>
    <xf numFmtId="1" fontId="0" fillId="0" borderId="0" xfId="0" applyNumberFormat="1"/>
    <xf numFmtId="164" fontId="2" fillId="0" borderId="0" xfId="0" applyNumberFormat="1" applyFont="1"/>
    <xf numFmtId="165" fontId="0" fillId="0" borderId="0" xfId="0" applyNumberFormat="1"/>
    <xf numFmtId="165" fontId="2" fillId="0" borderId="0" xfId="0" applyNumberFormat="1" applyFont="1"/>
    <xf numFmtId="0" fontId="0" fillId="3" borderId="6" xfId="0" applyFill="1" applyBorder="1"/>
    <xf numFmtId="0" fontId="0" fillId="3" borderId="7" xfId="0" applyFill="1" applyBorder="1"/>
    <xf numFmtId="0" fontId="0" fillId="3" borderId="8" xfId="0" applyFill="1" applyBorder="1"/>
    <xf numFmtId="0" fontId="0" fillId="3" borderId="5" xfId="0" applyFill="1" applyBorder="1"/>
    <xf numFmtId="0" fontId="0" fillId="3" borderId="0" xfId="0" applyFill="1" applyBorder="1"/>
    <xf numFmtId="0" fontId="0" fillId="3" borderId="9" xfId="0" applyFill="1" applyBorder="1"/>
    <xf numFmtId="0" fontId="0" fillId="3" borderId="10" xfId="0" applyFill="1" applyBorder="1"/>
    <xf numFmtId="0" fontId="0" fillId="3" borderId="1" xfId="0" applyFill="1" applyBorder="1"/>
    <xf numFmtId="0" fontId="0" fillId="3" borderId="11" xfId="0" applyFill="1" applyBorder="1"/>
    <xf numFmtId="0" fontId="2" fillId="0" borderId="0" xfId="0" applyFont="1" applyAlignment="1">
      <alignment horizontal="center"/>
    </xf>
    <xf numFmtId="164" fontId="2" fillId="0" borderId="0" xfId="0" applyNumberFormat="1" applyFont="1" applyAlignment="1">
      <alignment horizontal="center"/>
    </xf>
    <xf numFmtId="0" fontId="0" fillId="2" borderId="0" xfId="0" applyFill="1"/>
    <xf numFmtId="164" fontId="0" fillId="0" borderId="0" xfId="0" applyNumberFormat="1" applyFont="1"/>
    <xf numFmtId="164" fontId="0" fillId="0" borderId="10" xfId="0" applyNumberFormat="1" applyBorder="1"/>
    <xf numFmtId="164" fontId="0" fillId="0" borderId="1" xfId="0" applyNumberFormat="1" applyBorder="1"/>
    <xf numFmtId="164" fontId="0" fillId="0" borderId="11" xfId="0" applyNumberFormat="1" applyBorder="1"/>
    <xf numFmtId="2" fontId="0" fillId="0" borderId="6" xfId="0" applyNumberFormat="1" applyBorder="1"/>
    <xf numFmtId="2" fontId="0" fillId="0" borderId="7" xfId="0" applyNumberFormat="1" applyBorder="1"/>
    <xf numFmtId="2" fontId="0" fillId="0" borderId="8" xfId="0" applyNumberFormat="1" applyBorder="1"/>
    <xf numFmtId="0" fontId="0" fillId="0" borderId="10" xfId="0" applyBorder="1"/>
    <xf numFmtId="0" fontId="0" fillId="0" borderId="1" xfId="0" applyBorder="1"/>
    <xf numFmtId="164" fontId="0" fillId="0" borderId="5" xfId="0" applyNumberFormat="1" applyBorder="1"/>
    <xf numFmtId="164" fontId="0" fillId="0" borderId="9" xfId="0" applyNumberFormat="1" applyBorder="1"/>
    <xf numFmtId="164" fontId="0" fillId="0" borderId="6" xfId="0" applyNumberFormat="1" applyBorder="1"/>
    <xf numFmtId="164" fontId="0" fillId="0" borderId="8" xfId="0" applyNumberFormat="1" applyBorder="1"/>
    <xf numFmtId="0" fontId="0" fillId="0" borderId="11" xfId="0" applyBorder="1"/>
    <xf numFmtId="0" fontId="0" fillId="0" borderId="0" xfId="0" applyFill="1" applyBorder="1"/>
    <xf numFmtId="164" fontId="3" fillId="0" borderId="0" xfId="0" applyNumberFormat="1" applyFont="1"/>
    <xf numFmtId="0" fontId="3" fillId="0" borderId="0" xfId="0" applyFont="1"/>
    <xf numFmtId="164" fontId="4" fillId="0" borderId="0" xfId="0" applyNumberFormat="1" applyFont="1"/>
    <xf numFmtId="0" fontId="5" fillId="0" borderId="0" xfId="0" applyFont="1"/>
    <xf numFmtId="164" fontId="5" fillId="0" borderId="0" xfId="0" applyNumberFormat="1" applyFont="1"/>
    <xf numFmtId="0" fontId="0" fillId="3" borderId="12" xfId="0" applyFill="1" applyBorder="1"/>
    <xf numFmtId="0" fontId="2" fillId="3" borderId="15" xfId="0" applyFont="1" applyFill="1" applyBorder="1"/>
    <xf numFmtId="0" fontId="0" fillId="3" borderId="0" xfId="0" applyFont="1" applyFill="1" applyBorder="1" applyAlignment="1">
      <alignment horizontal="center"/>
    </xf>
    <xf numFmtId="0" fontId="0" fillId="3" borderId="16" xfId="0" applyFont="1" applyFill="1" applyBorder="1" applyAlignment="1">
      <alignment horizontal="center"/>
    </xf>
    <xf numFmtId="0" fontId="0" fillId="3" borderId="15" xfId="0" applyFill="1" applyBorder="1"/>
    <xf numFmtId="0" fontId="0" fillId="3" borderId="16" xfId="0" applyFill="1" applyBorder="1"/>
    <xf numFmtId="0" fontId="0" fillId="3" borderId="17" xfId="0" applyFill="1" applyBorder="1"/>
    <xf numFmtId="0" fontId="0" fillId="3" borderId="18" xfId="0" applyFill="1" applyBorder="1"/>
    <xf numFmtId="0" fontId="0" fillId="3" borderId="19" xfId="0" applyFill="1" applyBorder="1"/>
    <xf numFmtId="0" fontId="0" fillId="3" borderId="13" xfId="0" applyFill="1" applyBorder="1"/>
    <xf numFmtId="0" fontId="0" fillId="3" borderId="14" xfId="0" applyFill="1" applyBorder="1"/>
    <xf numFmtId="165" fontId="0" fillId="3" borderId="13" xfId="0" applyNumberFormat="1" applyFill="1" applyBorder="1"/>
    <xf numFmtId="166" fontId="0" fillId="3" borderId="16" xfId="0" applyNumberFormat="1" applyFill="1" applyBorder="1"/>
    <xf numFmtId="166" fontId="0" fillId="3" borderId="19" xfId="0" applyNumberFormat="1" applyFill="1" applyBorder="1"/>
    <xf numFmtId="165" fontId="0" fillId="0" borderId="0" xfId="0" applyNumberFormat="1" applyFill="1" applyBorder="1"/>
    <xf numFmtId="1" fontId="0" fillId="0" borderId="0" xfId="0" applyNumberFormat="1" applyAlignment="1">
      <alignment horizontal="center"/>
    </xf>
    <xf numFmtId="0" fontId="6" fillId="0" borderId="0" xfId="0" applyFont="1"/>
    <xf numFmtId="165" fontId="0" fillId="0" borderId="0" xfId="0" applyNumberFormat="1" applyFill="1"/>
    <xf numFmtId="165" fontId="0" fillId="0" borderId="0" xfId="0" applyNumberFormat="1" applyAlignment="1">
      <alignment horizontal="center"/>
    </xf>
    <xf numFmtId="0" fontId="0" fillId="4" borderId="0" xfId="0" applyFill="1" applyAlignment="1"/>
    <xf numFmtId="164" fontId="0" fillId="0" borderId="7" xfId="0" applyNumberFormat="1" applyBorder="1"/>
    <xf numFmtId="0" fontId="0" fillId="6" borderId="0" xfId="0" applyFill="1"/>
    <xf numFmtId="0" fontId="0" fillId="7" borderId="0" xfId="0" applyFill="1"/>
    <xf numFmtId="0" fontId="0" fillId="7" borderId="0" xfId="0" applyFill="1" applyBorder="1"/>
    <xf numFmtId="164" fontId="0" fillId="0" borderId="0" xfId="0" applyNumberFormat="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3" borderId="20" xfId="0" applyFill="1" applyBorder="1" applyAlignment="1">
      <alignment horizontal="center"/>
    </xf>
    <xf numFmtId="0" fontId="0" fillId="3" borderId="21" xfId="0" applyFill="1" applyBorder="1" applyAlignment="1">
      <alignment horizontal="center"/>
    </xf>
    <xf numFmtId="0" fontId="0" fillId="3" borderId="22" xfId="0" applyFill="1" applyBorder="1" applyAlignment="1">
      <alignment horizontal="center"/>
    </xf>
    <xf numFmtId="0" fontId="0" fillId="5" borderId="0" xfId="0"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Dissolution rate of IMX-104 compounds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525303808850516E-2"/>
          <c:y val="0.1734126677518445"/>
          <c:w val="0.87350735603779384"/>
          <c:h val="0.77600298326501738"/>
        </c:manualLayout>
      </c:layout>
      <c:scatterChart>
        <c:scatterStyle val="lineMarker"/>
        <c:varyColors val="0"/>
        <c:ser>
          <c:idx val="0"/>
          <c:order val="0"/>
          <c:tx>
            <c:v>NTO1</c:v>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Sample4!$A$4:$A$8</c:f>
              <c:numCache>
                <c:formatCode>General</c:formatCode>
                <c:ptCount val="5"/>
                <c:pt idx="0">
                  <c:v>0</c:v>
                </c:pt>
                <c:pt idx="1">
                  <c:v>1</c:v>
                </c:pt>
                <c:pt idx="2">
                  <c:v>2</c:v>
                </c:pt>
                <c:pt idx="3">
                  <c:v>3</c:v>
                </c:pt>
                <c:pt idx="4">
                  <c:v>4</c:v>
                </c:pt>
              </c:numCache>
            </c:numRef>
          </c:xVal>
          <c:yVal>
            <c:numRef>
              <c:f>Sample4!$N$4:$N$7</c:f>
              <c:numCache>
                <c:formatCode>0.00</c:formatCode>
                <c:ptCount val="4"/>
                <c:pt idx="0" formatCode="General">
                  <c:v>0</c:v>
                </c:pt>
                <c:pt idx="1">
                  <c:v>1.0632148852197261</c:v>
                </c:pt>
                <c:pt idx="2">
                  <c:v>1.7973517145911093</c:v>
                </c:pt>
                <c:pt idx="3">
                  <c:v>2.3641644139920874</c:v>
                </c:pt>
              </c:numCache>
            </c:numRef>
          </c:yVal>
          <c:smooth val="0"/>
          <c:extLst>
            <c:ext xmlns:c16="http://schemas.microsoft.com/office/drawing/2014/chart" uri="{C3380CC4-5D6E-409C-BE32-E72D297353CC}">
              <c16:uniqueId val="{00000000-056C-4018-9BF3-C4DC9E14ED2B}"/>
            </c:ext>
          </c:extLst>
        </c:ser>
        <c:ser>
          <c:idx val="1"/>
          <c:order val="1"/>
          <c:spPr>
            <a:ln w="1905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0.16239391951006124"/>
                  <c:y val="-0.10452354913969084"/>
                </c:manualLayout>
              </c:layout>
              <c:numFmt formatCode="General" sourceLinked="0"/>
              <c:spPr>
                <a:solidFill>
                  <a:schemeClr val="lt1"/>
                </a:solidFill>
                <a:ln w="12700" cap="flat" cmpd="sng" algn="ctr">
                  <a:solidFill>
                    <a:schemeClr val="accent2"/>
                  </a:solidFill>
                  <a:prstDash val="solid"/>
                  <a:miter lim="800000"/>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rendlineLbl>
          </c:trendline>
          <c:xVal>
            <c:numRef>
              <c:f>Sample4!$A$4:$A$14</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Sample4!$O$4:$O$14</c:f>
              <c:numCache>
                <c:formatCode>0.00</c:formatCode>
                <c:ptCount val="11"/>
                <c:pt idx="0" formatCode="General">
                  <c:v>0</c:v>
                </c:pt>
                <c:pt idx="1">
                  <c:v>8.3257132095290884E-2</c:v>
                </c:pt>
                <c:pt idx="2">
                  <c:v>0.16927272092585272</c:v>
                </c:pt>
                <c:pt idx="3">
                  <c:v>0.24662846344627087</c:v>
                </c:pt>
                <c:pt idx="4">
                  <c:v>0.31718991843349875</c:v>
                </c:pt>
                <c:pt idx="5">
                  <c:v>0.39553860766645532</c:v>
                </c:pt>
                <c:pt idx="6">
                  <c:v>0.46715992095343944</c:v>
                </c:pt>
                <c:pt idx="7">
                  <c:v>0.52878485552782151</c:v>
                </c:pt>
                <c:pt idx="8">
                  <c:v>0.57751178509945811</c:v>
                </c:pt>
                <c:pt idx="9">
                  <c:v>0.64750873995007874</c:v>
                </c:pt>
                <c:pt idx="10">
                  <c:v>0.69750459997931002</c:v>
                </c:pt>
              </c:numCache>
            </c:numRef>
          </c:yVal>
          <c:smooth val="0"/>
          <c:extLst>
            <c:ext xmlns:c16="http://schemas.microsoft.com/office/drawing/2014/chart" uri="{C3380CC4-5D6E-409C-BE32-E72D297353CC}">
              <c16:uniqueId val="{00000001-056C-4018-9BF3-C4DC9E14ED2B}"/>
            </c:ext>
          </c:extLst>
        </c:ser>
        <c:ser>
          <c:idx val="2"/>
          <c:order val="2"/>
          <c:spPr>
            <a:ln w="1905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1"/>
            <c:dispEq val="1"/>
            <c:trendlineLbl>
              <c:layout>
                <c:manualLayout>
                  <c:x val="0.17628280839895014"/>
                  <c:y val="8.4474701079031878E-2"/>
                </c:manualLayout>
              </c:layout>
              <c:numFmt formatCode="General" sourceLinked="0"/>
              <c:spPr>
                <a:solidFill>
                  <a:schemeClr val="lt1"/>
                </a:solidFill>
                <a:ln w="12700" cap="flat" cmpd="sng" algn="ctr">
                  <a:solidFill>
                    <a:schemeClr val="accent3"/>
                  </a:solidFill>
                  <a:prstDash val="solid"/>
                  <a:miter lim="800000"/>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rendlineLbl>
          </c:trendline>
          <c:xVal>
            <c:numRef>
              <c:f>Sample4!$A$4:$A$14</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Sample4!$P$4:$P$14</c:f>
              <c:numCache>
                <c:formatCode>0.00</c:formatCode>
                <c:ptCount val="11"/>
                <c:pt idx="0" formatCode="General">
                  <c:v>0</c:v>
                </c:pt>
                <c:pt idx="1">
                  <c:v>7.3188312976089978E-2</c:v>
                </c:pt>
                <c:pt idx="2">
                  <c:v>0.10627112441140277</c:v>
                </c:pt>
                <c:pt idx="3">
                  <c:v>0.13280877531095223</c:v>
                </c:pt>
                <c:pt idx="4">
                  <c:v>0.15893477325658262</c:v>
                </c:pt>
                <c:pt idx="5">
                  <c:v>0.22040079276292371</c:v>
                </c:pt>
                <c:pt idx="6">
                  <c:v>0.25475580206860782</c:v>
                </c:pt>
                <c:pt idx="7">
                  <c:v>0.27892553774649892</c:v>
                </c:pt>
                <c:pt idx="8">
                  <c:v>0.33806755977503633</c:v>
                </c:pt>
                <c:pt idx="9">
                  <c:v>0.36629108535804</c:v>
                </c:pt>
                <c:pt idx="10">
                  <c:v>0.39800769066482244</c:v>
                </c:pt>
              </c:numCache>
            </c:numRef>
          </c:yVal>
          <c:smooth val="0"/>
          <c:extLst>
            <c:ext xmlns:c16="http://schemas.microsoft.com/office/drawing/2014/chart" uri="{C3380CC4-5D6E-409C-BE32-E72D297353CC}">
              <c16:uniqueId val="{00000002-056C-4018-9BF3-C4DC9E14ED2B}"/>
            </c:ext>
          </c:extLst>
        </c:ser>
        <c:ser>
          <c:idx val="3"/>
          <c:order val="3"/>
          <c:tx>
            <c:v>NTO2</c:v>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1"/>
            <c:dispEq val="1"/>
            <c:trendlineLbl>
              <c:layout>
                <c:manualLayout>
                  <c:x val="-0.13707611548556425"/>
                  <c:y val="-4.0958742756519803E-4"/>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Sample4!$A$7:$A$14</c:f>
              <c:numCache>
                <c:formatCode>General</c:formatCode>
                <c:ptCount val="8"/>
                <c:pt idx="0">
                  <c:v>3</c:v>
                </c:pt>
                <c:pt idx="1">
                  <c:v>4</c:v>
                </c:pt>
                <c:pt idx="2">
                  <c:v>5</c:v>
                </c:pt>
                <c:pt idx="3">
                  <c:v>6</c:v>
                </c:pt>
                <c:pt idx="4">
                  <c:v>7</c:v>
                </c:pt>
                <c:pt idx="5">
                  <c:v>8</c:v>
                </c:pt>
                <c:pt idx="6">
                  <c:v>9</c:v>
                </c:pt>
                <c:pt idx="7">
                  <c:v>10</c:v>
                </c:pt>
              </c:numCache>
            </c:numRef>
          </c:xVal>
          <c:yVal>
            <c:numRef>
              <c:f>Sample4!$N$7:$N$14</c:f>
              <c:numCache>
                <c:formatCode>0.00</c:formatCode>
                <c:ptCount val="8"/>
                <c:pt idx="0">
                  <c:v>2.3641644139920874</c:v>
                </c:pt>
                <c:pt idx="1">
                  <c:v>2.7474508208335449</c:v>
                </c:pt>
                <c:pt idx="2">
                  <c:v>3.0862838972235496</c:v>
                </c:pt>
                <c:pt idx="3">
                  <c:v>3.3360209590336325</c:v>
                </c:pt>
                <c:pt idx="4">
                  <c:v>3.545923417304504</c:v>
                </c:pt>
                <c:pt idx="5">
                  <c:v>3.7117178901634338</c:v>
                </c:pt>
                <c:pt idx="6">
                  <c:v>3.9289977279902768</c:v>
                </c:pt>
                <c:pt idx="7">
                  <c:v>4.132642698452103</c:v>
                </c:pt>
              </c:numCache>
            </c:numRef>
          </c:yVal>
          <c:smooth val="0"/>
          <c:extLst>
            <c:ext xmlns:c16="http://schemas.microsoft.com/office/drawing/2014/chart" uri="{C3380CC4-5D6E-409C-BE32-E72D297353CC}">
              <c16:uniqueId val="{00000004-056C-4018-9BF3-C4DC9E14ED2B}"/>
            </c:ext>
          </c:extLst>
        </c:ser>
        <c:dLbls>
          <c:showLegendKey val="0"/>
          <c:showVal val="0"/>
          <c:showCatName val="0"/>
          <c:showSerName val="0"/>
          <c:showPercent val="0"/>
          <c:showBubbleSize val="0"/>
        </c:dLbls>
        <c:axId val="990605536"/>
        <c:axId val="990605952"/>
      </c:scatterChart>
      <c:valAx>
        <c:axId val="9906055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Session</a:t>
                </a:r>
              </a:p>
            </c:rich>
          </c:tx>
          <c:layout>
            <c:manualLayout>
              <c:xMode val="edge"/>
              <c:yMode val="edge"/>
              <c:x val="0.48506124234470693"/>
              <c:y val="0.8716396720003812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0605952"/>
        <c:crosses val="autoZero"/>
        <c:crossBetween val="midCat"/>
      </c:valAx>
      <c:valAx>
        <c:axId val="99060595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Mass (mg)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06055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IMX compounds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Dissolved (%)</c:v>
          </c:tx>
          <c:spPr>
            <a:solidFill>
              <a:schemeClr val="accent5">
                <a:lumMod val="20000"/>
                <a:lumOff val="80000"/>
              </a:schemeClr>
            </a:solidFill>
            <a:ln>
              <a:noFill/>
            </a:ln>
            <a:effectLst/>
          </c:spPr>
          <c:invertIfNegative val="0"/>
          <c:cat>
            <c:strRef>
              <c:f>Sample6!$H$23:$J$23</c:f>
              <c:strCache>
                <c:ptCount val="3"/>
                <c:pt idx="0">
                  <c:v>NTO</c:v>
                </c:pt>
                <c:pt idx="1">
                  <c:v>DNAN</c:v>
                </c:pt>
                <c:pt idx="2">
                  <c:v>RDX</c:v>
                </c:pt>
              </c:strCache>
            </c:strRef>
          </c:cat>
          <c:val>
            <c:numRef>
              <c:f>Sample6!$H$29:$J$29</c:f>
              <c:numCache>
                <c:formatCode>0</c:formatCode>
                <c:ptCount val="3"/>
                <c:pt idx="0">
                  <c:v>28.181700659681226</c:v>
                </c:pt>
                <c:pt idx="1">
                  <c:v>6.000537430921586</c:v>
                </c:pt>
                <c:pt idx="2">
                  <c:v>4.0920514958747649</c:v>
                </c:pt>
              </c:numCache>
            </c:numRef>
          </c:val>
          <c:extLst>
            <c:ext xmlns:c16="http://schemas.microsoft.com/office/drawing/2014/chart" uri="{C3380CC4-5D6E-409C-BE32-E72D297353CC}">
              <c16:uniqueId val="{00000000-4F41-46DD-A387-BBB7ADF78AAF}"/>
            </c:ext>
          </c:extLst>
        </c:ser>
        <c:ser>
          <c:idx val="1"/>
          <c:order val="1"/>
          <c:tx>
            <c:v>Remaining (%)</c:v>
          </c:tx>
          <c:spPr>
            <a:solidFill>
              <a:schemeClr val="accent4">
                <a:lumMod val="75000"/>
              </a:schemeClr>
            </a:solidFill>
            <a:ln>
              <a:noFill/>
            </a:ln>
            <a:effectLst/>
          </c:spPr>
          <c:invertIfNegative val="0"/>
          <c:cat>
            <c:strRef>
              <c:f>Sample6!$H$23:$J$23</c:f>
              <c:strCache>
                <c:ptCount val="3"/>
                <c:pt idx="0">
                  <c:v>NTO</c:v>
                </c:pt>
                <c:pt idx="1">
                  <c:v>DNAN</c:v>
                </c:pt>
                <c:pt idx="2">
                  <c:v>RDX</c:v>
                </c:pt>
              </c:strCache>
            </c:strRef>
          </c:cat>
          <c:val>
            <c:numRef>
              <c:f>Sample6!$H$30:$J$30</c:f>
              <c:numCache>
                <c:formatCode>0</c:formatCode>
                <c:ptCount val="3"/>
                <c:pt idx="0">
                  <c:v>71.818299340318774</c:v>
                </c:pt>
                <c:pt idx="1">
                  <c:v>93.999462569078418</c:v>
                </c:pt>
                <c:pt idx="2">
                  <c:v>95.90794850412523</c:v>
                </c:pt>
              </c:numCache>
            </c:numRef>
          </c:val>
          <c:extLst>
            <c:ext xmlns:c16="http://schemas.microsoft.com/office/drawing/2014/chart" uri="{C3380CC4-5D6E-409C-BE32-E72D297353CC}">
              <c16:uniqueId val="{00000001-4F41-46DD-A387-BBB7ADF78AAF}"/>
            </c:ext>
          </c:extLst>
        </c:ser>
        <c:dLbls>
          <c:showLegendKey val="0"/>
          <c:showVal val="0"/>
          <c:showCatName val="0"/>
          <c:showSerName val="0"/>
          <c:showPercent val="0"/>
          <c:showBubbleSize val="0"/>
        </c:dLbls>
        <c:gapWidth val="219"/>
        <c:overlap val="-27"/>
        <c:axId val="1077287216"/>
        <c:axId val="1077289712"/>
      </c:barChart>
      <c:catAx>
        <c:axId val="10772872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Compounds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7289712"/>
        <c:crosses val="autoZero"/>
        <c:auto val="1"/>
        <c:lblAlgn val="ctr"/>
        <c:lblOffset val="100"/>
        <c:noMultiLvlLbl val="0"/>
      </c:catAx>
      <c:valAx>
        <c:axId val="10772897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7287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Dissolution rate of IMX-104 compounds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910849826204157"/>
          <c:y val="7.5480514746873409E-2"/>
          <c:w val="0.8580987089451656"/>
          <c:h val="0.80831546377928754"/>
        </c:manualLayout>
      </c:layout>
      <c:scatterChart>
        <c:scatterStyle val="lineMarker"/>
        <c:varyColors val="0"/>
        <c:ser>
          <c:idx val="1"/>
          <c:order val="0"/>
          <c:spPr>
            <a:ln w="1905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0.16239391951006124"/>
                  <c:y val="-0.10452354913969084"/>
                </c:manualLayout>
              </c:layout>
              <c:numFmt formatCode="General" sourceLinked="0"/>
              <c:spPr>
                <a:solidFill>
                  <a:schemeClr val="lt1"/>
                </a:solidFill>
                <a:ln w="12700" cap="flat" cmpd="sng" algn="ctr">
                  <a:solidFill>
                    <a:schemeClr val="accent2"/>
                  </a:solidFill>
                  <a:prstDash val="solid"/>
                  <a:miter lim="800000"/>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rendlineLbl>
          </c:trendline>
          <c:xVal>
            <c:numRef>
              <c:f>Sample6!$A$4:$A$14</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Sample6!$O$4:$O$14</c:f>
              <c:numCache>
                <c:formatCode>0.00</c:formatCode>
                <c:ptCount val="11"/>
                <c:pt idx="0" formatCode="General">
                  <c:v>0</c:v>
                </c:pt>
                <c:pt idx="1">
                  <c:v>6.3384957029085504E-2</c:v>
                </c:pt>
                <c:pt idx="2">
                  <c:v>0.13332809053770683</c:v>
                </c:pt>
                <c:pt idx="3">
                  <c:v>0.20086978764436814</c:v>
                </c:pt>
                <c:pt idx="4">
                  <c:v>0.26350866312106824</c:v>
                </c:pt>
                <c:pt idx="5">
                  <c:v>0.32396258548006823</c:v>
                </c:pt>
                <c:pt idx="6">
                  <c:v>0.38581938042568908</c:v>
                </c:pt>
                <c:pt idx="7">
                  <c:v>0.45408062207325151</c:v>
                </c:pt>
                <c:pt idx="8">
                  <c:v>0.51804776198133395</c:v>
                </c:pt>
                <c:pt idx="9">
                  <c:v>0.58253172106389683</c:v>
                </c:pt>
                <c:pt idx="10">
                  <c:v>0.6586189884179533</c:v>
                </c:pt>
              </c:numCache>
            </c:numRef>
          </c:yVal>
          <c:smooth val="0"/>
          <c:extLst>
            <c:ext xmlns:c16="http://schemas.microsoft.com/office/drawing/2014/chart" uri="{C3380CC4-5D6E-409C-BE32-E72D297353CC}">
              <c16:uniqueId val="{00000001-7698-4833-A370-09412088A684}"/>
            </c:ext>
          </c:extLst>
        </c:ser>
        <c:ser>
          <c:idx val="2"/>
          <c:order val="1"/>
          <c:spPr>
            <a:ln w="1905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1"/>
            <c:dispEq val="1"/>
            <c:trendlineLbl>
              <c:layout>
                <c:manualLayout>
                  <c:x val="0.17628280839895014"/>
                  <c:y val="8.4474701079031878E-2"/>
                </c:manualLayout>
              </c:layout>
              <c:numFmt formatCode="General" sourceLinked="0"/>
              <c:spPr>
                <a:solidFill>
                  <a:schemeClr val="lt1"/>
                </a:solidFill>
                <a:ln w="12700" cap="flat" cmpd="sng" algn="ctr">
                  <a:solidFill>
                    <a:schemeClr val="accent3"/>
                  </a:solidFill>
                  <a:prstDash val="solid"/>
                  <a:miter lim="800000"/>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rendlineLbl>
          </c:trendline>
          <c:xVal>
            <c:numRef>
              <c:f>Sample6!$A$4:$A$14</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Sample6!$P$4:$P$14</c:f>
              <c:numCache>
                <c:formatCode>0.00</c:formatCode>
                <c:ptCount val="11"/>
                <c:pt idx="0" formatCode="General">
                  <c:v>0</c:v>
                </c:pt>
                <c:pt idx="1">
                  <c:v>1.9428142221238308E-2</c:v>
                </c:pt>
                <c:pt idx="2">
                  <c:v>3.2466982924701598E-2</c:v>
                </c:pt>
                <c:pt idx="3">
                  <c:v>5.6952609787659085E-2</c:v>
                </c:pt>
                <c:pt idx="4">
                  <c:v>8.182885538310708E-2</c:v>
                </c:pt>
                <c:pt idx="5">
                  <c:v>0.10288114917627959</c:v>
                </c:pt>
                <c:pt idx="6">
                  <c:v>0.1184161107113961</c:v>
                </c:pt>
                <c:pt idx="7">
                  <c:v>0.14255139746519185</c:v>
                </c:pt>
                <c:pt idx="8">
                  <c:v>0.15870941895492532</c:v>
                </c:pt>
                <c:pt idx="9">
                  <c:v>0.18680942290815075</c:v>
                </c:pt>
                <c:pt idx="10">
                  <c:v>0.21053604946275664</c:v>
                </c:pt>
              </c:numCache>
            </c:numRef>
          </c:yVal>
          <c:smooth val="0"/>
          <c:extLst>
            <c:ext xmlns:c16="http://schemas.microsoft.com/office/drawing/2014/chart" uri="{C3380CC4-5D6E-409C-BE32-E72D297353CC}">
              <c16:uniqueId val="{00000002-7698-4833-A370-09412088A684}"/>
            </c:ext>
          </c:extLst>
        </c:ser>
        <c:dLbls>
          <c:showLegendKey val="0"/>
          <c:showVal val="0"/>
          <c:showCatName val="0"/>
          <c:showSerName val="0"/>
          <c:showPercent val="0"/>
          <c:showBubbleSize val="0"/>
        </c:dLbls>
        <c:axId val="990605536"/>
        <c:axId val="990605952"/>
      </c:scatterChart>
      <c:valAx>
        <c:axId val="9906055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Session</a:t>
                </a:r>
              </a:p>
            </c:rich>
          </c:tx>
          <c:layout>
            <c:manualLayout>
              <c:xMode val="edge"/>
              <c:yMode val="edge"/>
              <c:x val="0.48506124234470693"/>
              <c:y val="0.8716396720003812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0605952"/>
        <c:crosses val="autoZero"/>
        <c:crossBetween val="midCat"/>
      </c:valAx>
      <c:valAx>
        <c:axId val="99060595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Mass (mg)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06055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Average dissolution rate - Flakes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Dissolution rate</c:v>
          </c:tx>
          <c:spPr>
            <a:solidFill>
              <a:schemeClr val="accent1"/>
            </a:solidFill>
            <a:ln>
              <a:noFill/>
            </a:ln>
            <a:effectLst/>
          </c:spPr>
          <c:invertIfNegative val="0"/>
          <c:errBars>
            <c:errBarType val="both"/>
            <c:errValType val="cust"/>
            <c:noEndCap val="0"/>
            <c:plus>
              <c:numRef>
                <c:f>'Average-15s'!$B$9:$G$9</c:f>
                <c:numCache>
                  <c:formatCode>General</c:formatCode>
                  <c:ptCount val="6"/>
                  <c:pt idx="0">
                    <c:v>0.30858745504614998</c:v>
                  </c:pt>
                  <c:pt idx="1">
                    <c:v>0.50309912777993082</c:v>
                  </c:pt>
                  <c:pt idx="2">
                    <c:v>0.3355770015709949</c:v>
                  </c:pt>
                  <c:pt idx="3">
                    <c:v>0.13499583842570892</c:v>
                  </c:pt>
                  <c:pt idx="4">
                    <c:v>9.0519075714658295E-2</c:v>
                  </c:pt>
                  <c:pt idx="5">
                    <c:v>5.7878120045582189E-2</c:v>
                  </c:pt>
                </c:numCache>
              </c:numRef>
            </c:plus>
            <c:minus>
              <c:numRef>
                <c:f>'Average-15s'!$B$9:$G$9</c:f>
                <c:numCache>
                  <c:formatCode>General</c:formatCode>
                  <c:ptCount val="6"/>
                  <c:pt idx="0">
                    <c:v>0.30858745504614998</c:v>
                  </c:pt>
                  <c:pt idx="1">
                    <c:v>0.50309912777993082</c:v>
                  </c:pt>
                  <c:pt idx="2">
                    <c:v>0.3355770015709949</c:v>
                  </c:pt>
                  <c:pt idx="3">
                    <c:v>0.13499583842570892</c:v>
                  </c:pt>
                  <c:pt idx="4">
                    <c:v>9.0519075714658295E-2</c:v>
                  </c:pt>
                  <c:pt idx="5">
                    <c:v>5.7878120045582189E-2</c:v>
                  </c:pt>
                </c:numCache>
              </c:numRef>
            </c:minus>
            <c:spPr>
              <a:noFill/>
              <a:ln w="9525" cap="flat" cmpd="sng" algn="ctr">
                <a:solidFill>
                  <a:schemeClr val="tx1">
                    <a:lumMod val="65000"/>
                    <a:lumOff val="35000"/>
                  </a:schemeClr>
                </a:solidFill>
                <a:round/>
              </a:ln>
              <a:effectLst/>
            </c:spPr>
          </c:errBars>
          <c:cat>
            <c:strRef>
              <c:f>'Average-15s'!$B$4:$G$4</c:f>
              <c:strCache>
                <c:ptCount val="6"/>
                <c:pt idx="0">
                  <c:v>NTO 1</c:v>
                </c:pt>
                <c:pt idx="1">
                  <c:v>NTO 2</c:v>
                </c:pt>
                <c:pt idx="2">
                  <c:v>NTO3</c:v>
                </c:pt>
                <c:pt idx="3">
                  <c:v>DNAN</c:v>
                </c:pt>
                <c:pt idx="4">
                  <c:v>DNAN2</c:v>
                </c:pt>
                <c:pt idx="5">
                  <c:v>RDX</c:v>
                </c:pt>
              </c:strCache>
            </c:strRef>
          </c:cat>
          <c:val>
            <c:numRef>
              <c:f>'Average-15s'!$B$8:$G$8</c:f>
              <c:numCache>
                <c:formatCode>0.000</c:formatCode>
                <c:ptCount val="6"/>
                <c:pt idx="0">
                  <c:v>4.4221219563146539</c:v>
                </c:pt>
                <c:pt idx="1">
                  <c:v>1.7875286916017663</c:v>
                </c:pt>
                <c:pt idx="2">
                  <c:v>1.1230252483923595</c:v>
                </c:pt>
                <c:pt idx="3">
                  <c:v>0.43923551052628335</c:v>
                </c:pt>
                <c:pt idx="4">
                  <c:v>0.3497611624141076</c:v>
                </c:pt>
                <c:pt idx="5">
                  <c:v>0.18342755123625112</c:v>
                </c:pt>
              </c:numCache>
            </c:numRef>
          </c:val>
          <c:extLst>
            <c:ext xmlns:c16="http://schemas.microsoft.com/office/drawing/2014/chart" uri="{C3380CC4-5D6E-409C-BE32-E72D297353CC}">
              <c16:uniqueId val="{00000000-A637-4F87-8172-85AD82A19721}"/>
            </c:ext>
          </c:extLst>
        </c:ser>
        <c:dLbls>
          <c:showLegendKey val="0"/>
          <c:showVal val="0"/>
          <c:showCatName val="0"/>
          <c:showSerName val="0"/>
          <c:showPercent val="0"/>
          <c:showBubbleSize val="0"/>
        </c:dLbls>
        <c:gapWidth val="219"/>
        <c:overlap val="-27"/>
        <c:axId val="73822384"/>
        <c:axId val="73831952"/>
      </c:barChart>
      <c:catAx>
        <c:axId val="738223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Compounds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831952"/>
        <c:crosses val="autoZero"/>
        <c:auto val="1"/>
        <c:lblAlgn val="ctr"/>
        <c:lblOffset val="100"/>
        <c:noMultiLvlLbl val="0"/>
      </c:catAx>
      <c:valAx>
        <c:axId val="73831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Dissolution rate (mg/min)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8223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Individual dissolution rates - Flakes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NTO 1</c:v>
          </c:tx>
          <c:spPr>
            <a:solidFill>
              <a:schemeClr val="accent1"/>
            </a:solidFill>
            <a:ln>
              <a:noFill/>
            </a:ln>
            <a:effectLst/>
          </c:spPr>
          <c:invertIfNegative val="0"/>
          <c:val>
            <c:numRef>
              <c:f>'Average-15s'!$B$5:$B$7</c:f>
              <c:numCache>
                <c:formatCode>General</c:formatCode>
                <c:ptCount val="3"/>
                <c:pt idx="0">
                  <c:v>3.9986034157356801E-3</c:v>
                </c:pt>
                <c:pt idx="1">
                  <c:v>4.5427035952618983E-3</c:v>
                </c:pt>
                <c:pt idx="2">
                  <c:v>4.7250588579463822E-3</c:v>
                </c:pt>
              </c:numCache>
            </c:numRef>
          </c:val>
          <c:extLst>
            <c:ext xmlns:c16="http://schemas.microsoft.com/office/drawing/2014/chart" uri="{C3380CC4-5D6E-409C-BE32-E72D297353CC}">
              <c16:uniqueId val="{00000000-6DB1-4111-A0B3-1076BEB6D32E}"/>
            </c:ext>
          </c:extLst>
        </c:ser>
        <c:ser>
          <c:idx val="1"/>
          <c:order val="1"/>
          <c:tx>
            <c:v>NTO 2</c:v>
          </c:tx>
          <c:spPr>
            <a:solidFill>
              <a:schemeClr val="accent5"/>
            </a:solidFill>
            <a:ln>
              <a:noFill/>
            </a:ln>
            <a:effectLst/>
          </c:spPr>
          <c:invertIfNegative val="0"/>
          <c:val>
            <c:numRef>
              <c:f>'Average-15s'!$C$5:$C$7</c:f>
              <c:numCache>
                <c:formatCode>0.000</c:formatCode>
                <c:ptCount val="3"/>
                <c:pt idx="0" formatCode="General">
                  <c:v>1.2509794220734588E-3</c:v>
                </c:pt>
                <c:pt idx="1">
                  <c:v>2.4604627629120986E-3</c:v>
                </c:pt>
                <c:pt idx="2" formatCode="General">
                  <c:v>1.6511438898197419E-3</c:v>
                </c:pt>
              </c:numCache>
            </c:numRef>
          </c:val>
          <c:extLst>
            <c:ext xmlns:c16="http://schemas.microsoft.com/office/drawing/2014/chart" uri="{C3380CC4-5D6E-409C-BE32-E72D297353CC}">
              <c16:uniqueId val="{00000001-6DB1-4111-A0B3-1076BEB6D32E}"/>
            </c:ext>
          </c:extLst>
        </c:ser>
        <c:ser>
          <c:idx val="2"/>
          <c:order val="2"/>
          <c:tx>
            <c:v>DNAN</c:v>
          </c:tx>
          <c:spPr>
            <a:solidFill>
              <a:schemeClr val="accent2"/>
            </a:solidFill>
            <a:ln>
              <a:noFill/>
            </a:ln>
            <a:effectLst/>
          </c:spPr>
          <c:invertIfNegative val="0"/>
          <c:val>
            <c:numRef>
              <c:f>'Average-15s'!$E$5:$E$7</c:f>
              <c:numCache>
                <c:formatCode>General</c:formatCode>
                <c:ptCount val="3"/>
                <c:pt idx="0">
                  <c:v>3.5938856242388078E-4</c:v>
                </c:pt>
                <c:pt idx="1">
                  <c:v>6.2933942021222138E-4</c:v>
                </c:pt>
                <c:pt idx="2">
                  <c:v>3.2897854894274766E-4</c:v>
                </c:pt>
              </c:numCache>
            </c:numRef>
          </c:val>
          <c:extLst>
            <c:ext xmlns:c16="http://schemas.microsoft.com/office/drawing/2014/chart" uri="{C3380CC4-5D6E-409C-BE32-E72D297353CC}">
              <c16:uniqueId val="{00000002-6DB1-4111-A0B3-1076BEB6D32E}"/>
            </c:ext>
          </c:extLst>
        </c:ser>
        <c:ser>
          <c:idx val="3"/>
          <c:order val="3"/>
          <c:tx>
            <c:v>RDX</c:v>
          </c:tx>
          <c:spPr>
            <a:solidFill>
              <a:schemeClr val="accent3"/>
            </a:solidFill>
            <a:ln>
              <a:noFill/>
            </a:ln>
            <a:effectLst/>
          </c:spPr>
          <c:invertIfNegative val="0"/>
          <c:val>
            <c:numRef>
              <c:f>'Average-15s'!$G$5:$G$7</c:f>
              <c:numCache>
                <c:formatCode>General</c:formatCode>
                <c:ptCount val="3"/>
                <c:pt idx="0">
                  <c:v>1.9856477515863181E-4</c:v>
                </c:pt>
                <c:pt idx="1">
                  <c:v>2.4552215416612802E-4</c:v>
                </c:pt>
                <c:pt idx="2">
                  <c:v>1.0619572438399353E-4</c:v>
                </c:pt>
              </c:numCache>
            </c:numRef>
          </c:val>
          <c:extLst>
            <c:ext xmlns:c16="http://schemas.microsoft.com/office/drawing/2014/chart" uri="{C3380CC4-5D6E-409C-BE32-E72D297353CC}">
              <c16:uniqueId val="{00000003-6DB1-4111-A0B3-1076BEB6D32E}"/>
            </c:ext>
          </c:extLst>
        </c:ser>
        <c:dLbls>
          <c:showLegendKey val="0"/>
          <c:showVal val="0"/>
          <c:showCatName val="0"/>
          <c:showSerName val="0"/>
          <c:showPercent val="0"/>
          <c:showBubbleSize val="0"/>
        </c:dLbls>
        <c:gapWidth val="219"/>
        <c:overlap val="-27"/>
        <c:axId val="119812960"/>
        <c:axId val="119806720"/>
      </c:barChart>
      <c:catAx>
        <c:axId val="119812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Flake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806720"/>
        <c:crosses val="autoZero"/>
        <c:auto val="1"/>
        <c:lblAlgn val="ctr"/>
        <c:lblOffset val="100"/>
        <c:noMultiLvlLbl val="0"/>
      </c:catAx>
      <c:valAx>
        <c:axId val="119806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Dissolution rate (mg/min)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812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Percentage</a:t>
            </a:r>
            <a:r>
              <a:rPr lang="en-GB" baseline="0"/>
              <a:t> solid-dissolved</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v>Solid</c:v>
          </c:tx>
          <c:spPr>
            <a:solidFill>
              <a:schemeClr val="accent1"/>
            </a:solidFill>
            <a:ln>
              <a:noFill/>
            </a:ln>
            <a:effectLst/>
          </c:spPr>
          <c:invertIfNegative val="0"/>
          <c:cat>
            <c:strRef>
              <c:f>'Average-15s'!$B$19:$D$19</c:f>
              <c:strCache>
                <c:ptCount val="3"/>
                <c:pt idx="0">
                  <c:v>NTO </c:v>
                </c:pt>
                <c:pt idx="1">
                  <c:v>DNAN</c:v>
                </c:pt>
                <c:pt idx="2">
                  <c:v>RDX</c:v>
                </c:pt>
              </c:strCache>
            </c:strRef>
          </c:cat>
          <c:val>
            <c:numRef>
              <c:f>'Average-15s'!$B$30:$D$30</c:f>
              <c:numCache>
                <c:formatCode>0.0</c:formatCode>
                <c:ptCount val="3"/>
                <c:pt idx="0">
                  <c:v>62.677641101643395</c:v>
                </c:pt>
                <c:pt idx="1">
                  <c:v>84.925019260018473</c:v>
                </c:pt>
                <c:pt idx="2">
                  <c:v>85.356647743136179</c:v>
                </c:pt>
              </c:numCache>
            </c:numRef>
          </c:val>
          <c:extLst>
            <c:ext xmlns:c16="http://schemas.microsoft.com/office/drawing/2014/chart" uri="{C3380CC4-5D6E-409C-BE32-E72D297353CC}">
              <c16:uniqueId val="{00000000-0C51-4180-BB1F-BCC49B0AE0F7}"/>
            </c:ext>
          </c:extLst>
        </c:ser>
        <c:ser>
          <c:idx val="1"/>
          <c:order val="1"/>
          <c:tx>
            <c:v>Dissolved</c:v>
          </c:tx>
          <c:spPr>
            <a:solidFill>
              <a:schemeClr val="accent2"/>
            </a:solidFill>
            <a:ln>
              <a:noFill/>
            </a:ln>
            <a:effectLst/>
          </c:spPr>
          <c:invertIfNegative val="0"/>
          <c:cat>
            <c:strRef>
              <c:f>'Average-15s'!$B$19:$D$19</c:f>
              <c:strCache>
                <c:ptCount val="3"/>
                <c:pt idx="0">
                  <c:v>NTO </c:v>
                </c:pt>
                <c:pt idx="1">
                  <c:v>DNAN</c:v>
                </c:pt>
                <c:pt idx="2">
                  <c:v>RDX</c:v>
                </c:pt>
              </c:strCache>
            </c:strRef>
          </c:cat>
          <c:val>
            <c:numRef>
              <c:f>'Average-15s'!$B$23:$D$23</c:f>
              <c:numCache>
                <c:formatCode>0.0</c:formatCode>
                <c:ptCount val="3"/>
                <c:pt idx="0">
                  <c:v>37.322358898356605</c:v>
                </c:pt>
                <c:pt idx="1">
                  <c:v>15.074980739981527</c:v>
                </c:pt>
                <c:pt idx="2">
                  <c:v>14.64335225686383</c:v>
                </c:pt>
              </c:numCache>
            </c:numRef>
          </c:val>
          <c:extLst>
            <c:ext xmlns:c16="http://schemas.microsoft.com/office/drawing/2014/chart" uri="{C3380CC4-5D6E-409C-BE32-E72D297353CC}">
              <c16:uniqueId val="{00000001-0C51-4180-BB1F-BCC49B0AE0F7}"/>
            </c:ext>
          </c:extLst>
        </c:ser>
        <c:dLbls>
          <c:showLegendKey val="0"/>
          <c:showVal val="0"/>
          <c:showCatName val="0"/>
          <c:showSerName val="0"/>
          <c:showPercent val="0"/>
          <c:showBubbleSize val="0"/>
        </c:dLbls>
        <c:gapWidth val="150"/>
        <c:overlap val="100"/>
        <c:axId val="128269568"/>
        <c:axId val="128269984"/>
      </c:barChart>
      <c:catAx>
        <c:axId val="1282695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Compound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269984"/>
        <c:crosses val="autoZero"/>
        <c:auto val="1"/>
        <c:lblAlgn val="ctr"/>
        <c:lblOffset val="100"/>
        <c:noMultiLvlLbl val="0"/>
      </c:catAx>
      <c:valAx>
        <c:axId val="12826998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269568"/>
        <c:crosses val="autoZero"/>
        <c:crossBetween val="between"/>
      </c:valAx>
      <c:spPr>
        <a:noFill/>
        <a:ln w="25400">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2"/>
                </a:solidFill>
                <a:latin typeface="+mj-lt"/>
                <a:ea typeface="+mn-ea"/>
                <a:cs typeface="+mn-cs"/>
              </a:defRPr>
            </a:pPr>
            <a:r>
              <a:rPr lang="en-US" sz="1200">
                <a:solidFill>
                  <a:schemeClr val="tx2"/>
                </a:solidFill>
                <a:latin typeface="+mj-lt"/>
              </a:rPr>
              <a:t>Comparison of the dissolution rates (flakes) after 50</a:t>
            </a:r>
            <a:r>
              <a:rPr lang="en-US" sz="1200" baseline="0">
                <a:solidFill>
                  <a:schemeClr val="tx2"/>
                </a:solidFill>
                <a:latin typeface="+mj-lt"/>
              </a:rPr>
              <a:t> min</a:t>
            </a:r>
            <a:endParaRPr lang="en-US" sz="1200">
              <a:solidFill>
                <a:schemeClr val="tx2"/>
              </a:solidFill>
              <a:latin typeface="+mj-lt"/>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2"/>
              </a:solidFill>
              <a:latin typeface="+mj-lt"/>
              <a:ea typeface="+mn-ea"/>
              <a:cs typeface="+mn-cs"/>
            </a:defRPr>
          </a:pPr>
          <a:endParaRPr lang="en-US"/>
        </a:p>
      </c:txPr>
    </c:title>
    <c:autoTitleDeleted val="0"/>
    <c:plotArea>
      <c:layout/>
      <c:barChart>
        <c:barDir val="col"/>
        <c:grouping val="clustered"/>
        <c:varyColors val="0"/>
        <c:ser>
          <c:idx val="0"/>
          <c:order val="0"/>
          <c:tx>
            <c:v>DI water</c:v>
          </c:tx>
          <c:spPr>
            <a:solidFill>
              <a:schemeClr val="accent1"/>
            </a:solidFill>
            <a:ln>
              <a:noFill/>
            </a:ln>
            <a:effectLst/>
          </c:spPr>
          <c:invertIfNegative val="0"/>
          <c:errBars>
            <c:errBarType val="both"/>
            <c:errValType val="cust"/>
            <c:noEndCap val="0"/>
            <c:plus>
              <c:numRef>
                <c:f>'T student'!$D$19:$D$22</c:f>
                <c:numCache>
                  <c:formatCode>General</c:formatCode>
                  <c:ptCount val="4"/>
                  <c:pt idx="0">
                    <c:v>0.10736962001254156</c:v>
                  </c:pt>
                  <c:pt idx="1">
                    <c:v>2.8813386578643543E-2</c:v>
                  </c:pt>
                  <c:pt idx="2">
                    <c:v>1.9560208552929222E-2</c:v>
                  </c:pt>
                  <c:pt idx="3">
                    <c:v>7.7560278401185428E-3</c:v>
                  </c:pt>
                </c:numCache>
              </c:numRef>
            </c:plus>
            <c:minus>
              <c:numRef>
                <c:f>'T student'!$D$19:$D$22</c:f>
                <c:numCache>
                  <c:formatCode>General</c:formatCode>
                  <c:ptCount val="4"/>
                  <c:pt idx="0">
                    <c:v>0.10736962001254156</c:v>
                  </c:pt>
                  <c:pt idx="1">
                    <c:v>2.8813386578643543E-2</c:v>
                  </c:pt>
                  <c:pt idx="2">
                    <c:v>1.9560208552929222E-2</c:v>
                  </c:pt>
                  <c:pt idx="3">
                    <c:v>7.7560278401185428E-3</c:v>
                  </c:pt>
                </c:numCache>
              </c:numRef>
            </c:minus>
            <c:spPr>
              <a:noFill/>
              <a:ln w="9525" cap="flat" cmpd="sng" algn="ctr">
                <a:solidFill>
                  <a:schemeClr val="tx1">
                    <a:lumMod val="65000"/>
                    <a:lumOff val="35000"/>
                  </a:schemeClr>
                </a:solidFill>
                <a:round/>
              </a:ln>
              <a:effectLst/>
            </c:spPr>
          </c:errBars>
          <c:cat>
            <c:strRef>
              <c:f>('T student'!$A$3,'T student'!$A$5,'T student'!$A$7,'T student'!$A$9)</c:f>
              <c:strCache>
                <c:ptCount val="4"/>
                <c:pt idx="0">
                  <c:v>NTO 1</c:v>
                </c:pt>
                <c:pt idx="1">
                  <c:v>NTO 2</c:v>
                </c:pt>
                <c:pt idx="2">
                  <c:v>DNAN</c:v>
                </c:pt>
                <c:pt idx="3">
                  <c:v>RDX</c:v>
                </c:pt>
              </c:strCache>
            </c:strRef>
          </c:cat>
          <c:val>
            <c:numRef>
              <c:f>('T student'!$C$3,'T student'!$C$5,'T student'!$C$7,'T student'!$C$9)</c:f>
              <c:numCache>
                <c:formatCode>0.000</c:formatCode>
                <c:ptCount val="4"/>
                <c:pt idx="0">
                  <c:v>0.26378598696478667</c:v>
                </c:pt>
                <c:pt idx="1">
                  <c:v>0.10473341856757203</c:v>
                </c:pt>
                <c:pt idx="2">
                  <c:v>5.6369651702961689E-2</c:v>
                </c:pt>
                <c:pt idx="3">
                  <c:v>2.562827943491983E-2</c:v>
                </c:pt>
              </c:numCache>
            </c:numRef>
          </c:val>
          <c:extLst>
            <c:ext xmlns:c16="http://schemas.microsoft.com/office/drawing/2014/chart" uri="{C3380CC4-5D6E-409C-BE32-E72D297353CC}">
              <c16:uniqueId val="{00000000-4912-4BCD-B613-EFE547C791CE}"/>
            </c:ext>
          </c:extLst>
        </c:ser>
        <c:ser>
          <c:idx val="1"/>
          <c:order val="1"/>
          <c:tx>
            <c:v>Rain</c:v>
          </c:tx>
          <c:spPr>
            <a:solidFill>
              <a:schemeClr val="accent2"/>
            </a:solidFill>
            <a:ln>
              <a:noFill/>
            </a:ln>
            <a:effectLst/>
          </c:spPr>
          <c:invertIfNegative val="0"/>
          <c:errBars>
            <c:errBarType val="both"/>
            <c:errValType val="cust"/>
            <c:noEndCap val="0"/>
            <c:plus>
              <c:numRef>
                <c:f>'T student'!$E$19:$E$22</c:f>
                <c:numCache>
                  <c:formatCode>General</c:formatCode>
                  <c:ptCount val="4"/>
                  <c:pt idx="0">
                    <c:v>1.2365318486313752E-2</c:v>
                  </c:pt>
                  <c:pt idx="1">
                    <c:v>2.221401702162985E-2</c:v>
                  </c:pt>
                  <c:pt idx="2">
                    <c:v>5.3476448265298831E-3</c:v>
                  </c:pt>
                  <c:pt idx="3">
                    <c:v>2.266596858581113E-3</c:v>
                  </c:pt>
                </c:numCache>
              </c:numRef>
            </c:plus>
            <c:minus>
              <c:numRef>
                <c:f>'T student'!$E$19:$E$22</c:f>
                <c:numCache>
                  <c:formatCode>General</c:formatCode>
                  <c:ptCount val="4"/>
                  <c:pt idx="0">
                    <c:v>1.2365318486313752E-2</c:v>
                  </c:pt>
                  <c:pt idx="1">
                    <c:v>2.221401702162985E-2</c:v>
                  </c:pt>
                  <c:pt idx="2">
                    <c:v>5.3476448265298831E-3</c:v>
                  </c:pt>
                  <c:pt idx="3">
                    <c:v>2.266596858581113E-3</c:v>
                  </c:pt>
                </c:numCache>
              </c:numRef>
            </c:minus>
            <c:spPr>
              <a:noFill/>
              <a:ln w="9525" cap="flat" cmpd="sng" algn="ctr">
                <a:solidFill>
                  <a:schemeClr val="tx1">
                    <a:lumMod val="65000"/>
                    <a:lumOff val="35000"/>
                  </a:schemeClr>
                </a:solidFill>
                <a:round/>
              </a:ln>
              <a:effectLst/>
            </c:spPr>
          </c:errBars>
          <c:cat>
            <c:strRef>
              <c:f>('T student'!$A$3,'T student'!$A$5,'T student'!$A$7,'T student'!$A$9)</c:f>
              <c:strCache>
                <c:ptCount val="4"/>
                <c:pt idx="0">
                  <c:v>NTO 1</c:v>
                </c:pt>
                <c:pt idx="1">
                  <c:v>NTO 2</c:v>
                </c:pt>
                <c:pt idx="2">
                  <c:v>DNAN</c:v>
                </c:pt>
                <c:pt idx="3">
                  <c:v>RDX</c:v>
                </c:pt>
              </c:strCache>
            </c:strRef>
          </c:cat>
          <c:val>
            <c:numRef>
              <c:f>('T student'!$C$4,'T student'!$C$6,'T student'!$C$8,'T student'!$C$10)</c:f>
              <c:numCache>
                <c:formatCode>0.000</c:formatCode>
                <c:ptCount val="4"/>
                <c:pt idx="0">
                  <c:v>0.17352408160201874</c:v>
                </c:pt>
                <c:pt idx="1">
                  <c:v>7.1905767347049496E-2</c:v>
                </c:pt>
                <c:pt idx="2">
                  <c:v>1.7258439016019846E-2</c:v>
                </c:pt>
                <c:pt idx="3">
                  <c:v>7.1976652202947076E-3</c:v>
                </c:pt>
              </c:numCache>
            </c:numRef>
          </c:val>
          <c:extLst>
            <c:ext xmlns:c16="http://schemas.microsoft.com/office/drawing/2014/chart" uri="{C3380CC4-5D6E-409C-BE32-E72D297353CC}">
              <c16:uniqueId val="{00000001-4912-4BCD-B613-EFE547C791CE}"/>
            </c:ext>
          </c:extLst>
        </c:ser>
        <c:dLbls>
          <c:showLegendKey val="0"/>
          <c:showVal val="0"/>
          <c:showCatName val="0"/>
          <c:showSerName val="0"/>
          <c:showPercent val="0"/>
          <c:showBubbleSize val="0"/>
        </c:dLbls>
        <c:gapWidth val="219"/>
        <c:overlap val="-27"/>
        <c:axId val="1013726832"/>
        <c:axId val="1013728080"/>
      </c:barChart>
      <c:catAx>
        <c:axId val="10137268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Compound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3728080"/>
        <c:crosses val="autoZero"/>
        <c:auto val="1"/>
        <c:lblAlgn val="ctr"/>
        <c:lblOffset val="100"/>
        <c:noMultiLvlLbl val="0"/>
      </c:catAx>
      <c:valAx>
        <c:axId val="101372808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Dissolution rate (mg/min)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in"/>
        <c:minorTickMark val="none"/>
        <c:tickLblPos val="low"/>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3726832"/>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Dissolution rate of IMX-104 compounds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NTO1</c:v>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3.9512029746281714E-2"/>
                  <c:y val="-6.2328561202576953E-2"/>
                </c:manualLayout>
              </c:layout>
              <c:numFmt formatCode="General" sourceLinked="0"/>
              <c:spPr>
                <a:solidFill>
                  <a:schemeClr val="lt1"/>
                </a:solidFill>
                <a:ln w="12700" cap="flat" cmpd="sng" algn="ctr">
                  <a:solidFill>
                    <a:schemeClr val="accent1"/>
                  </a:solidFill>
                  <a:prstDash val="solid"/>
                  <a:miter lim="800000"/>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rendlineLbl>
          </c:trendline>
          <c:xVal>
            <c:numRef>
              <c:f>Sample4!$B$4:$B$8</c:f>
              <c:numCache>
                <c:formatCode>General</c:formatCode>
                <c:ptCount val="5"/>
                <c:pt idx="0">
                  <c:v>0</c:v>
                </c:pt>
                <c:pt idx="1">
                  <c:v>5</c:v>
                </c:pt>
                <c:pt idx="2">
                  <c:v>10</c:v>
                </c:pt>
                <c:pt idx="3">
                  <c:v>15</c:v>
                </c:pt>
                <c:pt idx="4">
                  <c:v>20</c:v>
                </c:pt>
              </c:numCache>
            </c:numRef>
          </c:xVal>
          <c:yVal>
            <c:numRef>
              <c:f>Sample4!$N$4:$N$7</c:f>
              <c:numCache>
                <c:formatCode>0.00</c:formatCode>
                <c:ptCount val="4"/>
                <c:pt idx="0" formatCode="General">
                  <c:v>0</c:v>
                </c:pt>
                <c:pt idx="1">
                  <c:v>1.0632148852197261</c:v>
                </c:pt>
                <c:pt idx="2">
                  <c:v>1.7973517145911093</c:v>
                </c:pt>
                <c:pt idx="3">
                  <c:v>2.3641644139920874</c:v>
                </c:pt>
              </c:numCache>
            </c:numRef>
          </c:yVal>
          <c:smooth val="0"/>
          <c:extLst>
            <c:ext xmlns:c16="http://schemas.microsoft.com/office/drawing/2014/chart" uri="{C3380CC4-5D6E-409C-BE32-E72D297353CC}">
              <c16:uniqueId val="{00000000-8C23-4656-BA40-E8C1705B7057}"/>
            </c:ext>
          </c:extLst>
        </c:ser>
        <c:ser>
          <c:idx val="1"/>
          <c:order val="1"/>
          <c:tx>
            <c:v>DNAN</c:v>
          </c:tx>
          <c:spPr>
            <a:ln w="1905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0.16239391951006124"/>
                  <c:y val="-0.10452354913969084"/>
                </c:manualLayout>
              </c:layout>
              <c:numFmt formatCode="General" sourceLinked="0"/>
              <c:spPr>
                <a:solidFill>
                  <a:schemeClr val="lt1"/>
                </a:solidFill>
                <a:ln w="12700" cap="flat" cmpd="sng" algn="ctr">
                  <a:solidFill>
                    <a:schemeClr val="accent2"/>
                  </a:solidFill>
                  <a:prstDash val="solid"/>
                  <a:miter lim="800000"/>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rendlineLbl>
          </c:trendline>
          <c:xVal>
            <c:numRef>
              <c:f>Sample4!$B$4:$B$14</c:f>
              <c:numCache>
                <c:formatCode>General</c:formatCode>
                <c:ptCount val="11"/>
                <c:pt idx="0">
                  <c:v>0</c:v>
                </c:pt>
                <c:pt idx="1">
                  <c:v>5</c:v>
                </c:pt>
                <c:pt idx="2">
                  <c:v>10</c:v>
                </c:pt>
                <c:pt idx="3">
                  <c:v>15</c:v>
                </c:pt>
                <c:pt idx="4">
                  <c:v>20</c:v>
                </c:pt>
                <c:pt idx="5">
                  <c:v>25</c:v>
                </c:pt>
                <c:pt idx="6">
                  <c:v>30</c:v>
                </c:pt>
                <c:pt idx="7">
                  <c:v>35</c:v>
                </c:pt>
                <c:pt idx="8">
                  <c:v>40</c:v>
                </c:pt>
                <c:pt idx="9">
                  <c:v>45</c:v>
                </c:pt>
                <c:pt idx="10">
                  <c:v>50</c:v>
                </c:pt>
              </c:numCache>
            </c:numRef>
          </c:xVal>
          <c:yVal>
            <c:numRef>
              <c:f>Sample4!$O$4:$O$14</c:f>
              <c:numCache>
                <c:formatCode>0.00</c:formatCode>
                <c:ptCount val="11"/>
                <c:pt idx="0" formatCode="General">
                  <c:v>0</c:v>
                </c:pt>
                <c:pt idx="1">
                  <c:v>8.3257132095290884E-2</c:v>
                </c:pt>
                <c:pt idx="2">
                  <c:v>0.16927272092585272</c:v>
                </c:pt>
                <c:pt idx="3">
                  <c:v>0.24662846344627087</c:v>
                </c:pt>
                <c:pt idx="4">
                  <c:v>0.31718991843349875</c:v>
                </c:pt>
                <c:pt idx="5">
                  <c:v>0.39553860766645532</c:v>
                </c:pt>
                <c:pt idx="6">
                  <c:v>0.46715992095343944</c:v>
                </c:pt>
                <c:pt idx="7">
                  <c:v>0.52878485552782151</c:v>
                </c:pt>
                <c:pt idx="8">
                  <c:v>0.57751178509945811</c:v>
                </c:pt>
                <c:pt idx="9">
                  <c:v>0.64750873995007874</c:v>
                </c:pt>
                <c:pt idx="10">
                  <c:v>0.69750459997931002</c:v>
                </c:pt>
              </c:numCache>
            </c:numRef>
          </c:yVal>
          <c:smooth val="0"/>
          <c:extLst>
            <c:ext xmlns:c16="http://schemas.microsoft.com/office/drawing/2014/chart" uri="{C3380CC4-5D6E-409C-BE32-E72D297353CC}">
              <c16:uniqueId val="{00000001-8C23-4656-BA40-E8C1705B7057}"/>
            </c:ext>
          </c:extLst>
        </c:ser>
        <c:ser>
          <c:idx val="2"/>
          <c:order val="2"/>
          <c:tx>
            <c:v>RDX</c:v>
          </c:tx>
          <c:spPr>
            <a:ln w="1905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1"/>
            <c:dispEq val="1"/>
            <c:trendlineLbl>
              <c:layout>
                <c:manualLayout>
                  <c:x val="0.17628280839895014"/>
                  <c:y val="8.4474701079031878E-2"/>
                </c:manualLayout>
              </c:layout>
              <c:numFmt formatCode="General" sourceLinked="0"/>
              <c:spPr>
                <a:solidFill>
                  <a:schemeClr val="lt1"/>
                </a:solidFill>
                <a:ln w="12700" cap="flat" cmpd="sng" algn="ctr">
                  <a:solidFill>
                    <a:schemeClr val="accent3"/>
                  </a:solidFill>
                  <a:prstDash val="solid"/>
                  <a:miter lim="800000"/>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rendlineLbl>
          </c:trendline>
          <c:xVal>
            <c:numRef>
              <c:f>Sample4!$B$4:$B$14</c:f>
              <c:numCache>
                <c:formatCode>General</c:formatCode>
                <c:ptCount val="11"/>
                <c:pt idx="0">
                  <c:v>0</c:v>
                </c:pt>
                <c:pt idx="1">
                  <c:v>5</c:v>
                </c:pt>
                <c:pt idx="2">
                  <c:v>10</c:v>
                </c:pt>
                <c:pt idx="3">
                  <c:v>15</c:v>
                </c:pt>
                <c:pt idx="4">
                  <c:v>20</c:v>
                </c:pt>
                <c:pt idx="5">
                  <c:v>25</c:v>
                </c:pt>
                <c:pt idx="6">
                  <c:v>30</c:v>
                </c:pt>
                <c:pt idx="7">
                  <c:v>35</c:v>
                </c:pt>
                <c:pt idx="8">
                  <c:v>40</c:v>
                </c:pt>
                <c:pt idx="9">
                  <c:v>45</c:v>
                </c:pt>
                <c:pt idx="10">
                  <c:v>50</c:v>
                </c:pt>
              </c:numCache>
            </c:numRef>
          </c:xVal>
          <c:yVal>
            <c:numRef>
              <c:f>Sample4!$P$4:$P$14</c:f>
              <c:numCache>
                <c:formatCode>0.00</c:formatCode>
                <c:ptCount val="11"/>
                <c:pt idx="0" formatCode="General">
                  <c:v>0</c:v>
                </c:pt>
                <c:pt idx="1">
                  <c:v>7.3188312976089978E-2</c:v>
                </c:pt>
                <c:pt idx="2">
                  <c:v>0.10627112441140277</c:v>
                </c:pt>
                <c:pt idx="3">
                  <c:v>0.13280877531095223</c:v>
                </c:pt>
                <c:pt idx="4">
                  <c:v>0.15893477325658262</c:v>
                </c:pt>
                <c:pt idx="5">
                  <c:v>0.22040079276292371</c:v>
                </c:pt>
                <c:pt idx="6">
                  <c:v>0.25475580206860782</c:v>
                </c:pt>
                <c:pt idx="7">
                  <c:v>0.27892553774649892</c:v>
                </c:pt>
                <c:pt idx="8">
                  <c:v>0.33806755977503633</c:v>
                </c:pt>
                <c:pt idx="9">
                  <c:v>0.36629108535804</c:v>
                </c:pt>
                <c:pt idx="10">
                  <c:v>0.39800769066482244</c:v>
                </c:pt>
              </c:numCache>
            </c:numRef>
          </c:yVal>
          <c:smooth val="0"/>
          <c:extLst>
            <c:ext xmlns:c16="http://schemas.microsoft.com/office/drawing/2014/chart" uri="{C3380CC4-5D6E-409C-BE32-E72D297353CC}">
              <c16:uniqueId val="{00000002-8C23-4656-BA40-E8C1705B7057}"/>
            </c:ext>
          </c:extLst>
        </c:ser>
        <c:ser>
          <c:idx val="3"/>
          <c:order val="3"/>
          <c:tx>
            <c:v>NTO2</c:v>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1"/>
            <c:dispEq val="1"/>
            <c:trendlineLbl>
              <c:layout>
                <c:manualLayout>
                  <c:x val="-8.7076115485564307E-2"/>
                  <c:y val="-2.7681818181818203E-2"/>
                </c:manualLayout>
              </c:layout>
              <c:numFmt formatCode="General" sourceLinked="0"/>
              <c:spPr>
                <a:solidFill>
                  <a:schemeClr val="lt1"/>
                </a:solidFill>
                <a:ln w="12700" cap="flat" cmpd="sng" algn="ctr">
                  <a:solidFill>
                    <a:schemeClr val="accent5"/>
                  </a:solidFill>
                  <a:prstDash val="solid"/>
                  <a:miter lim="800000"/>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rendlineLbl>
          </c:trendline>
          <c:xVal>
            <c:numRef>
              <c:f>Sample4!$B$7:$B$14</c:f>
              <c:numCache>
                <c:formatCode>General</c:formatCode>
                <c:ptCount val="8"/>
                <c:pt idx="0">
                  <c:v>15</c:v>
                </c:pt>
                <c:pt idx="1">
                  <c:v>20</c:v>
                </c:pt>
                <c:pt idx="2">
                  <c:v>25</c:v>
                </c:pt>
                <c:pt idx="3">
                  <c:v>30</c:v>
                </c:pt>
                <c:pt idx="4">
                  <c:v>35</c:v>
                </c:pt>
                <c:pt idx="5">
                  <c:v>40</c:v>
                </c:pt>
                <c:pt idx="6">
                  <c:v>45</c:v>
                </c:pt>
                <c:pt idx="7">
                  <c:v>50</c:v>
                </c:pt>
              </c:numCache>
            </c:numRef>
          </c:xVal>
          <c:yVal>
            <c:numRef>
              <c:f>Sample4!$N$7:$N$14</c:f>
              <c:numCache>
                <c:formatCode>0.00</c:formatCode>
                <c:ptCount val="8"/>
                <c:pt idx="0">
                  <c:v>2.3641644139920874</c:v>
                </c:pt>
                <c:pt idx="1">
                  <c:v>2.7474508208335449</c:v>
                </c:pt>
                <c:pt idx="2">
                  <c:v>3.0862838972235496</c:v>
                </c:pt>
                <c:pt idx="3">
                  <c:v>3.3360209590336325</c:v>
                </c:pt>
                <c:pt idx="4">
                  <c:v>3.545923417304504</c:v>
                </c:pt>
                <c:pt idx="5">
                  <c:v>3.7117178901634338</c:v>
                </c:pt>
                <c:pt idx="6">
                  <c:v>3.9289977279902768</c:v>
                </c:pt>
                <c:pt idx="7">
                  <c:v>4.132642698452103</c:v>
                </c:pt>
              </c:numCache>
            </c:numRef>
          </c:yVal>
          <c:smooth val="0"/>
          <c:extLst>
            <c:ext xmlns:c16="http://schemas.microsoft.com/office/drawing/2014/chart" uri="{C3380CC4-5D6E-409C-BE32-E72D297353CC}">
              <c16:uniqueId val="{00000003-8C23-4656-BA40-E8C1705B7057}"/>
            </c:ext>
          </c:extLst>
        </c:ser>
        <c:ser>
          <c:idx val="4"/>
          <c:order val="4"/>
          <c:tx>
            <c:v>RDX2</c:v>
          </c:tx>
          <c:spPr>
            <a:ln w="25400" cap="rnd">
              <a:noFill/>
              <a:round/>
            </a:ln>
            <a:effectLst/>
          </c:spPr>
          <c:marker>
            <c:symbol val="circle"/>
            <c:size val="5"/>
            <c:spPr>
              <a:solidFill>
                <a:schemeClr val="accent3">
                  <a:lumMod val="75000"/>
                </a:schemeClr>
              </a:solidFill>
              <a:ln w="9525">
                <a:solidFill>
                  <a:schemeClr val="accent3">
                    <a:lumMod val="75000"/>
                  </a:schemeClr>
                </a:solidFill>
              </a:ln>
              <a:effectLst/>
            </c:spPr>
          </c:marker>
          <c:trendline>
            <c:spPr>
              <a:ln w="19050" cap="rnd">
                <a:solidFill>
                  <a:schemeClr val="accent3">
                    <a:lumMod val="75000"/>
                  </a:schemeClr>
                </a:solidFill>
                <a:prstDash val="sysDot"/>
              </a:ln>
              <a:effectLst/>
            </c:spPr>
            <c:trendlineType val="linear"/>
            <c:dispRSqr val="1"/>
            <c:dispEq val="1"/>
            <c:trendlineLbl>
              <c:layout>
                <c:manualLayout>
                  <c:x val="4.4184399531747964E-2"/>
                  <c:y val="8.4791325970563852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Sample4!$B$14:$B$19</c:f>
              <c:numCache>
                <c:formatCode>General</c:formatCode>
                <c:ptCount val="6"/>
                <c:pt idx="0">
                  <c:v>50</c:v>
                </c:pt>
                <c:pt idx="1">
                  <c:v>60</c:v>
                </c:pt>
                <c:pt idx="2">
                  <c:v>70</c:v>
                </c:pt>
                <c:pt idx="3">
                  <c:v>80</c:v>
                </c:pt>
                <c:pt idx="4">
                  <c:v>90</c:v>
                </c:pt>
                <c:pt idx="5">
                  <c:v>100</c:v>
                </c:pt>
              </c:numCache>
            </c:numRef>
          </c:xVal>
          <c:yVal>
            <c:numRef>
              <c:f>Sample4!$P$14:$P$19</c:f>
              <c:numCache>
                <c:formatCode>0.00</c:formatCode>
                <c:ptCount val="6"/>
                <c:pt idx="0">
                  <c:v>0.39800769066482244</c:v>
                </c:pt>
                <c:pt idx="1">
                  <c:v>0.42164443873274937</c:v>
                </c:pt>
                <c:pt idx="2">
                  <c:v>0.45788402950493778</c:v>
                </c:pt>
                <c:pt idx="3">
                  <c:v>0.4944560935869628</c:v>
                </c:pt>
                <c:pt idx="4">
                  <c:v>0.54016873274620658</c:v>
                </c:pt>
                <c:pt idx="5">
                  <c:v>0.55376966874364331</c:v>
                </c:pt>
              </c:numCache>
            </c:numRef>
          </c:yVal>
          <c:smooth val="0"/>
          <c:extLst>
            <c:ext xmlns:c16="http://schemas.microsoft.com/office/drawing/2014/chart" uri="{C3380CC4-5D6E-409C-BE32-E72D297353CC}">
              <c16:uniqueId val="{00000004-33E2-42DA-AC40-49FB8658A40F}"/>
            </c:ext>
          </c:extLst>
        </c:ser>
        <c:ser>
          <c:idx val="5"/>
          <c:order val="5"/>
          <c:tx>
            <c:v>DNAN2</c:v>
          </c:tx>
          <c:spPr>
            <a:ln w="25400" cap="rnd">
              <a:noFill/>
              <a:round/>
            </a:ln>
            <a:effectLst/>
          </c:spPr>
          <c:marker>
            <c:symbol val="circle"/>
            <c:size val="5"/>
            <c:spPr>
              <a:solidFill>
                <a:schemeClr val="accent2">
                  <a:lumMod val="75000"/>
                </a:schemeClr>
              </a:solidFill>
              <a:ln w="9525">
                <a:solidFill>
                  <a:schemeClr val="accent2">
                    <a:lumMod val="75000"/>
                  </a:schemeClr>
                </a:solidFill>
              </a:ln>
              <a:effectLst/>
            </c:spPr>
          </c:marker>
          <c:trendline>
            <c:spPr>
              <a:ln w="19050" cap="rnd">
                <a:solidFill>
                  <a:schemeClr val="accent2">
                    <a:lumMod val="75000"/>
                  </a:schemeClr>
                </a:solidFill>
                <a:prstDash val="sysDot"/>
              </a:ln>
              <a:effectLst/>
            </c:spPr>
            <c:trendlineType val="linear"/>
            <c:dispRSqr val="1"/>
            <c:dispEq val="1"/>
            <c:trendlineLbl>
              <c:layout>
                <c:manualLayout>
                  <c:x val="8.1422602669927652E-2"/>
                  <c:y val="-7.7535619077488294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Sample4!$B$14:$B$19</c:f>
              <c:numCache>
                <c:formatCode>General</c:formatCode>
                <c:ptCount val="6"/>
                <c:pt idx="0">
                  <c:v>50</c:v>
                </c:pt>
                <c:pt idx="1">
                  <c:v>60</c:v>
                </c:pt>
                <c:pt idx="2">
                  <c:v>70</c:v>
                </c:pt>
                <c:pt idx="3">
                  <c:v>80</c:v>
                </c:pt>
                <c:pt idx="4">
                  <c:v>90</c:v>
                </c:pt>
                <c:pt idx="5">
                  <c:v>100</c:v>
                </c:pt>
              </c:numCache>
            </c:numRef>
          </c:xVal>
          <c:yVal>
            <c:numRef>
              <c:f>Sample4!$O$14:$O$19</c:f>
              <c:numCache>
                <c:formatCode>0.00</c:formatCode>
                <c:ptCount val="6"/>
                <c:pt idx="0">
                  <c:v>0.69750459997931002</c:v>
                </c:pt>
                <c:pt idx="1">
                  <c:v>0.87236536004339205</c:v>
                </c:pt>
                <c:pt idx="2">
                  <c:v>1.0722815612481342</c:v>
                </c:pt>
                <c:pt idx="3">
                  <c:v>1.2597300133340041</c:v>
                </c:pt>
                <c:pt idx="4">
                  <c:v>1.4144779899030526</c:v>
                </c:pt>
                <c:pt idx="5">
                  <c:v>1.5313924397332352</c:v>
                </c:pt>
              </c:numCache>
            </c:numRef>
          </c:yVal>
          <c:smooth val="0"/>
          <c:extLst>
            <c:ext xmlns:c16="http://schemas.microsoft.com/office/drawing/2014/chart" uri="{C3380CC4-5D6E-409C-BE32-E72D297353CC}">
              <c16:uniqueId val="{00000005-33E2-42DA-AC40-49FB8658A40F}"/>
            </c:ext>
          </c:extLst>
        </c:ser>
        <c:ser>
          <c:idx val="6"/>
          <c:order val="6"/>
          <c:tx>
            <c:v>NTO3</c:v>
          </c:tx>
          <c:spPr>
            <a:ln w="25400" cap="rnd">
              <a:noFill/>
              <a:round/>
            </a:ln>
            <a:effectLst/>
          </c:spPr>
          <c:marker>
            <c:symbol val="circle"/>
            <c:size val="5"/>
            <c:spPr>
              <a:solidFill>
                <a:schemeClr val="accent1">
                  <a:lumMod val="60000"/>
                </a:schemeClr>
              </a:solidFill>
              <a:ln w="9525">
                <a:solidFill>
                  <a:schemeClr val="accent1">
                    <a:lumMod val="60000"/>
                  </a:schemeClr>
                </a:solidFill>
              </a:ln>
              <a:effectLst/>
            </c:spPr>
          </c:marker>
          <c:trendline>
            <c:spPr>
              <a:ln w="19050" cap="rnd">
                <a:solidFill>
                  <a:schemeClr val="accent1">
                    <a:lumMod val="60000"/>
                  </a:schemeClr>
                </a:solidFill>
                <a:prstDash val="sysDot"/>
              </a:ln>
              <a:effectLst/>
            </c:spPr>
            <c:trendlineType val="linear"/>
            <c:dispRSqr val="1"/>
            <c:dispEq val="1"/>
            <c:trendlineLbl>
              <c:layout>
                <c:manualLayout>
                  <c:x val="-7.9536920240428785E-2"/>
                  <c:y val="-7.4326821837406749E-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Sample4!$B$14:$B$19</c:f>
              <c:numCache>
                <c:formatCode>General</c:formatCode>
                <c:ptCount val="6"/>
                <c:pt idx="0">
                  <c:v>50</c:v>
                </c:pt>
                <c:pt idx="1">
                  <c:v>60</c:v>
                </c:pt>
                <c:pt idx="2">
                  <c:v>70</c:v>
                </c:pt>
                <c:pt idx="3">
                  <c:v>80</c:v>
                </c:pt>
                <c:pt idx="4">
                  <c:v>90</c:v>
                </c:pt>
                <c:pt idx="5">
                  <c:v>100</c:v>
                </c:pt>
              </c:numCache>
            </c:numRef>
          </c:xVal>
          <c:yVal>
            <c:numRef>
              <c:f>Sample4!$N$14:$N$19</c:f>
              <c:numCache>
                <c:formatCode>0.00</c:formatCode>
                <c:ptCount val="6"/>
                <c:pt idx="0">
                  <c:v>4.132642698452103</c:v>
                </c:pt>
                <c:pt idx="1">
                  <c:v>4.2932702340368518</c:v>
                </c:pt>
                <c:pt idx="2">
                  <c:v>4.5334489530628055</c:v>
                </c:pt>
                <c:pt idx="3">
                  <c:v>5.00778862420667</c:v>
                </c:pt>
                <c:pt idx="4">
                  <c:v>5.3040519712723544</c:v>
                </c:pt>
                <c:pt idx="5">
                  <c:v>5.3492432586135914</c:v>
                </c:pt>
              </c:numCache>
            </c:numRef>
          </c:yVal>
          <c:smooth val="0"/>
          <c:extLst>
            <c:ext xmlns:c16="http://schemas.microsoft.com/office/drawing/2014/chart" uri="{C3380CC4-5D6E-409C-BE32-E72D297353CC}">
              <c16:uniqueId val="{00000006-33E2-42DA-AC40-49FB8658A40F}"/>
            </c:ext>
          </c:extLst>
        </c:ser>
        <c:dLbls>
          <c:showLegendKey val="0"/>
          <c:showVal val="0"/>
          <c:showCatName val="0"/>
          <c:showSerName val="0"/>
          <c:showPercent val="0"/>
          <c:showBubbleSize val="0"/>
        </c:dLbls>
        <c:axId val="990605536"/>
        <c:axId val="990605952"/>
      </c:scatterChart>
      <c:valAx>
        <c:axId val="9906055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 (min)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0605952"/>
        <c:crosses val="autoZero"/>
        <c:crossBetween val="midCat"/>
      </c:valAx>
      <c:valAx>
        <c:axId val="990605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Mass (mg)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06055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IMX compounds (15 sessions)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Dissolved</c:v>
          </c:tx>
          <c:spPr>
            <a:solidFill>
              <a:schemeClr val="accent1">
                <a:lumMod val="40000"/>
                <a:lumOff val="60000"/>
              </a:schemeClr>
            </a:solidFill>
            <a:ln>
              <a:solidFill>
                <a:schemeClr val="accent1"/>
              </a:solidFill>
            </a:ln>
            <a:effectLst/>
          </c:spPr>
          <c:invertIfNegative val="0"/>
          <c:cat>
            <c:strRef>
              <c:f>Sample4!$G$25:$I$25</c:f>
              <c:strCache>
                <c:ptCount val="3"/>
                <c:pt idx="0">
                  <c:v>NTO</c:v>
                </c:pt>
                <c:pt idx="1">
                  <c:v>DNAN</c:v>
                </c:pt>
                <c:pt idx="2">
                  <c:v>RDX</c:v>
                </c:pt>
              </c:strCache>
            </c:strRef>
          </c:cat>
          <c:val>
            <c:numRef>
              <c:f>Sample4!$G$37:$I$37</c:f>
              <c:numCache>
                <c:formatCode>0.0</c:formatCode>
                <c:ptCount val="3"/>
                <c:pt idx="0">
                  <c:v>35.0448326691142</c:v>
                </c:pt>
                <c:pt idx="1">
                  <c:v>16.616671438077635</c:v>
                </c:pt>
                <c:pt idx="2">
                  <c:v>12.818742332028778</c:v>
                </c:pt>
              </c:numCache>
            </c:numRef>
          </c:val>
          <c:extLst>
            <c:ext xmlns:c16="http://schemas.microsoft.com/office/drawing/2014/chart" uri="{C3380CC4-5D6E-409C-BE32-E72D297353CC}">
              <c16:uniqueId val="{00000000-9D81-486E-9B4C-AF36FDBE1F90}"/>
            </c:ext>
          </c:extLst>
        </c:ser>
        <c:ser>
          <c:idx val="1"/>
          <c:order val="1"/>
          <c:tx>
            <c:v>Solid</c:v>
          </c:tx>
          <c:spPr>
            <a:solidFill>
              <a:schemeClr val="accent5"/>
            </a:solidFill>
            <a:ln>
              <a:solidFill>
                <a:schemeClr val="accent5"/>
              </a:solidFill>
            </a:ln>
            <a:effectLst/>
          </c:spPr>
          <c:invertIfNegative val="0"/>
          <c:cat>
            <c:strRef>
              <c:f>Sample4!$G$25:$I$25</c:f>
              <c:strCache>
                <c:ptCount val="3"/>
                <c:pt idx="0">
                  <c:v>NTO</c:v>
                </c:pt>
                <c:pt idx="1">
                  <c:v>DNAN</c:v>
                </c:pt>
                <c:pt idx="2">
                  <c:v>RDX</c:v>
                </c:pt>
              </c:strCache>
            </c:strRef>
          </c:cat>
          <c:val>
            <c:numRef>
              <c:f>Sample4!$G$38:$I$38</c:f>
              <c:numCache>
                <c:formatCode>0</c:formatCode>
                <c:ptCount val="3"/>
                <c:pt idx="0">
                  <c:v>64.9551673308858</c:v>
                </c:pt>
                <c:pt idx="1">
                  <c:v>83.383328561922355</c:v>
                </c:pt>
                <c:pt idx="2">
                  <c:v>87.181257667971224</c:v>
                </c:pt>
              </c:numCache>
            </c:numRef>
          </c:val>
          <c:extLst>
            <c:ext xmlns:c16="http://schemas.microsoft.com/office/drawing/2014/chart" uri="{C3380CC4-5D6E-409C-BE32-E72D297353CC}">
              <c16:uniqueId val="{00000001-9D81-486E-9B4C-AF36FDBE1F90}"/>
            </c:ext>
          </c:extLst>
        </c:ser>
        <c:dLbls>
          <c:showLegendKey val="0"/>
          <c:showVal val="0"/>
          <c:showCatName val="0"/>
          <c:showSerName val="0"/>
          <c:showPercent val="0"/>
          <c:showBubbleSize val="0"/>
        </c:dLbls>
        <c:gapWidth val="219"/>
        <c:overlap val="-27"/>
        <c:axId val="1077287216"/>
        <c:axId val="1077289712"/>
      </c:barChart>
      <c:catAx>
        <c:axId val="10772872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Compounds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7289712"/>
        <c:crosses val="autoZero"/>
        <c:auto val="1"/>
        <c:lblAlgn val="ctr"/>
        <c:lblOffset val="100"/>
        <c:noMultiLvlLbl val="0"/>
      </c:catAx>
      <c:valAx>
        <c:axId val="10772897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7287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IMX compounds (10 sessions)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Dissolved</c:v>
          </c:tx>
          <c:spPr>
            <a:solidFill>
              <a:schemeClr val="accent2">
                <a:lumMod val="75000"/>
              </a:schemeClr>
            </a:solidFill>
            <a:ln>
              <a:solidFill>
                <a:schemeClr val="accent2">
                  <a:lumMod val="75000"/>
                </a:schemeClr>
              </a:solidFill>
            </a:ln>
            <a:effectLst/>
          </c:spPr>
          <c:invertIfNegative val="0"/>
          <c:cat>
            <c:strRef>
              <c:f>Sample4!$G$25:$I$25</c:f>
              <c:strCache>
                <c:ptCount val="3"/>
                <c:pt idx="0">
                  <c:v>NTO</c:v>
                </c:pt>
                <c:pt idx="1">
                  <c:v>DNAN</c:v>
                </c:pt>
                <c:pt idx="2">
                  <c:v>RDX</c:v>
                </c:pt>
              </c:strCache>
            </c:strRef>
          </c:cat>
          <c:val>
            <c:numRef>
              <c:f>Sample4!$G$31:$I$31</c:f>
              <c:numCache>
                <c:formatCode>0.0</c:formatCode>
                <c:ptCount val="3"/>
                <c:pt idx="0">
                  <c:v>27.074441158622268</c:v>
                </c:pt>
                <c:pt idx="1">
                  <c:v>7.5684092879699429</c:v>
                </c:pt>
                <c:pt idx="2">
                  <c:v>9.2131409876116308</c:v>
                </c:pt>
              </c:numCache>
            </c:numRef>
          </c:val>
          <c:extLst>
            <c:ext xmlns:c16="http://schemas.microsoft.com/office/drawing/2014/chart" uri="{C3380CC4-5D6E-409C-BE32-E72D297353CC}">
              <c16:uniqueId val="{00000000-BD18-4788-915E-66005351375B}"/>
            </c:ext>
          </c:extLst>
        </c:ser>
        <c:ser>
          <c:idx val="1"/>
          <c:order val="1"/>
          <c:tx>
            <c:v>Solid</c:v>
          </c:tx>
          <c:spPr>
            <a:solidFill>
              <a:schemeClr val="accent2"/>
            </a:solidFill>
            <a:ln>
              <a:noFill/>
            </a:ln>
            <a:effectLst/>
          </c:spPr>
          <c:invertIfNegative val="0"/>
          <c:cat>
            <c:strRef>
              <c:f>Sample4!$G$25:$I$25</c:f>
              <c:strCache>
                <c:ptCount val="3"/>
                <c:pt idx="0">
                  <c:v>NTO</c:v>
                </c:pt>
                <c:pt idx="1">
                  <c:v>DNAN</c:v>
                </c:pt>
                <c:pt idx="2">
                  <c:v>RDX</c:v>
                </c:pt>
              </c:strCache>
            </c:strRef>
          </c:cat>
          <c:val>
            <c:numRef>
              <c:f>Sample4!$G$32:$I$32</c:f>
              <c:numCache>
                <c:formatCode>0.0</c:formatCode>
                <c:ptCount val="3"/>
                <c:pt idx="0">
                  <c:v>72.925558841377736</c:v>
                </c:pt>
                <c:pt idx="1">
                  <c:v>92.431590712030058</c:v>
                </c:pt>
                <c:pt idx="2">
                  <c:v>90.786859012388362</c:v>
                </c:pt>
              </c:numCache>
            </c:numRef>
          </c:val>
          <c:extLst>
            <c:ext xmlns:c16="http://schemas.microsoft.com/office/drawing/2014/chart" uri="{C3380CC4-5D6E-409C-BE32-E72D297353CC}">
              <c16:uniqueId val="{00000001-BD18-4788-915E-66005351375B}"/>
            </c:ext>
          </c:extLst>
        </c:ser>
        <c:dLbls>
          <c:showLegendKey val="0"/>
          <c:showVal val="0"/>
          <c:showCatName val="0"/>
          <c:showSerName val="0"/>
          <c:showPercent val="0"/>
          <c:showBubbleSize val="0"/>
        </c:dLbls>
        <c:gapWidth val="219"/>
        <c:overlap val="-27"/>
        <c:axId val="1077287216"/>
        <c:axId val="1077289712"/>
      </c:barChart>
      <c:catAx>
        <c:axId val="10772872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Compounds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7289712"/>
        <c:crosses val="autoZero"/>
        <c:auto val="1"/>
        <c:lblAlgn val="ctr"/>
        <c:lblOffset val="100"/>
        <c:noMultiLvlLbl val="0"/>
      </c:catAx>
      <c:valAx>
        <c:axId val="10772897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7287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Dissolution rate of IMX-104 compounds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NTO1</c:v>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Sample5!$A$4:$A$8</c:f>
              <c:numCache>
                <c:formatCode>General</c:formatCode>
                <c:ptCount val="5"/>
                <c:pt idx="0">
                  <c:v>0</c:v>
                </c:pt>
                <c:pt idx="1">
                  <c:v>1</c:v>
                </c:pt>
                <c:pt idx="2">
                  <c:v>2</c:v>
                </c:pt>
                <c:pt idx="3">
                  <c:v>3</c:v>
                </c:pt>
                <c:pt idx="4">
                  <c:v>4</c:v>
                </c:pt>
              </c:numCache>
            </c:numRef>
          </c:xVal>
          <c:yVal>
            <c:numRef>
              <c:f>Sample5!$N$4:$N$7</c:f>
              <c:numCache>
                <c:formatCode>0.00</c:formatCode>
                <c:ptCount val="4"/>
                <c:pt idx="0" formatCode="General">
                  <c:v>0</c:v>
                </c:pt>
                <c:pt idx="1">
                  <c:v>1.1107559946055903</c:v>
                </c:pt>
                <c:pt idx="2">
                  <c:v>1.9750128215249003</c:v>
                </c:pt>
                <c:pt idx="3">
                  <c:v>2.6859057095030012</c:v>
                </c:pt>
              </c:numCache>
            </c:numRef>
          </c:yVal>
          <c:smooth val="0"/>
          <c:extLst>
            <c:ext xmlns:c16="http://schemas.microsoft.com/office/drawing/2014/chart" uri="{C3380CC4-5D6E-409C-BE32-E72D297353CC}">
              <c16:uniqueId val="{00000000-B086-4C8C-9F40-FA1728CDA137}"/>
            </c:ext>
          </c:extLst>
        </c:ser>
        <c:ser>
          <c:idx val="1"/>
          <c:order val="1"/>
          <c:spPr>
            <a:ln w="1905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0.16239391951006124"/>
                  <c:y val="-0.10452354913969084"/>
                </c:manualLayout>
              </c:layout>
              <c:numFmt formatCode="General" sourceLinked="0"/>
              <c:spPr>
                <a:solidFill>
                  <a:schemeClr val="lt1"/>
                </a:solidFill>
                <a:ln w="12700" cap="flat" cmpd="sng" algn="ctr">
                  <a:solidFill>
                    <a:schemeClr val="accent2"/>
                  </a:solidFill>
                  <a:prstDash val="solid"/>
                  <a:miter lim="800000"/>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rendlineLbl>
          </c:trendline>
          <c:xVal>
            <c:numRef>
              <c:f>Sample5!$A$4:$A$14</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Sample5!$O$4:$O$14</c:f>
              <c:numCache>
                <c:formatCode>0.00</c:formatCode>
                <c:ptCount val="11"/>
                <c:pt idx="0" formatCode="General">
                  <c:v>0</c:v>
                </c:pt>
                <c:pt idx="1">
                  <c:v>0.10570841241084053</c:v>
                </c:pt>
                <c:pt idx="2">
                  <c:v>0.21119245858676422</c:v>
                </c:pt>
                <c:pt idx="3">
                  <c:v>0.33567774929507976</c:v>
                </c:pt>
                <c:pt idx="4">
                  <c:v>0.46173471884093342</c:v>
                </c:pt>
                <c:pt idx="5">
                  <c:v>0.58405504797171304</c:v>
                </c:pt>
                <c:pt idx="6">
                  <c:v>0.71139831312517743</c:v>
                </c:pt>
                <c:pt idx="7">
                  <c:v>0.83434272556784883</c:v>
                </c:pt>
                <c:pt idx="8">
                  <c:v>0.97416691349706763</c:v>
                </c:pt>
                <c:pt idx="9">
                  <c:v>1.1024039262797984</c:v>
                </c:pt>
                <c:pt idx="10">
                  <c:v>1.223524520030876</c:v>
                </c:pt>
              </c:numCache>
            </c:numRef>
          </c:yVal>
          <c:smooth val="0"/>
          <c:extLst>
            <c:ext xmlns:c16="http://schemas.microsoft.com/office/drawing/2014/chart" uri="{C3380CC4-5D6E-409C-BE32-E72D297353CC}">
              <c16:uniqueId val="{00000001-B086-4C8C-9F40-FA1728CDA137}"/>
            </c:ext>
          </c:extLst>
        </c:ser>
        <c:ser>
          <c:idx val="2"/>
          <c:order val="2"/>
          <c:spPr>
            <a:ln w="1905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1"/>
            <c:dispEq val="1"/>
            <c:trendlineLbl>
              <c:layout>
                <c:manualLayout>
                  <c:x val="0.17628280839895014"/>
                  <c:y val="8.4474701079031878E-2"/>
                </c:manualLayout>
              </c:layout>
              <c:numFmt formatCode="General" sourceLinked="0"/>
              <c:spPr>
                <a:solidFill>
                  <a:schemeClr val="lt1"/>
                </a:solidFill>
                <a:ln w="12700" cap="flat" cmpd="sng" algn="ctr">
                  <a:solidFill>
                    <a:schemeClr val="accent3"/>
                  </a:solidFill>
                  <a:prstDash val="solid"/>
                  <a:miter lim="800000"/>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rendlineLbl>
          </c:trendline>
          <c:xVal>
            <c:numRef>
              <c:f>Sample5!$A$4:$A$14</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Sample5!$P$4:$P$14</c:f>
              <c:numCache>
                <c:formatCode>0.00</c:formatCode>
                <c:ptCount val="11"/>
                <c:pt idx="0" formatCode="General">
                  <c:v>0</c:v>
                </c:pt>
                <c:pt idx="1">
                  <c:v>4.6311969245476821E-2</c:v>
                </c:pt>
                <c:pt idx="2">
                  <c:v>0.10157182462599285</c:v>
                </c:pt>
                <c:pt idx="3">
                  <c:v>0.15982375339428639</c:v>
                </c:pt>
                <c:pt idx="4">
                  <c:v>0.20296231147090826</c:v>
                </c:pt>
                <c:pt idx="5">
                  <c:v>0.2512378288771141</c:v>
                </c:pt>
                <c:pt idx="6">
                  <c:v>0.27806630833850315</c:v>
                </c:pt>
                <c:pt idx="7">
                  <c:v>0.33735303629725305</c:v>
                </c:pt>
                <c:pt idx="8">
                  <c:v>0.37474059617399086</c:v>
                </c:pt>
                <c:pt idx="9">
                  <c:v>0.44282362321641056</c:v>
                </c:pt>
                <c:pt idx="10">
                  <c:v>0.49716424176472385</c:v>
                </c:pt>
              </c:numCache>
            </c:numRef>
          </c:yVal>
          <c:smooth val="0"/>
          <c:extLst>
            <c:ext xmlns:c16="http://schemas.microsoft.com/office/drawing/2014/chart" uri="{C3380CC4-5D6E-409C-BE32-E72D297353CC}">
              <c16:uniqueId val="{00000002-B086-4C8C-9F40-FA1728CDA137}"/>
            </c:ext>
          </c:extLst>
        </c:ser>
        <c:ser>
          <c:idx val="3"/>
          <c:order val="3"/>
          <c:tx>
            <c:v>NTO2</c:v>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1"/>
            <c:dispEq val="1"/>
            <c:trendlineLbl>
              <c:layout>
                <c:manualLayout>
                  <c:x val="-0.13707611548556425"/>
                  <c:y val="-4.0958742756519803E-4"/>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Sample5!$A$7:$A$14</c:f>
              <c:numCache>
                <c:formatCode>General</c:formatCode>
                <c:ptCount val="8"/>
                <c:pt idx="0">
                  <c:v>3</c:v>
                </c:pt>
                <c:pt idx="1">
                  <c:v>4</c:v>
                </c:pt>
                <c:pt idx="2">
                  <c:v>5</c:v>
                </c:pt>
                <c:pt idx="3">
                  <c:v>6</c:v>
                </c:pt>
                <c:pt idx="4">
                  <c:v>7</c:v>
                </c:pt>
                <c:pt idx="5">
                  <c:v>8</c:v>
                </c:pt>
                <c:pt idx="6">
                  <c:v>9</c:v>
                </c:pt>
                <c:pt idx="7">
                  <c:v>10</c:v>
                </c:pt>
              </c:numCache>
            </c:numRef>
          </c:xVal>
          <c:yVal>
            <c:numRef>
              <c:f>Sample5!$N$7:$N$14</c:f>
              <c:numCache>
                <c:formatCode>0.00</c:formatCode>
                <c:ptCount val="8"/>
                <c:pt idx="0">
                  <c:v>2.6859057095030012</c:v>
                </c:pt>
                <c:pt idx="1">
                  <c:v>3.3172753150280019</c:v>
                </c:pt>
                <c:pt idx="2">
                  <c:v>3.8648706984077954</c:v>
                </c:pt>
                <c:pt idx="3">
                  <c:v>4.3379966246641057</c:v>
                </c:pt>
                <c:pt idx="4">
                  <c:v>4.7767939121148206</c:v>
                </c:pt>
                <c:pt idx="5">
                  <c:v>5.1993187462442565</c:v>
                </c:pt>
                <c:pt idx="6">
                  <c:v>5.5921915689821455</c:v>
                </c:pt>
                <c:pt idx="7">
                  <c:v>5.9104760191190149</c:v>
                </c:pt>
              </c:numCache>
            </c:numRef>
          </c:yVal>
          <c:smooth val="0"/>
          <c:extLst>
            <c:ext xmlns:c16="http://schemas.microsoft.com/office/drawing/2014/chart" uri="{C3380CC4-5D6E-409C-BE32-E72D297353CC}">
              <c16:uniqueId val="{00000003-B086-4C8C-9F40-FA1728CDA137}"/>
            </c:ext>
          </c:extLst>
        </c:ser>
        <c:dLbls>
          <c:showLegendKey val="0"/>
          <c:showVal val="0"/>
          <c:showCatName val="0"/>
          <c:showSerName val="0"/>
          <c:showPercent val="0"/>
          <c:showBubbleSize val="0"/>
        </c:dLbls>
        <c:axId val="990605536"/>
        <c:axId val="990605952"/>
      </c:scatterChart>
      <c:valAx>
        <c:axId val="9906055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Session</a:t>
                </a:r>
              </a:p>
            </c:rich>
          </c:tx>
          <c:layout>
            <c:manualLayout>
              <c:xMode val="edge"/>
              <c:yMode val="edge"/>
              <c:x val="0.48506124234470693"/>
              <c:y val="0.8716396720003812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0605952"/>
        <c:crosses val="autoZero"/>
        <c:crossBetween val="midCat"/>
      </c:valAx>
      <c:valAx>
        <c:axId val="99060595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Mass (mg)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06055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Dissolution rate of IMX-104 compounds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NTO1</c:v>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3.9512029746281714E-2"/>
                  <c:y val="-6.2328561202576953E-2"/>
                </c:manualLayout>
              </c:layout>
              <c:numFmt formatCode="General" sourceLinked="0"/>
              <c:spPr>
                <a:solidFill>
                  <a:schemeClr val="lt1"/>
                </a:solidFill>
                <a:ln w="12700" cap="flat" cmpd="sng" algn="ctr">
                  <a:solidFill>
                    <a:schemeClr val="accent1"/>
                  </a:solidFill>
                  <a:prstDash val="solid"/>
                  <a:miter lim="800000"/>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rendlineLbl>
          </c:trendline>
          <c:xVal>
            <c:numRef>
              <c:f>Sample5!$B$4:$B$8</c:f>
              <c:numCache>
                <c:formatCode>General</c:formatCode>
                <c:ptCount val="5"/>
                <c:pt idx="0">
                  <c:v>0</c:v>
                </c:pt>
                <c:pt idx="1">
                  <c:v>5</c:v>
                </c:pt>
                <c:pt idx="2">
                  <c:v>10</c:v>
                </c:pt>
                <c:pt idx="3">
                  <c:v>15</c:v>
                </c:pt>
                <c:pt idx="4">
                  <c:v>20</c:v>
                </c:pt>
              </c:numCache>
            </c:numRef>
          </c:xVal>
          <c:yVal>
            <c:numRef>
              <c:f>Sample5!$N$4:$N$7</c:f>
              <c:numCache>
                <c:formatCode>0.00</c:formatCode>
                <c:ptCount val="4"/>
                <c:pt idx="0" formatCode="General">
                  <c:v>0</c:v>
                </c:pt>
                <c:pt idx="1">
                  <c:v>1.1107559946055903</c:v>
                </c:pt>
                <c:pt idx="2">
                  <c:v>1.9750128215249003</c:v>
                </c:pt>
                <c:pt idx="3">
                  <c:v>2.6859057095030012</c:v>
                </c:pt>
              </c:numCache>
            </c:numRef>
          </c:yVal>
          <c:smooth val="0"/>
          <c:extLst>
            <c:ext xmlns:c16="http://schemas.microsoft.com/office/drawing/2014/chart" uri="{C3380CC4-5D6E-409C-BE32-E72D297353CC}">
              <c16:uniqueId val="{00000000-0A1B-4310-9776-E8673E92276D}"/>
            </c:ext>
          </c:extLst>
        </c:ser>
        <c:ser>
          <c:idx val="1"/>
          <c:order val="1"/>
          <c:tx>
            <c:v>DNAN</c:v>
          </c:tx>
          <c:spPr>
            <a:ln w="1905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0.16239391951006124"/>
                  <c:y val="-0.10452354913969084"/>
                </c:manualLayout>
              </c:layout>
              <c:numFmt formatCode="General" sourceLinked="0"/>
              <c:spPr>
                <a:solidFill>
                  <a:schemeClr val="lt1"/>
                </a:solidFill>
                <a:ln w="12700" cap="flat" cmpd="sng" algn="ctr">
                  <a:solidFill>
                    <a:schemeClr val="accent2"/>
                  </a:solidFill>
                  <a:prstDash val="solid"/>
                  <a:miter lim="800000"/>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rendlineLbl>
          </c:trendline>
          <c:xVal>
            <c:numRef>
              <c:f>Sample5!$B$4:$B$14</c:f>
              <c:numCache>
                <c:formatCode>General</c:formatCode>
                <c:ptCount val="11"/>
                <c:pt idx="0">
                  <c:v>0</c:v>
                </c:pt>
                <c:pt idx="1">
                  <c:v>5</c:v>
                </c:pt>
                <c:pt idx="2">
                  <c:v>10</c:v>
                </c:pt>
                <c:pt idx="3">
                  <c:v>15</c:v>
                </c:pt>
                <c:pt idx="4">
                  <c:v>20</c:v>
                </c:pt>
                <c:pt idx="5">
                  <c:v>25</c:v>
                </c:pt>
                <c:pt idx="6">
                  <c:v>30</c:v>
                </c:pt>
                <c:pt idx="7">
                  <c:v>35</c:v>
                </c:pt>
                <c:pt idx="8">
                  <c:v>40</c:v>
                </c:pt>
                <c:pt idx="9">
                  <c:v>45</c:v>
                </c:pt>
                <c:pt idx="10">
                  <c:v>50</c:v>
                </c:pt>
              </c:numCache>
            </c:numRef>
          </c:xVal>
          <c:yVal>
            <c:numRef>
              <c:f>Sample5!$O$4:$O$14</c:f>
              <c:numCache>
                <c:formatCode>0.00</c:formatCode>
                <c:ptCount val="11"/>
                <c:pt idx="0" formatCode="General">
                  <c:v>0</c:v>
                </c:pt>
                <c:pt idx="1">
                  <c:v>0.10570841241084053</c:v>
                </c:pt>
                <c:pt idx="2">
                  <c:v>0.21119245858676422</c:v>
                </c:pt>
                <c:pt idx="3">
                  <c:v>0.33567774929507976</c:v>
                </c:pt>
                <c:pt idx="4">
                  <c:v>0.46173471884093342</c:v>
                </c:pt>
                <c:pt idx="5">
                  <c:v>0.58405504797171304</c:v>
                </c:pt>
                <c:pt idx="6">
                  <c:v>0.71139831312517743</c:v>
                </c:pt>
                <c:pt idx="7">
                  <c:v>0.83434272556784883</c:v>
                </c:pt>
                <c:pt idx="8">
                  <c:v>0.97416691349706763</c:v>
                </c:pt>
                <c:pt idx="9">
                  <c:v>1.1024039262797984</c:v>
                </c:pt>
                <c:pt idx="10">
                  <c:v>1.223524520030876</c:v>
                </c:pt>
              </c:numCache>
            </c:numRef>
          </c:yVal>
          <c:smooth val="0"/>
          <c:extLst>
            <c:ext xmlns:c16="http://schemas.microsoft.com/office/drawing/2014/chart" uri="{C3380CC4-5D6E-409C-BE32-E72D297353CC}">
              <c16:uniqueId val="{00000001-0A1B-4310-9776-E8673E92276D}"/>
            </c:ext>
          </c:extLst>
        </c:ser>
        <c:ser>
          <c:idx val="2"/>
          <c:order val="2"/>
          <c:tx>
            <c:v>RDX</c:v>
          </c:tx>
          <c:spPr>
            <a:ln w="1905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1"/>
            <c:dispEq val="1"/>
            <c:trendlineLbl>
              <c:layout>
                <c:manualLayout>
                  <c:x val="0.17628280839895014"/>
                  <c:y val="8.4474701079031878E-2"/>
                </c:manualLayout>
              </c:layout>
              <c:numFmt formatCode="General" sourceLinked="0"/>
              <c:spPr>
                <a:solidFill>
                  <a:schemeClr val="lt1"/>
                </a:solidFill>
                <a:ln w="12700" cap="flat" cmpd="sng" algn="ctr">
                  <a:solidFill>
                    <a:schemeClr val="accent3"/>
                  </a:solidFill>
                  <a:prstDash val="solid"/>
                  <a:miter lim="800000"/>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rendlineLbl>
          </c:trendline>
          <c:xVal>
            <c:numRef>
              <c:f>Sample5!$B$4:$B$14</c:f>
              <c:numCache>
                <c:formatCode>General</c:formatCode>
                <c:ptCount val="11"/>
                <c:pt idx="0">
                  <c:v>0</c:v>
                </c:pt>
                <c:pt idx="1">
                  <c:v>5</c:v>
                </c:pt>
                <c:pt idx="2">
                  <c:v>10</c:v>
                </c:pt>
                <c:pt idx="3">
                  <c:v>15</c:v>
                </c:pt>
                <c:pt idx="4">
                  <c:v>20</c:v>
                </c:pt>
                <c:pt idx="5">
                  <c:v>25</c:v>
                </c:pt>
                <c:pt idx="6">
                  <c:v>30</c:v>
                </c:pt>
                <c:pt idx="7">
                  <c:v>35</c:v>
                </c:pt>
                <c:pt idx="8">
                  <c:v>40</c:v>
                </c:pt>
                <c:pt idx="9">
                  <c:v>45</c:v>
                </c:pt>
                <c:pt idx="10">
                  <c:v>50</c:v>
                </c:pt>
              </c:numCache>
            </c:numRef>
          </c:xVal>
          <c:yVal>
            <c:numRef>
              <c:f>Sample5!$P$4:$P$14</c:f>
              <c:numCache>
                <c:formatCode>0.00</c:formatCode>
                <c:ptCount val="11"/>
                <c:pt idx="0" formatCode="General">
                  <c:v>0</c:v>
                </c:pt>
                <c:pt idx="1">
                  <c:v>4.6311969245476821E-2</c:v>
                </c:pt>
                <c:pt idx="2">
                  <c:v>0.10157182462599285</c:v>
                </c:pt>
                <c:pt idx="3">
                  <c:v>0.15982375339428639</c:v>
                </c:pt>
                <c:pt idx="4">
                  <c:v>0.20296231147090826</c:v>
                </c:pt>
                <c:pt idx="5">
                  <c:v>0.2512378288771141</c:v>
                </c:pt>
                <c:pt idx="6">
                  <c:v>0.27806630833850315</c:v>
                </c:pt>
                <c:pt idx="7">
                  <c:v>0.33735303629725305</c:v>
                </c:pt>
                <c:pt idx="8">
                  <c:v>0.37474059617399086</c:v>
                </c:pt>
                <c:pt idx="9">
                  <c:v>0.44282362321641056</c:v>
                </c:pt>
                <c:pt idx="10">
                  <c:v>0.49716424176472385</c:v>
                </c:pt>
              </c:numCache>
            </c:numRef>
          </c:yVal>
          <c:smooth val="0"/>
          <c:extLst>
            <c:ext xmlns:c16="http://schemas.microsoft.com/office/drawing/2014/chart" uri="{C3380CC4-5D6E-409C-BE32-E72D297353CC}">
              <c16:uniqueId val="{00000002-0A1B-4310-9776-E8673E92276D}"/>
            </c:ext>
          </c:extLst>
        </c:ser>
        <c:ser>
          <c:idx val="3"/>
          <c:order val="3"/>
          <c:tx>
            <c:v>NTO2</c:v>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1"/>
            <c:dispEq val="1"/>
            <c:trendlineLbl>
              <c:layout>
                <c:manualLayout>
                  <c:x val="-8.7076115485564307E-2"/>
                  <c:y val="-2.7681818181818203E-2"/>
                </c:manualLayout>
              </c:layout>
              <c:numFmt formatCode="General" sourceLinked="0"/>
              <c:spPr>
                <a:solidFill>
                  <a:schemeClr val="lt1"/>
                </a:solidFill>
                <a:ln w="12700" cap="flat" cmpd="sng" algn="ctr">
                  <a:solidFill>
                    <a:schemeClr val="accent5"/>
                  </a:solidFill>
                  <a:prstDash val="solid"/>
                  <a:miter lim="800000"/>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rendlineLbl>
          </c:trendline>
          <c:xVal>
            <c:numRef>
              <c:f>Sample5!$B$7:$B$14</c:f>
              <c:numCache>
                <c:formatCode>General</c:formatCode>
                <c:ptCount val="8"/>
                <c:pt idx="0">
                  <c:v>15</c:v>
                </c:pt>
                <c:pt idx="1">
                  <c:v>20</c:v>
                </c:pt>
                <c:pt idx="2">
                  <c:v>25</c:v>
                </c:pt>
                <c:pt idx="3">
                  <c:v>30</c:v>
                </c:pt>
                <c:pt idx="4">
                  <c:v>35</c:v>
                </c:pt>
                <c:pt idx="5">
                  <c:v>40</c:v>
                </c:pt>
                <c:pt idx="6">
                  <c:v>45</c:v>
                </c:pt>
                <c:pt idx="7">
                  <c:v>50</c:v>
                </c:pt>
              </c:numCache>
            </c:numRef>
          </c:xVal>
          <c:yVal>
            <c:numRef>
              <c:f>Sample5!$N$7:$N$14</c:f>
              <c:numCache>
                <c:formatCode>0.00</c:formatCode>
                <c:ptCount val="8"/>
                <c:pt idx="0">
                  <c:v>2.6859057095030012</c:v>
                </c:pt>
                <c:pt idx="1">
                  <c:v>3.3172753150280019</c:v>
                </c:pt>
                <c:pt idx="2">
                  <c:v>3.8648706984077954</c:v>
                </c:pt>
                <c:pt idx="3">
                  <c:v>4.3379966246641057</c:v>
                </c:pt>
                <c:pt idx="4">
                  <c:v>4.7767939121148206</c:v>
                </c:pt>
                <c:pt idx="5">
                  <c:v>5.1993187462442565</c:v>
                </c:pt>
                <c:pt idx="6">
                  <c:v>5.5921915689821455</c:v>
                </c:pt>
                <c:pt idx="7">
                  <c:v>5.9104760191190149</c:v>
                </c:pt>
              </c:numCache>
            </c:numRef>
          </c:yVal>
          <c:smooth val="0"/>
          <c:extLst>
            <c:ext xmlns:c16="http://schemas.microsoft.com/office/drawing/2014/chart" uri="{C3380CC4-5D6E-409C-BE32-E72D297353CC}">
              <c16:uniqueId val="{00000003-0A1B-4310-9776-E8673E92276D}"/>
            </c:ext>
          </c:extLst>
        </c:ser>
        <c:ser>
          <c:idx val="4"/>
          <c:order val="4"/>
          <c:tx>
            <c:v>NTO3</c:v>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1"/>
            <c:dispEq val="1"/>
            <c:trendlineLbl>
              <c:layout>
                <c:manualLayout>
                  <c:x val="-0.16538600790452365"/>
                  <c:y val="2.7289361347158904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Sample5!$B$14:$B$19</c:f>
              <c:numCache>
                <c:formatCode>General</c:formatCode>
                <c:ptCount val="6"/>
                <c:pt idx="0">
                  <c:v>50</c:v>
                </c:pt>
                <c:pt idx="1">
                  <c:v>60</c:v>
                </c:pt>
                <c:pt idx="2">
                  <c:v>70</c:v>
                </c:pt>
                <c:pt idx="3">
                  <c:v>80</c:v>
                </c:pt>
                <c:pt idx="4">
                  <c:v>90</c:v>
                </c:pt>
                <c:pt idx="5">
                  <c:v>100</c:v>
                </c:pt>
              </c:numCache>
            </c:numRef>
          </c:xVal>
          <c:yVal>
            <c:numRef>
              <c:f>Sample5!$N$14:$N$19</c:f>
              <c:numCache>
                <c:formatCode>0.00</c:formatCode>
                <c:ptCount val="6"/>
                <c:pt idx="0">
                  <c:v>5.9104760191190149</c:v>
                </c:pt>
                <c:pt idx="1">
                  <c:v>6.2382589301731644</c:v>
                </c:pt>
                <c:pt idx="2">
                  <c:v>7.399622711320232</c:v>
                </c:pt>
                <c:pt idx="3">
                  <c:v>7.399622711320232</c:v>
                </c:pt>
                <c:pt idx="4">
                  <c:v>8.1504888513010076</c:v>
                </c:pt>
                <c:pt idx="5">
                  <c:v>9.0158587991895054</c:v>
                </c:pt>
              </c:numCache>
            </c:numRef>
          </c:yVal>
          <c:smooth val="0"/>
          <c:extLst>
            <c:ext xmlns:c16="http://schemas.microsoft.com/office/drawing/2014/chart" uri="{C3380CC4-5D6E-409C-BE32-E72D297353CC}">
              <c16:uniqueId val="{00000000-E717-4F5E-ADBE-85A50AE89D5B}"/>
            </c:ext>
          </c:extLst>
        </c:ser>
        <c:ser>
          <c:idx val="5"/>
          <c:order val="5"/>
          <c:tx>
            <c:v>DNAN2</c:v>
          </c:tx>
          <c:spPr>
            <a:ln w="25400" cap="rnd">
              <a:noFill/>
              <a:round/>
            </a:ln>
            <a:effectLst/>
          </c:spPr>
          <c:marker>
            <c:symbol val="circle"/>
            <c:size val="5"/>
            <c:spPr>
              <a:solidFill>
                <a:schemeClr val="accent6"/>
              </a:solidFill>
              <a:ln w="9525">
                <a:solidFill>
                  <a:schemeClr val="accent6"/>
                </a:solidFill>
              </a:ln>
              <a:effectLst/>
            </c:spPr>
          </c:marker>
          <c:trendline>
            <c:spPr>
              <a:ln w="19050" cap="rnd">
                <a:solidFill>
                  <a:schemeClr val="accent6"/>
                </a:solidFill>
                <a:prstDash val="sysDot"/>
              </a:ln>
              <a:effectLst/>
            </c:spPr>
            <c:trendlineType val="linear"/>
            <c:dispRSqr val="1"/>
            <c:dispEq val="1"/>
            <c:trendlineLbl>
              <c:layout>
                <c:manualLayout>
                  <c:x val="0.10197343778122574"/>
                  <c:y val="-8.243931365401982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Sample5!$B$14:$B$19</c:f>
              <c:numCache>
                <c:formatCode>General</c:formatCode>
                <c:ptCount val="6"/>
                <c:pt idx="0">
                  <c:v>50</c:v>
                </c:pt>
                <c:pt idx="1">
                  <c:v>60</c:v>
                </c:pt>
                <c:pt idx="2">
                  <c:v>70</c:v>
                </c:pt>
                <c:pt idx="3">
                  <c:v>80</c:v>
                </c:pt>
                <c:pt idx="4">
                  <c:v>90</c:v>
                </c:pt>
                <c:pt idx="5">
                  <c:v>100</c:v>
                </c:pt>
              </c:numCache>
            </c:numRef>
          </c:xVal>
          <c:yVal>
            <c:numRef>
              <c:f>Sample5!$O$14:$O$19</c:f>
              <c:numCache>
                <c:formatCode>0.00</c:formatCode>
                <c:ptCount val="6"/>
                <c:pt idx="0">
                  <c:v>1.223524520030876</c:v>
                </c:pt>
                <c:pt idx="1">
                  <c:v>1.4387626905915938</c:v>
                </c:pt>
                <c:pt idx="2">
                  <c:v>1.9406522785749325</c:v>
                </c:pt>
                <c:pt idx="3">
                  <c:v>1.9406522785749325</c:v>
                </c:pt>
                <c:pt idx="4">
                  <c:v>2.253829510872273</c:v>
                </c:pt>
                <c:pt idx="5">
                  <c:v>2.3036272790491394</c:v>
                </c:pt>
              </c:numCache>
            </c:numRef>
          </c:yVal>
          <c:smooth val="0"/>
          <c:extLst>
            <c:ext xmlns:c16="http://schemas.microsoft.com/office/drawing/2014/chart" uri="{C3380CC4-5D6E-409C-BE32-E72D297353CC}">
              <c16:uniqueId val="{00000001-E717-4F5E-ADBE-85A50AE89D5B}"/>
            </c:ext>
          </c:extLst>
        </c:ser>
        <c:ser>
          <c:idx val="6"/>
          <c:order val="6"/>
          <c:tx>
            <c:v>RDX</c:v>
          </c:tx>
          <c:spPr>
            <a:ln w="25400" cap="rnd">
              <a:noFill/>
              <a:round/>
            </a:ln>
            <a:effectLst/>
          </c:spPr>
          <c:marker>
            <c:symbol val="circle"/>
            <c:size val="5"/>
            <c:spPr>
              <a:solidFill>
                <a:schemeClr val="accent1">
                  <a:lumMod val="60000"/>
                </a:schemeClr>
              </a:solidFill>
              <a:ln w="9525">
                <a:solidFill>
                  <a:schemeClr val="accent1">
                    <a:lumMod val="60000"/>
                  </a:schemeClr>
                </a:solidFill>
              </a:ln>
              <a:effectLst/>
            </c:spPr>
          </c:marker>
          <c:trendline>
            <c:spPr>
              <a:ln w="19050" cap="rnd">
                <a:solidFill>
                  <a:schemeClr val="accent1">
                    <a:lumMod val="60000"/>
                  </a:schemeClr>
                </a:solidFill>
                <a:prstDash val="sysDot"/>
              </a:ln>
              <a:effectLst/>
            </c:spPr>
            <c:trendlineType val="linear"/>
            <c:dispRSqr val="0"/>
            <c:dispEq val="0"/>
          </c:trendline>
          <c:xVal>
            <c:numRef>
              <c:f>Sample5!$B$14:$B$19</c:f>
              <c:numCache>
                <c:formatCode>General</c:formatCode>
                <c:ptCount val="6"/>
                <c:pt idx="0">
                  <c:v>50</c:v>
                </c:pt>
                <c:pt idx="1">
                  <c:v>60</c:v>
                </c:pt>
                <c:pt idx="2">
                  <c:v>70</c:v>
                </c:pt>
                <c:pt idx="3">
                  <c:v>80</c:v>
                </c:pt>
                <c:pt idx="4">
                  <c:v>90</c:v>
                </c:pt>
                <c:pt idx="5">
                  <c:v>100</c:v>
                </c:pt>
              </c:numCache>
            </c:numRef>
          </c:xVal>
          <c:yVal>
            <c:numRef>
              <c:f>Sample5!$P$14:$P$19</c:f>
              <c:numCache>
                <c:formatCode>0.00</c:formatCode>
                <c:ptCount val="6"/>
                <c:pt idx="0">
                  <c:v>0.49716424176472385</c:v>
                </c:pt>
                <c:pt idx="1">
                  <c:v>0.54655041640105839</c:v>
                </c:pt>
                <c:pt idx="2">
                  <c:v>0.76235067728154549</c:v>
                </c:pt>
                <c:pt idx="3">
                  <c:v>0.76235067728154549</c:v>
                </c:pt>
                <c:pt idx="4">
                  <c:v>0.89052040078042405</c:v>
                </c:pt>
                <c:pt idx="5">
                  <c:v>0.99794968167757236</c:v>
                </c:pt>
              </c:numCache>
            </c:numRef>
          </c:yVal>
          <c:smooth val="0"/>
          <c:extLst>
            <c:ext xmlns:c16="http://schemas.microsoft.com/office/drawing/2014/chart" uri="{C3380CC4-5D6E-409C-BE32-E72D297353CC}">
              <c16:uniqueId val="{00000002-E717-4F5E-ADBE-85A50AE89D5B}"/>
            </c:ext>
          </c:extLst>
        </c:ser>
        <c:dLbls>
          <c:showLegendKey val="0"/>
          <c:showVal val="0"/>
          <c:showCatName val="0"/>
          <c:showSerName val="0"/>
          <c:showPercent val="0"/>
          <c:showBubbleSize val="0"/>
        </c:dLbls>
        <c:axId val="990605536"/>
        <c:axId val="990605952"/>
      </c:scatterChart>
      <c:valAx>
        <c:axId val="9906055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 (min)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0605952"/>
        <c:crosses val="autoZero"/>
        <c:crossBetween val="midCat"/>
      </c:valAx>
      <c:valAx>
        <c:axId val="990605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Mass (mg)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06055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IMX compounds (10 sessions)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Dissolved (%)</c:v>
          </c:tx>
          <c:spPr>
            <a:solidFill>
              <a:schemeClr val="accent5">
                <a:lumMod val="20000"/>
                <a:lumOff val="80000"/>
              </a:schemeClr>
            </a:solidFill>
            <a:ln>
              <a:noFill/>
            </a:ln>
            <a:effectLst/>
          </c:spPr>
          <c:invertIfNegative val="0"/>
          <c:cat>
            <c:strRef>
              <c:f>Sample5!$G$24:$I$24</c:f>
              <c:strCache>
                <c:ptCount val="3"/>
                <c:pt idx="0">
                  <c:v>NTO</c:v>
                </c:pt>
                <c:pt idx="1">
                  <c:v>DNAN</c:v>
                </c:pt>
                <c:pt idx="2">
                  <c:v>RDX</c:v>
                </c:pt>
              </c:strCache>
            </c:strRef>
          </c:cat>
          <c:val>
            <c:numRef>
              <c:f>Sample5!$G$30:$I$30</c:f>
              <c:numCache>
                <c:formatCode>0</c:formatCode>
                <c:ptCount val="3"/>
                <c:pt idx="0">
                  <c:v>23.37912273691315</c:v>
                </c:pt>
                <c:pt idx="1">
                  <c:v>8.0157528828018592</c:v>
                </c:pt>
                <c:pt idx="2">
                  <c:v>6.9484869568794387</c:v>
                </c:pt>
              </c:numCache>
            </c:numRef>
          </c:val>
          <c:extLst>
            <c:ext xmlns:c16="http://schemas.microsoft.com/office/drawing/2014/chart" uri="{C3380CC4-5D6E-409C-BE32-E72D297353CC}">
              <c16:uniqueId val="{00000000-004C-4FC9-924A-BF5896BDD6BE}"/>
            </c:ext>
          </c:extLst>
        </c:ser>
        <c:ser>
          <c:idx val="1"/>
          <c:order val="1"/>
          <c:tx>
            <c:v>Remaining (%)</c:v>
          </c:tx>
          <c:spPr>
            <a:solidFill>
              <a:schemeClr val="accent4">
                <a:lumMod val="75000"/>
              </a:schemeClr>
            </a:solidFill>
            <a:ln>
              <a:noFill/>
            </a:ln>
            <a:effectLst/>
          </c:spPr>
          <c:invertIfNegative val="0"/>
          <c:cat>
            <c:strRef>
              <c:f>Sample5!$G$24:$I$24</c:f>
              <c:strCache>
                <c:ptCount val="3"/>
                <c:pt idx="0">
                  <c:v>NTO</c:v>
                </c:pt>
                <c:pt idx="1">
                  <c:v>DNAN</c:v>
                </c:pt>
                <c:pt idx="2">
                  <c:v>RDX</c:v>
                </c:pt>
              </c:strCache>
            </c:strRef>
          </c:cat>
          <c:val>
            <c:numRef>
              <c:f>Sample5!$G$31:$I$31</c:f>
              <c:numCache>
                <c:formatCode>0</c:formatCode>
                <c:ptCount val="3"/>
                <c:pt idx="0">
                  <c:v>76.620877263086854</c:v>
                </c:pt>
                <c:pt idx="1">
                  <c:v>91.984247117198137</c:v>
                </c:pt>
                <c:pt idx="2">
                  <c:v>93.051513043120565</c:v>
                </c:pt>
              </c:numCache>
            </c:numRef>
          </c:val>
          <c:extLst>
            <c:ext xmlns:c16="http://schemas.microsoft.com/office/drawing/2014/chart" uri="{C3380CC4-5D6E-409C-BE32-E72D297353CC}">
              <c16:uniqueId val="{00000001-004C-4FC9-924A-BF5896BDD6BE}"/>
            </c:ext>
          </c:extLst>
        </c:ser>
        <c:dLbls>
          <c:showLegendKey val="0"/>
          <c:showVal val="0"/>
          <c:showCatName val="0"/>
          <c:showSerName val="0"/>
          <c:showPercent val="0"/>
          <c:showBubbleSize val="0"/>
        </c:dLbls>
        <c:gapWidth val="219"/>
        <c:overlap val="-27"/>
        <c:axId val="1077287216"/>
        <c:axId val="1077289712"/>
      </c:barChart>
      <c:catAx>
        <c:axId val="10772872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Compounds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7289712"/>
        <c:crosses val="autoZero"/>
        <c:auto val="1"/>
        <c:lblAlgn val="ctr"/>
        <c:lblOffset val="100"/>
        <c:noMultiLvlLbl val="0"/>
      </c:catAx>
      <c:valAx>
        <c:axId val="107728971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7287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Dissolution rate of IMX-104 compounds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NTO1</c:v>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Sample6!$A$4:$A$8</c:f>
              <c:numCache>
                <c:formatCode>General</c:formatCode>
                <c:ptCount val="5"/>
                <c:pt idx="0">
                  <c:v>0</c:v>
                </c:pt>
                <c:pt idx="1">
                  <c:v>1</c:v>
                </c:pt>
                <c:pt idx="2">
                  <c:v>2</c:v>
                </c:pt>
                <c:pt idx="3">
                  <c:v>3</c:v>
                </c:pt>
                <c:pt idx="4">
                  <c:v>4</c:v>
                </c:pt>
              </c:numCache>
            </c:numRef>
          </c:xVal>
          <c:yVal>
            <c:numRef>
              <c:f>Sample6!$N$4:$N$7</c:f>
              <c:numCache>
                <c:formatCode>0.00</c:formatCode>
                <c:ptCount val="4"/>
                <c:pt idx="0" formatCode="General">
                  <c:v>0</c:v>
                </c:pt>
                <c:pt idx="1">
                  <c:v>1.1943229658990893</c:v>
                </c:pt>
                <c:pt idx="2">
                  <c:v>2.1273339957278772</c:v>
                </c:pt>
                <c:pt idx="3">
                  <c:v>2.7823323945660219</c:v>
                </c:pt>
              </c:numCache>
            </c:numRef>
          </c:yVal>
          <c:smooth val="0"/>
          <c:extLst>
            <c:ext xmlns:c16="http://schemas.microsoft.com/office/drawing/2014/chart" uri="{C3380CC4-5D6E-409C-BE32-E72D297353CC}">
              <c16:uniqueId val="{00000000-064E-4DC2-B1D5-C2F4A5AF3374}"/>
            </c:ext>
          </c:extLst>
        </c:ser>
        <c:ser>
          <c:idx val="1"/>
          <c:order val="1"/>
          <c:spPr>
            <a:ln w="1905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0.16239391951006124"/>
                  <c:y val="-0.10452354913969084"/>
                </c:manualLayout>
              </c:layout>
              <c:numFmt formatCode="General" sourceLinked="0"/>
              <c:spPr>
                <a:solidFill>
                  <a:schemeClr val="lt1"/>
                </a:solidFill>
                <a:ln w="12700" cap="flat" cmpd="sng" algn="ctr">
                  <a:solidFill>
                    <a:schemeClr val="accent2"/>
                  </a:solidFill>
                  <a:prstDash val="solid"/>
                  <a:miter lim="800000"/>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rendlineLbl>
          </c:trendline>
          <c:xVal>
            <c:numRef>
              <c:f>Sample6!$A$4:$A$14</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Sample6!$O$4:$O$14</c:f>
              <c:numCache>
                <c:formatCode>0.00</c:formatCode>
                <c:ptCount val="11"/>
                <c:pt idx="0" formatCode="General">
                  <c:v>0</c:v>
                </c:pt>
                <c:pt idx="1">
                  <c:v>6.3384957029085504E-2</c:v>
                </c:pt>
                <c:pt idx="2">
                  <c:v>0.13332809053770683</c:v>
                </c:pt>
                <c:pt idx="3">
                  <c:v>0.20086978764436814</c:v>
                </c:pt>
                <c:pt idx="4">
                  <c:v>0.26350866312106824</c:v>
                </c:pt>
                <c:pt idx="5">
                  <c:v>0.32396258548006823</c:v>
                </c:pt>
                <c:pt idx="6">
                  <c:v>0.38581938042568908</c:v>
                </c:pt>
                <c:pt idx="7">
                  <c:v>0.45408062207325151</c:v>
                </c:pt>
                <c:pt idx="8">
                  <c:v>0.51804776198133395</c:v>
                </c:pt>
                <c:pt idx="9">
                  <c:v>0.58253172106389683</c:v>
                </c:pt>
                <c:pt idx="10">
                  <c:v>0.6586189884179533</c:v>
                </c:pt>
              </c:numCache>
            </c:numRef>
          </c:yVal>
          <c:smooth val="0"/>
          <c:extLst>
            <c:ext xmlns:c16="http://schemas.microsoft.com/office/drawing/2014/chart" uri="{C3380CC4-5D6E-409C-BE32-E72D297353CC}">
              <c16:uniqueId val="{00000001-064E-4DC2-B1D5-C2F4A5AF3374}"/>
            </c:ext>
          </c:extLst>
        </c:ser>
        <c:ser>
          <c:idx val="2"/>
          <c:order val="2"/>
          <c:spPr>
            <a:ln w="1905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1"/>
            <c:dispEq val="1"/>
            <c:trendlineLbl>
              <c:layout>
                <c:manualLayout>
                  <c:x val="0.17628280839895014"/>
                  <c:y val="8.4474701079031878E-2"/>
                </c:manualLayout>
              </c:layout>
              <c:numFmt formatCode="General" sourceLinked="0"/>
              <c:spPr>
                <a:solidFill>
                  <a:schemeClr val="lt1"/>
                </a:solidFill>
                <a:ln w="12700" cap="flat" cmpd="sng" algn="ctr">
                  <a:solidFill>
                    <a:schemeClr val="accent3"/>
                  </a:solidFill>
                  <a:prstDash val="solid"/>
                  <a:miter lim="800000"/>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rendlineLbl>
          </c:trendline>
          <c:xVal>
            <c:numRef>
              <c:f>Sample6!$A$4:$A$14</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xVal>
          <c:yVal>
            <c:numRef>
              <c:f>Sample6!$P$4:$P$14</c:f>
              <c:numCache>
                <c:formatCode>0.00</c:formatCode>
                <c:ptCount val="11"/>
                <c:pt idx="0" formatCode="General">
                  <c:v>0</c:v>
                </c:pt>
                <c:pt idx="1">
                  <c:v>1.9428142221238308E-2</c:v>
                </c:pt>
                <c:pt idx="2">
                  <c:v>3.2466982924701598E-2</c:v>
                </c:pt>
                <c:pt idx="3">
                  <c:v>5.6952609787659085E-2</c:v>
                </c:pt>
                <c:pt idx="4">
                  <c:v>8.182885538310708E-2</c:v>
                </c:pt>
                <c:pt idx="5">
                  <c:v>0.10288114917627959</c:v>
                </c:pt>
                <c:pt idx="6">
                  <c:v>0.1184161107113961</c:v>
                </c:pt>
                <c:pt idx="7">
                  <c:v>0.14255139746519185</c:v>
                </c:pt>
                <c:pt idx="8">
                  <c:v>0.15870941895492532</c:v>
                </c:pt>
                <c:pt idx="9">
                  <c:v>0.18680942290815075</c:v>
                </c:pt>
                <c:pt idx="10">
                  <c:v>0.21053604946275664</c:v>
                </c:pt>
              </c:numCache>
            </c:numRef>
          </c:yVal>
          <c:smooth val="0"/>
          <c:extLst>
            <c:ext xmlns:c16="http://schemas.microsoft.com/office/drawing/2014/chart" uri="{C3380CC4-5D6E-409C-BE32-E72D297353CC}">
              <c16:uniqueId val="{00000002-064E-4DC2-B1D5-C2F4A5AF3374}"/>
            </c:ext>
          </c:extLst>
        </c:ser>
        <c:ser>
          <c:idx val="3"/>
          <c:order val="3"/>
          <c:tx>
            <c:v>NTO2</c:v>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1"/>
            <c:dispEq val="1"/>
            <c:trendlineLbl>
              <c:layout>
                <c:manualLayout>
                  <c:x val="-0.13707611548556425"/>
                  <c:y val="-4.0958742756519803E-4"/>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Sample6!$A$7:$A$14</c:f>
              <c:numCache>
                <c:formatCode>General</c:formatCode>
                <c:ptCount val="8"/>
                <c:pt idx="0">
                  <c:v>3</c:v>
                </c:pt>
                <c:pt idx="1">
                  <c:v>4</c:v>
                </c:pt>
                <c:pt idx="2">
                  <c:v>5</c:v>
                </c:pt>
                <c:pt idx="3">
                  <c:v>6</c:v>
                </c:pt>
                <c:pt idx="4">
                  <c:v>7</c:v>
                </c:pt>
                <c:pt idx="5">
                  <c:v>8</c:v>
                </c:pt>
                <c:pt idx="6">
                  <c:v>9</c:v>
                </c:pt>
                <c:pt idx="7">
                  <c:v>10</c:v>
                </c:pt>
              </c:numCache>
            </c:numRef>
          </c:xVal>
          <c:yVal>
            <c:numRef>
              <c:f>Sample6!$N$7:$N$14</c:f>
              <c:numCache>
                <c:formatCode>0.00</c:formatCode>
                <c:ptCount val="8"/>
                <c:pt idx="0">
                  <c:v>2.7823323945660219</c:v>
                </c:pt>
                <c:pt idx="1">
                  <c:v>3.2867073338328083</c:v>
                </c:pt>
                <c:pt idx="2">
                  <c:v>3.6611294797885612</c:v>
                </c:pt>
                <c:pt idx="3">
                  <c:v>3.991943528972842</c:v>
                </c:pt>
                <c:pt idx="4">
                  <c:v>4.3214625957430925</c:v>
                </c:pt>
                <c:pt idx="5">
                  <c:v>4.6090925785928194</c:v>
                </c:pt>
                <c:pt idx="6">
                  <c:v>4.8726754574486684</c:v>
                </c:pt>
                <c:pt idx="7">
                  <c:v>5.1231513629234495</c:v>
                </c:pt>
              </c:numCache>
            </c:numRef>
          </c:yVal>
          <c:smooth val="0"/>
          <c:extLst>
            <c:ext xmlns:c16="http://schemas.microsoft.com/office/drawing/2014/chart" uri="{C3380CC4-5D6E-409C-BE32-E72D297353CC}">
              <c16:uniqueId val="{00000003-064E-4DC2-B1D5-C2F4A5AF3374}"/>
            </c:ext>
          </c:extLst>
        </c:ser>
        <c:dLbls>
          <c:showLegendKey val="0"/>
          <c:showVal val="0"/>
          <c:showCatName val="0"/>
          <c:showSerName val="0"/>
          <c:showPercent val="0"/>
          <c:showBubbleSize val="0"/>
        </c:dLbls>
        <c:axId val="990605536"/>
        <c:axId val="990605952"/>
      </c:scatterChart>
      <c:valAx>
        <c:axId val="9906055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Session</a:t>
                </a:r>
              </a:p>
            </c:rich>
          </c:tx>
          <c:layout>
            <c:manualLayout>
              <c:xMode val="edge"/>
              <c:yMode val="edge"/>
              <c:x val="0.48506124234470693"/>
              <c:y val="0.8716396720003812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0605952"/>
        <c:crosses val="autoZero"/>
        <c:crossBetween val="midCat"/>
      </c:valAx>
      <c:valAx>
        <c:axId val="99060595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Mass (mg)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06055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Dissolution rate of IMX-104 compounds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NTO1</c:v>
          </c:tx>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3.9512029746281714E-2"/>
                  <c:y val="-6.2328561202576953E-2"/>
                </c:manualLayout>
              </c:layout>
              <c:numFmt formatCode="General" sourceLinked="0"/>
              <c:spPr>
                <a:solidFill>
                  <a:schemeClr val="lt1"/>
                </a:solidFill>
                <a:ln w="12700" cap="flat" cmpd="sng" algn="ctr">
                  <a:solidFill>
                    <a:schemeClr val="accent1"/>
                  </a:solidFill>
                  <a:prstDash val="solid"/>
                  <a:miter lim="800000"/>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rendlineLbl>
          </c:trendline>
          <c:xVal>
            <c:numRef>
              <c:f>Sample6!$B$4:$B$8</c:f>
              <c:numCache>
                <c:formatCode>General</c:formatCode>
                <c:ptCount val="5"/>
                <c:pt idx="0">
                  <c:v>0</c:v>
                </c:pt>
                <c:pt idx="1">
                  <c:v>5</c:v>
                </c:pt>
                <c:pt idx="2">
                  <c:v>10</c:v>
                </c:pt>
                <c:pt idx="3">
                  <c:v>15</c:v>
                </c:pt>
                <c:pt idx="4">
                  <c:v>20</c:v>
                </c:pt>
              </c:numCache>
            </c:numRef>
          </c:xVal>
          <c:yVal>
            <c:numRef>
              <c:f>Sample6!$N$4:$N$7</c:f>
              <c:numCache>
                <c:formatCode>0.00</c:formatCode>
                <c:ptCount val="4"/>
                <c:pt idx="0" formatCode="General">
                  <c:v>0</c:v>
                </c:pt>
                <c:pt idx="1">
                  <c:v>1.1943229658990893</c:v>
                </c:pt>
                <c:pt idx="2">
                  <c:v>2.1273339957278772</c:v>
                </c:pt>
                <c:pt idx="3">
                  <c:v>2.7823323945660219</c:v>
                </c:pt>
              </c:numCache>
            </c:numRef>
          </c:yVal>
          <c:smooth val="0"/>
          <c:extLst>
            <c:ext xmlns:c16="http://schemas.microsoft.com/office/drawing/2014/chart" uri="{C3380CC4-5D6E-409C-BE32-E72D297353CC}">
              <c16:uniqueId val="{00000000-67D9-4BB9-B68B-7FA11247070D}"/>
            </c:ext>
          </c:extLst>
        </c:ser>
        <c:ser>
          <c:idx val="1"/>
          <c:order val="1"/>
          <c:tx>
            <c:v>DNAN</c:v>
          </c:tx>
          <c:spPr>
            <a:ln w="1905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0.16239391951006124"/>
                  <c:y val="-0.10452354913969084"/>
                </c:manualLayout>
              </c:layout>
              <c:numFmt formatCode="General" sourceLinked="0"/>
              <c:spPr>
                <a:solidFill>
                  <a:schemeClr val="lt1"/>
                </a:solidFill>
                <a:ln w="12700" cap="flat" cmpd="sng" algn="ctr">
                  <a:solidFill>
                    <a:schemeClr val="accent2"/>
                  </a:solidFill>
                  <a:prstDash val="solid"/>
                  <a:miter lim="800000"/>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rendlineLbl>
          </c:trendline>
          <c:xVal>
            <c:numRef>
              <c:f>Sample6!$B$4:$B$14</c:f>
              <c:numCache>
                <c:formatCode>General</c:formatCode>
                <c:ptCount val="11"/>
                <c:pt idx="0">
                  <c:v>0</c:v>
                </c:pt>
                <c:pt idx="1">
                  <c:v>5</c:v>
                </c:pt>
                <c:pt idx="2">
                  <c:v>10</c:v>
                </c:pt>
                <c:pt idx="3">
                  <c:v>15</c:v>
                </c:pt>
                <c:pt idx="4">
                  <c:v>20</c:v>
                </c:pt>
                <c:pt idx="5">
                  <c:v>25</c:v>
                </c:pt>
                <c:pt idx="6">
                  <c:v>30</c:v>
                </c:pt>
                <c:pt idx="7">
                  <c:v>35</c:v>
                </c:pt>
                <c:pt idx="8">
                  <c:v>40</c:v>
                </c:pt>
                <c:pt idx="9">
                  <c:v>45</c:v>
                </c:pt>
                <c:pt idx="10">
                  <c:v>50</c:v>
                </c:pt>
              </c:numCache>
            </c:numRef>
          </c:xVal>
          <c:yVal>
            <c:numRef>
              <c:f>Sample6!$O$4:$O$14</c:f>
              <c:numCache>
                <c:formatCode>0.00</c:formatCode>
                <c:ptCount val="11"/>
                <c:pt idx="0" formatCode="General">
                  <c:v>0</c:v>
                </c:pt>
                <c:pt idx="1">
                  <c:v>6.3384957029085504E-2</c:v>
                </c:pt>
                <c:pt idx="2">
                  <c:v>0.13332809053770683</c:v>
                </c:pt>
                <c:pt idx="3">
                  <c:v>0.20086978764436814</c:v>
                </c:pt>
                <c:pt idx="4">
                  <c:v>0.26350866312106824</c:v>
                </c:pt>
                <c:pt idx="5">
                  <c:v>0.32396258548006823</c:v>
                </c:pt>
                <c:pt idx="6">
                  <c:v>0.38581938042568908</c:v>
                </c:pt>
                <c:pt idx="7">
                  <c:v>0.45408062207325151</c:v>
                </c:pt>
                <c:pt idx="8">
                  <c:v>0.51804776198133395</c:v>
                </c:pt>
                <c:pt idx="9">
                  <c:v>0.58253172106389683</c:v>
                </c:pt>
                <c:pt idx="10">
                  <c:v>0.6586189884179533</c:v>
                </c:pt>
              </c:numCache>
            </c:numRef>
          </c:yVal>
          <c:smooth val="0"/>
          <c:extLst>
            <c:ext xmlns:c16="http://schemas.microsoft.com/office/drawing/2014/chart" uri="{C3380CC4-5D6E-409C-BE32-E72D297353CC}">
              <c16:uniqueId val="{00000001-67D9-4BB9-B68B-7FA11247070D}"/>
            </c:ext>
          </c:extLst>
        </c:ser>
        <c:ser>
          <c:idx val="2"/>
          <c:order val="2"/>
          <c:tx>
            <c:v>RDX</c:v>
          </c:tx>
          <c:spPr>
            <a:ln w="19050"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1"/>
            <c:dispEq val="1"/>
            <c:trendlineLbl>
              <c:layout>
                <c:manualLayout>
                  <c:x val="0.17628280839895014"/>
                  <c:y val="8.4474701079031878E-2"/>
                </c:manualLayout>
              </c:layout>
              <c:numFmt formatCode="General" sourceLinked="0"/>
              <c:spPr>
                <a:solidFill>
                  <a:schemeClr val="lt1"/>
                </a:solidFill>
                <a:ln w="12700" cap="flat" cmpd="sng" algn="ctr">
                  <a:solidFill>
                    <a:schemeClr val="accent3"/>
                  </a:solidFill>
                  <a:prstDash val="solid"/>
                  <a:miter lim="800000"/>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rendlineLbl>
          </c:trendline>
          <c:xVal>
            <c:numRef>
              <c:f>Sample6!$B$4:$B$14</c:f>
              <c:numCache>
                <c:formatCode>General</c:formatCode>
                <c:ptCount val="11"/>
                <c:pt idx="0">
                  <c:v>0</c:v>
                </c:pt>
                <c:pt idx="1">
                  <c:v>5</c:v>
                </c:pt>
                <c:pt idx="2">
                  <c:v>10</c:v>
                </c:pt>
                <c:pt idx="3">
                  <c:v>15</c:v>
                </c:pt>
                <c:pt idx="4">
                  <c:v>20</c:v>
                </c:pt>
                <c:pt idx="5">
                  <c:v>25</c:v>
                </c:pt>
                <c:pt idx="6">
                  <c:v>30</c:v>
                </c:pt>
                <c:pt idx="7">
                  <c:v>35</c:v>
                </c:pt>
                <c:pt idx="8">
                  <c:v>40</c:v>
                </c:pt>
                <c:pt idx="9">
                  <c:v>45</c:v>
                </c:pt>
                <c:pt idx="10">
                  <c:v>50</c:v>
                </c:pt>
              </c:numCache>
            </c:numRef>
          </c:xVal>
          <c:yVal>
            <c:numRef>
              <c:f>Sample6!$P$4:$P$14</c:f>
              <c:numCache>
                <c:formatCode>0.00</c:formatCode>
                <c:ptCount val="11"/>
                <c:pt idx="0" formatCode="General">
                  <c:v>0</c:v>
                </c:pt>
                <c:pt idx="1">
                  <c:v>1.9428142221238308E-2</c:v>
                </c:pt>
                <c:pt idx="2">
                  <c:v>3.2466982924701598E-2</c:v>
                </c:pt>
                <c:pt idx="3">
                  <c:v>5.6952609787659085E-2</c:v>
                </c:pt>
                <c:pt idx="4">
                  <c:v>8.182885538310708E-2</c:v>
                </c:pt>
                <c:pt idx="5">
                  <c:v>0.10288114917627959</c:v>
                </c:pt>
                <c:pt idx="6">
                  <c:v>0.1184161107113961</c:v>
                </c:pt>
                <c:pt idx="7">
                  <c:v>0.14255139746519185</c:v>
                </c:pt>
                <c:pt idx="8">
                  <c:v>0.15870941895492532</c:v>
                </c:pt>
                <c:pt idx="9">
                  <c:v>0.18680942290815075</c:v>
                </c:pt>
                <c:pt idx="10">
                  <c:v>0.21053604946275664</c:v>
                </c:pt>
              </c:numCache>
            </c:numRef>
          </c:yVal>
          <c:smooth val="0"/>
          <c:extLst>
            <c:ext xmlns:c16="http://schemas.microsoft.com/office/drawing/2014/chart" uri="{C3380CC4-5D6E-409C-BE32-E72D297353CC}">
              <c16:uniqueId val="{00000002-67D9-4BB9-B68B-7FA11247070D}"/>
            </c:ext>
          </c:extLst>
        </c:ser>
        <c:ser>
          <c:idx val="3"/>
          <c:order val="3"/>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1"/>
            <c:dispEq val="1"/>
            <c:trendlineLbl>
              <c:layout>
                <c:manualLayout>
                  <c:x val="-9.0520559930008751E-2"/>
                  <c:y val="-5.9888891971020118E-2"/>
                </c:manualLayout>
              </c:layout>
              <c:numFmt formatCode="General" sourceLinked="0"/>
              <c:spPr>
                <a:solidFill>
                  <a:schemeClr val="lt1"/>
                </a:solidFill>
                <a:ln w="12700" cap="flat" cmpd="sng" algn="ctr">
                  <a:solidFill>
                    <a:schemeClr val="accent5"/>
                  </a:solidFill>
                  <a:prstDash val="solid"/>
                  <a:miter lim="800000"/>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rendlineLbl>
          </c:trendline>
          <c:xVal>
            <c:numRef>
              <c:f>Sample6!$B$7:$B$14</c:f>
              <c:numCache>
                <c:formatCode>General</c:formatCode>
                <c:ptCount val="8"/>
                <c:pt idx="0">
                  <c:v>15</c:v>
                </c:pt>
                <c:pt idx="1">
                  <c:v>20</c:v>
                </c:pt>
                <c:pt idx="2">
                  <c:v>25</c:v>
                </c:pt>
                <c:pt idx="3">
                  <c:v>30</c:v>
                </c:pt>
                <c:pt idx="4">
                  <c:v>35</c:v>
                </c:pt>
                <c:pt idx="5">
                  <c:v>40</c:v>
                </c:pt>
                <c:pt idx="6">
                  <c:v>45</c:v>
                </c:pt>
                <c:pt idx="7">
                  <c:v>50</c:v>
                </c:pt>
              </c:numCache>
            </c:numRef>
          </c:xVal>
          <c:yVal>
            <c:numRef>
              <c:f>Sample6!$N$7:$N$14</c:f>
              <c:numCache>
                <c:formatCode>0.00</c:formatCode>
                <c:ptCount val="8"/>
                <c:pt idx="0">
                  <c:v>2.7823323945660219</c:v>
                </c:pt>
                <c:pt idx="1">
                  <c:v>3.2867073338328083</c:v>
                </c:pt>
                <c:pt idx="2">
                  <c:v>3.6611294797885612</c:v>
                </c:pt>
                <c:pt idx="3">
                  <c:v>3.991943528972842</c:v>
                </c:pt>
                <c:pt idx="4">
                  <c:v>4.3214625957430925</c:v>
                </c:pt>
                <c:pt idx="5">
                  <c:v>4.6090925785928194</c:v>
                </c:pt>
                <c:pt idx="6">
                  <c:v>4.8726754574486684</c:v>
                </c:pt>
                <c:pt idx="7">
                  <c:v>5.1231513629234495</c:v>
                </c:pt>
              </c:numCache>
            </c:numRef>
          </c:yVal>
          <c:smooth val="0"/>
          <c:extLst>
            <c:ext xmlns:c16="http://schemas.microsoft.com/office/drawing/2014/chart" uri="{C3380CC4-5D6E-409C-BE32-E72D297353CC}">
              <c16:uniqueId val="{00000003-67D9-4BB9-B68B-7FA11247070D}"/>
            </c:ext>
          </c:extLst>
        </c:ser>
        <c:ser>
          <c:idx val="4"/>
          <c:order val="4"/>
          <c:tx>
            <c:v>NTO3</c:v>
          </c:tx>
          <c:spPr>
            <a:ln w="25400" cap="rnd">
              <a:noFill/>
              <a:round/>
            </a:ln>
            <a:effectLst/>
          </c:spPr>
          <c:marker>
            <c:symbol val="circle"/>
            <c:size val="5"/>
            <c:spPr>
              <a:solidFill>
                <a:schemeClr val="accent5"/>
              </a:solidFill>
              <a:ln w="9525">
                <a:solidFill>
                  <a:schemeClr val="accent5"/>
                </a:solidFill>
              </a:ln>
              <a:effectLst/>
            </c:spPr>
          </c:marker>
          <c:trendline>
            <c:spPr>
              <a:ln w="19050" cap="rnd">
                <a:solidFill>
                  <a:schemeClr val="accent5"/>
                </a:solidFill>
                <a:prstDash val="sysDot"/>
              </a:ln>
              <a:effectLst/>
            </c:spPr>
            <c:trendlineType val="linear"/>
            <c:dispRSqr val="1"/>
            <c:dispEq val="1"/>
            <c:trendlineLbl>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Sample6!$B$14:$B$19</c:f>
              <c:numCache>
                <c:formatCode>General</c:formatCode>
                <c:ptCount val="6"/>
                <c:pt idx="0">
                  <c:v>50</c:v>
                </c:pt>
                <c:pt idx="1">
                  <c:v>60</c:v>
                </c:pt>
                <c:pt idx="2">
                  <c:v>70</c:v>
                </c:pt>
                <c:pt idx="3">
                  <c:v>80</c:v>
                </c:pt>
                <c:pt idx="4">
                  <c:v>90</c:v>
                </c:pt>
                <c:pt idx="5">
                  <c:v>100</c:v>
                </c:pt>
              </c:numCache>
            </c:numRef>
          </c:xVal>
          <c:yVal>
            <c:numRef>
              <c:f>Sample6!$N$14:$N$19</c:f>
              <c:numCache>
                <c:formatCode>0.00</c:formatCode>
                <c:ptCount val="6"/>
                <c:pt idx="0">
                  <c:v>5.1231513629234495</c:v>
                </c:pt>
                <c:pt idx="1">
                  <c:v>5.6452060042563552</c:v>
                </c:pt>
                <c:pt idx="2">
                  <c:v>6.1090188970471271</c:v>
                </c:pt>
                <c:pt idx="3">
                  <c:v>6.6058550590618657</c:v>
                </c:pt>
                <c:pt idx="4">
                  <c:v>6.9589602316091259</c:v>
                </c:pt>
                <c:pt idx="5">
                  <c:v>7.5005929215162066</c:v>
                </c:pt>
              </c:numCache>
            </c:numRef>
          </c:yVal>
          <c:smooth val="0"/>
          <c:extLst>
            <c:ext xmlns:c16="http://schemas.microsoft.com/office/drawing/2014/chart" uri="{C3380CC4-5D6E-409C-BE32-E72D297353CC}">
              <c16:uniqueId val="{00000000-E441-46D1-8CCF-EAA066418014}"/>
            </c:ext>
          </c:extLst>
        </c:ser>
        <c:ser>
          <c:idx val="5"/>
          <c:order val="5"/>
          <c:tx>
            <c:v>DNAN2</c:v>
          </c:tx>
          <c:spPr>
            <a:ln w="25400" cap="rnd">
              <a:noFill/>
              <a:round/>
            </a:ln>
            <a:effectLst/>
          </c:spPr>
          <c:marker>
            <c:symbol val="circle"/>
            <c:size val="5"/>
            <c:spPr>
              <a:solidFill>
                <a:schemeClr val="accent6"/>
              </a:solidFill>
              <a:ln w="9525">
                <a:solidFill>
                  <a:schemeClr val="accent6"/>
                </a:solidFill>
              </a:ln>
              <a:effectLst/>
            </c:spPr>
          </c:marker>
          <c:trendline>
            <c:spPr>
              <a:ln w="19050" cap="rnd">
                <a:solidFill>
                  <a:schemeClr val="accent6"/>
                </a:solidFill>
                <a:prstDash val="sysDot"/>
              </a:ln>
              <a:effectLst/>
            </c:spPr>
            <c:trendlineType val="linear"/>
            <c:dispRSqr val="0"/>
            <c:dispEq val="0"/>
          </c:trendline>
          <c:xVal>
            <c:numRef>
              <c:f>Sample6!$B$14:$B$19</c:f>
              <c:numCache>
                <c:formatCode>General</c:formatCode>
                <c:ptCount val="6"/>
                <c:pt idx="0">
                  <c:v>50</c:v>
                </c:pt>
                <c:pt idx="1">
                  <c:v>60</c:v>
                </c:pt>
                <c:pt idx="2">
                  <c:v>70</c:v>
                </c:pt>
                <c:pt idx="3">
                  <c:v>80</c:v>
                </c:pt>
                <c:pt idx="4">
                  <c:v>90</c:v>
                </c:pt>
                <c:pt idx="5">
                  <c:v>100</c:v>
                </c:pt>
              </c:numCache>
            </c:numRef>
          </c:xVal>
          <c:yVal>
            <c:numRef>
              <c:f>Sample6!$O$14:$O$19</c:f>
              <c:numCache>
                <c:formatCode>0.00</c:formatCode>
                <c:ptCount val="6"/>
                <c:pt idx="0">
                  <c:v>0.6586189884179533</c:v>
                </c:pt>
                <c:pt idx="1">
                  <c:v>0.85121058124354376</c:v>
                </c:pt>
                <c:pt idx="2">
                  <c:v>0.98901113088920334</c:v>
                </c:pt>
                <c:pt idx="3">
                  <c:v>1.135921078038659</c:v>
                </c:pt>
                <c:pt idx="4">
                  <c:v>1.2668686671557303</c:v>
                </c:pt>
                <c:pt idx="5">
                  <c:v>1.4835570993115212</c:v>
                </c:pt>
              </c:numCache>
            </c:numRef>
          </c:yVal>
          <c:smooth val="0"/>
          <c:extLst>
            <c:ext xmlns:c16="http://schemas.microsoft.com/office/drawing/2014/chart" uri="{C3380CC4-5D6E-409C-BE32-E72D297353CC}">
              <c16:uniqueId val="{00000001-E441-46D1-8CCF-EAA066418014}"/>
            </c:ext>
          </c:extLst>
        </c:ser>
        <c:ser>
          <c:idx val="6"/>
          <c:order val="6"/>
          <c:tx>
            <c:v>RDX</c:v>
          </c:tx>
          <c:spPr>
            <a:ln w="25400" cap="rnd">
              <a:noFill/>
              <a:round/>
            </a:ln>
            <a:effectLst/>
          </c:spPr>
          <c:marker>
            <c:symbol val="circle"/>
            <c:size val="5"/>
            <c:spPr>
              <a:solidFill>
                <a:schemeClr val="accent1">
                  <a:lumMod val="60000"/>
                </a:schemeClr>
              </a:solidFill>
              <a:ln w="9525">
                <a:solidFill>
                  <a:schemeClr val="accent1">
                    <a:lumMod val="60000"/>
                  </a:schemeClr>
                </a:solidFill>
              </a:ln>
              <a:effectLst/>
            </c:spPr>
          </c:marker>
          <c:trendline>
            <c:spPr>
              <a:ln w="19050" cap="rnd">
                <a:solidFill>
                  <a:schemeClr val="accent1">
                    <a:lumMod val="60000"/>
                  </a:schemeClr>
                </a:solidFill>
                <a:prstDash val="sysDot"/>
              </a:ln>
              <a:effectLst/>
            </c:spPr>
            <c:trendlineType val="linear"/>
            <c:dispRSqr val="0"/>
            <c:dispEq val="0"/>
          </c:trendline>
          <c:xVal>
            <c:numRef>
              <c:f>Sample6!$B$14:$B$19</c:f>
              <c:numCache>
                <c:formatCode>General</c:formatCode>
                <c:ptCount val="6"/>
                <c:pt idx="0">
                  <c:v>50</c:v>
                </c:pt>
                <c:pt idx="1">
                  <c:v>60</c:v>
                </c:pt>
                <c:pt idx="2">
                  <c:v>70</c:v>
                </c:pt>
                <c:pt idx="3">
                  <c:v>80</c:v>
                </c:pt>
                <c:pt idx="4">
                  <c:v>90</c:v>
                </c:pt>
                <c:pt idx="5">
                  <c:v>100</c:v>
                </c:pt>
              </c:numCache>
            </c:numRef>
          </c:xVal>
          <c:yVal>
            <c:numRef>
              <c:f>Sample6!$P$14:$P$19</c:f>
              <c:numCache>
                <c:formatCode>0.00</c:formatCode>
                <c:ptCount val="6"/>
                <c:pt idx="0">
                  <c:v>0.21053604946275664</c:v>
                </c:pt>
                <c:pt idx="1">
                  <c:v>0.34530368440884973</c:v>
                </c:pt>
                <c:pt idx="2">
                  <c:v>0.47332168730846103</c:v>
                </c:pt>
                <c:pt idx="3">
                  <c:v>0.61094038347376634</c:v>
                </c:pt>
                <c:pt idx="4">
                  <c:v>0.80985552720260046</c:v>
                </c:pt>
                <c:pt idx="5">
                  <c:v>0.88307389764307176</c:v>
                </c:pt>
              </c:numCache>
            </c:numRef>
          </c:yVal>
          <c:smooth val="0"/>
          <c:extLst>
            <c:ext xmlns:c16="http://schemas.microsoft.com/office/drawing/2014/chart" uri="{C3380CC4-5D6E-409C-BE32-E72D297353CC}">
              <c16:uniqueId val="{00000002-E441-46D1-8CCF-EAA066418014}"/>
            </c:ext>
          </c:extLst>
        </c:ser>
        <c:dLbls>
          <c:showLegendKey val="0"/>
          <c:showVal val="0"/>
          <c:showCatName val="0"/>
          <c:showSerName val="0"/>
          <c:showPercent val="0"/>
          <c:showBubbleSize val="0"/>
        </c:dLbls>
        <c:axId val="990605536"/>
        <c:axId val="990605952"/>
      </c:scatterChart>
      <c:valAx>
        <c:axId val="9906055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 (min)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0605952"/>
        <c:crosses val="autoZero"/>
        <c:crossBetween val="midCat"/>
      </c:valAx>
      <c:valAx>
        <c:axId val="990605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Mass (mg)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06055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32657</xdr:colOff>
      <xdr:row>24</xdr:row>
      <xdr:rowOff>97971</xdr:rowOff>
    </xdr:from>
    <xdr:to>
      <xdr:col>17</xdr:col>
      <xdr:colOff>567145</xdr:colOff>
      <xdr:row>35</xdr:row>
      <xdr:rowOff>141511</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72207</xdr:colOff>
      <xdr:row>40</xdr:row>
      <xdr:rowOff>10886</xdr:rowOff>
    </xdr:from>
    <xdr:to>
      <xdr:col>32</xdr:col>
      <xdr:colOff>424542</xdr:colOff>
      <xdr:row>59</xdr:row>
      <xdr:rowOff>65920</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247649</xdr:colOff>
      <xdr:row>16</xdr:row>
      <xdr:rowOff>27896</xdr:rowOff>
    </xdr:from>
    <xdr:to>
      <xdr:col>27</xdr:col>
      <xdr:colOff>561974</xdr:colOff>
      <xdr:row>31</xdr:row>
      <xdr:rowOff>78243</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250371</xdr:colOff>
      <xdr:row>0</xdr:row>
      <xdr:rowOff>174172</xdr:rowOff>
    </xdr:from>
    <xdr:to>
      <xdr:col>27</xdr:col>
      <xdr:colOff>564696</xdr:colOff>
      <xdr:row>15</xdr:row>
      <xdr:rowOff>170090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77290</xdr:colOff>
      <xdr:row>2</xdr:row>
      <xdr:rowOff>38099</xdr:rowOff>
    </xdr:from>
    <xdr:to>
      <xdr:col>33</xdr:col>
      <xdr:colOff>326572</xdr:colOff>
      <xdr:row>8</xdr:row>
      <xdr:rowOff>106679</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4272261" y="451756"/>
          <a:ext cx="6345282" cy="11789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Observations:</a:t>
          </a:r>
        </a:p>
        <a:p>
          <a:r>
            <a:rPr lang="en-GB" sz="1100"/>
            <a:t>- After</a:t>
          </a:r>
          <a:r>
            <a:rPr lang="en-GB" sz="1100" baseline="0"/>
            <a:t> 10 sessions (~10L) the flake remains undissolved, although it's less yellow, suggesting that some NTO may have been dissolved.  </a:t>
          </a:r>
        </a:p>
        <a:p>
          <a:r>
            <a:rPr lang="en-GB" sz="1100" baseline="0"/>
            <a:t>- Need new set up, as flake was held with tweezers to avoid it going to the walls of the funnel and to make sure drops fall on top. </a:t>
          </a:r>
        </a:p>
      </xdr:txBody>
    </xdr:sp>
    <xdr:clientData/>
  </xdr:twoCellAnchor>
  <xdr:twoCellAnchor>
    <xdr:from>
      <xdr:col>21</xdr:col>
      <xdr:colOff>501831</xdr:colOff>
      <xdr:row>25</xdr:row>
      <xdr:rowOff>147501</xdr:rowOff>
    </xdr:from>
    <xdr:to>
      <xdr:col>29</xdr:col>
      <xdr:colOff>197031</xdr:colOff>
      <xdr:row>40</xdr:row>
      <xdr:rowOff>112666</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398779</xdr:colOff>
      <xdr:row>21</xdr:row>
      <xdr:rowOff>76805</xdr:rowOff>
    </xdr:from>
    <xdr:to>
      <xdr:col>19</xdr:col>
      <xdr:colOff>163285</xdr:colOff>
      <xdr:row>39</xdr:row>
      <xdr:rowOff>54429</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263978</xdr:colOff>
      <xdr:row>9</xdr:row>
      <xdr:rowOff>180296</xdr:rowOff>
    </xdr:from>
    <xdr:to>
      <xdr:col>30</xdr:col>
      <xdr:colOff>567417</xdr:colOff>
      <xdr:row>25</xdr:row>
      <xdr:rowOff>23814</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21</xdr:col>
      <xdr:colOff>55518</xdr:colOff>
      <xdr:row>32</xdr:row>
      <xdr:rowOff>92528</xdr:rowOff>
    </xdr:from>
    <xdr:to>
      <xdr:col>31</xdr:col>
      <xdr:colOff>304800</xdr:colOff>
      <xdr:row>38</xdr:row>
      <xdr:rowOff>161108</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3031289" y="6057899"/>
          <a:ext cx="6345282" cy="11789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Observations:</a:t>
          </a:r>
        </a:p>
        <a:p>
          <a:r>
            <a:rPr lang="en-GB" sz="1100"/>
            <a:t>- After</a:t>
          </a:r>
          <a:r>
            <a:rPr lang="en-GB" sz="1100" baseline="0"/>
            <a:t> 10 sessions (~10L) the flake remains undissolved, although it's less yellow, suggesting that some NTO may have been dissolved.  </a:t>
          </a:r>
        </a:p>
        <a:p>
          <a:r>
            <a:rPr lang="en-GB" sz="1100" baseline="0"/>
            <a:t>- Need new set up, as flake was held with tweezers to avoid it going to the walls of the funnel and to make sure drops fall on top. </a:t>
          </a:r>
        </a:p>
      </xdr:txBody>
    </xdr:sp>
    <xdr:clientData/>
  </xdr:twoCellAnchor>
  <xdr:twoCellAnchor>
    <xdr:from>
      <xdr:col>4</xdr:col>
      <xdr:colOff>490945</xdr:colOff>
      <xdr:row>38</xdr:row>
      <xdr:rowOff>60416</xdr:rowOff>
    </xdr:from>
    <xdr:to>
      <xdr:col>12</xdr:col>
      <xdr:colOff>77288</xdr:colOff>
      <xdr:row>53</xdr:row>
      <xdr:rowOff>58239</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213723</xdr:colOff>
      <xdr:row>21</xdr:row>
      <xdr:rowOff>55033</xdr:rowOff>
    </xdr:from>
    <xdr:to>
      <xdr:col>19</xdr:col>
      <xdr:colOff>518523</xdr:colOff>
      <xdr:row>36</xdr:row>
      <xdr:rowOff>55033</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590550</xdr:colOff>
      <xdr:row>16</xdr:row>
      <xdr:rowOff>119743</xdr:rowOff>
    </xdr:from>
    <xdr:to>
      <xdr:col>29</xdr:col>
      <xdr:colOff>284389</xdr:colOff>
      <xdr:row>31</xdr:row>
      <xdr:rowOff>32657</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348343</xdr:colOff>
      <xdr:row>0</xdr:row>
      <xdr:rowOff>217714</xdr:rowOff>
    </xdr:from>
    <xdr:to>
      <xdr:col>26</xdr:col>
      <xdr:colOff>87086</xdr:colOff>
      <xdr:row>15</xdr:row>
      <xdr:rowOff>119743</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16</xdr:col>
      <xdr:colOff>403860</xdr:colOff>
      <xdr:row>0</xdr:row>
      <xdr:rowOff>152400</xdr:rowOff>
    </xdr:from>
    <xdr:to>
      <xdr:col>22</xdr:col>
      <xdr:colOff>274320</xdr:colOff>
      <xdr:row>14</xdr:row>
      <xdr:rowOff>45720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251460</xdr:colOff>
      <xdr:row>0</xdr:row>
      <xdr:rowOff>156210</xdr:rowOff>
    </xdr:from>
    <xdr:to>
      <xdr:col>16</xdr:col>
      <xdr:colOff>289560</xdr:colOff>
      <xdr:row>14</xdr:row>
      <xdr:rowOff>53340</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579120</xdr:colOff>
      <xdr:row>27</xdr:row>
      <xdr:rowOff>76200</xdr:rowOff>
    </xdr:from>
    <xdr:to>
      <xdr:col>17</xdr:col>
      <xdr:colOff>83820</xdr:colOff>
      <xdr:row>40</xdr:row>
      <xdr:rowOff>3810</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582506</xdr:colOff>
      <xdr:row>15</xdr:row>
      <xdr:rowOff>49953</xdr:rowOff>
    </xdr:from>
    <xdr:to>
      <xdr:col>22</xdr:col>
      <xdr:colOff>125306</xdr:colOff>
      <xdr:row>26</xdr:row>
      <xdr:rowOff>182033</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6914726" y="2793153"/>
          <a:ext cx="6858000" cy="1960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NOTES:</a:t>
          </a:r>
        </a:p>
        <a:p>
          <a:r>
            <a:rPr lang="en-GB" sz="1100"/>
            <a:t>-</a:t>
          </a:r>
          <a:r>
            <a:rPr lang="en-GB" sz="1100" baseline="0"/>
            <a:t> Flake 1 has a higher NTO dissolution rate. Overall, NTO 1 varies a lot between flakes. This is mainly due to the difference of initial mass. </a:t>
          </a:r>
        </a:p>
        <a:p>
          <a:r>
            <a:rPr lang="en-GB" sz="1100" baseline="0"/>
            <a:t>- </a:t>
          </a:r>
          <a:r>
            <a:rPr lang="en-GB" sz="1100" b="1" baseline="0"/>
            <a:t>Mass F1&gt;F3&gt;F2</a:t>
          </a:r>
          <a:r>
            <a:rPr lang="en-GB" sz="1100" baseline="0"/>
            <a:t>. This matches perfectly with the dissolution rate results -- would be interesting to </a:t>
          </a:r>
          <a:r>
            <a:rPr lang="en-GB" sz="1100" b="1" baseline="0"/>
            <a:t>plot/model dissolution rate as a funtion of mass</a:t>
          </a:r>
        </a:p>
        <a:p>
          <a:r>
            <a:rPr lang="en-GB" sz="1100" b="0" baseline="0"/>
            <a:t>- Percente dissolved is higher in flake 1, although it has more mass than F2. Standard deviations aren't higher than 25% of the values. </a:t>
          </a:r>
        </a:p>
        <a:p>
          <a:r>
            <a:rPr lang="en-GB" sz="1100" b="0" baseline="0"/>
            <a:t>- A higher percentage of NTO seems to be dissolved, what matches with visual results, as small pores can be seen after 10 session, meaning than NTO tends to dissolve faster than DNAN and NTO in the flake. </a:t>
          </a:r>
        </a:p>
        <a:p>
          <a:endParaRPr lang="en-GB" sz="1100" b="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121921</xdr:colOff>
      <xdr:row>16</xdr:row>
      <xdr:rowOff>128586</xdr:rowOff>
    </xdr:from>
    <xdr:to>
      <xdr:col>2</xdr:col>
      <xdr:colOff>579121</xdr:colOff>
      <xdr:row>22</xdr:row>
      <xdr:rowOff>68579</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a:srcRect l="47390" t="59173" r="35099" b="21565"/>
        <a:stretch/>
      </xdr:blipFill>
      <xdr:spPr>
        <a:xfrm>
          <a:off x="121921" y="3054666"/>
          <a:ext cx="1676400" cy="1037273"/>
        </a:xfrm>
        <a:prstGeom prst="rect">
          <a:avLst/>
        </a:prstGeom>
      </xdr:spPr>
    </xdr:pic>
    <xdr:clientData/>
  </xdr:twoCellAnchor>
  <xdr:twoCellAnchor>
    <xdr:from>
      <xdr:col>6</xdr:col>
      <xdr:colOff>236220</xdr:colOff>
      <xdr:row>10</xdr:row>
      <xdr:rowOff>137160</xdr:rowOff>
    </xdr:from>
    <xdr:to>
      <xdr:col>14</xdr:col>
      <xdr:colOff>297180</xdr:colOff>
      <xdr:row>28</xdr:row>
      <xdr:rowOff>53340</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327660</xdr:colOff>
      <xdr:row>10</xdr:row>
      <xdr:rowOff>152400</xdr:rowOff>
    </xdr:from>
    <xdr:to>
      <xdr:col>22</xdr:col>
      <xdr:colOff>373380</xdr:colOff>
      <xdr:row>17</xdr:row>
      <xdr:rowOff>45720</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8862060" y="1981200"/>
          <a:ext cx="4922520" cy="1173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Rain water dissolves slower the IHE compounds (lower T).</a:t>
          </a:r>
          <a:r>
            <a:rPr lang="en-GB" sz="1100" baseline="0"/>
            <a:t> </a:t>
          </a:r>
        </a:p>
        <a:p>
          <a:r>
            <a:rPr lang="en-GB" sz="1100" baseline="0"/>
            <a:t>NTO --&gt; 30% lower</a:t>
          </a:r>
        </a:p>
        <a:p>
          <a:r>
            <a:rPr lang="en-GB" sz="1100" baseline="0"/>
            <a:t>DNAN and RDX --&gt; 70% lower</a:t>
          </a:r>
        </a:p>
        <a:p>
          <a:r>
            <a:rPr lang="en-GB" sz="1100" baseline="0"/>
            <a:t>Higer SD with DI water than rain (higher dissoution and therfore higher variance)</a:t>
          </a:r>
        </a:p>
        <a:p>
          <a:r>
            <a:rPr lang="en-GB" sz="1100" baseline="0"/>
            <a:t>T student --&gt; samples are comparable, but 3 samples are not enough representative for this test. (high T tabulated)</a:t>
          </a:r>
        </a:p>
        <a:p>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lakes%201-3%20mgm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p;C"/>
      <sheetName val="Flake 1"/>
      <sheetName val="Flake 2"/>
      <sheetName val="Flake 3"/>
      <sheetName val="Averages-10s"/>
      <sheetName val="Average-15s"/>
      <sheetName val="Polynomial"/>
      <sheetName val="F&amp;C comp"/>
      <sheetName val="Sheet1"/>
      <sheetName val="Sheet2"/>
      <sheetName val="GS"/>
      <sheetName val="Time"/>
    </sheetNames>
    <sheetDataSet>
      <sheetData sheetId="0" refreshError="1"/>
      <sheetData sheetId="1" refreshError="1"/>
      <sheetData sheetId="2" refreshError="1"/>
      <sheetData sheetId="3" refreshError="1"/>
      <sheetData sheetId="4">
        <row r="11">
          <cell r="B11" t="str">
            <v xml:space="preserve">NTO </v>
          </cell>
          <cell r="C11" t="str">
            <v>DNAN</v>
          </cell>
          <cell r="D11" t="str">
            <v>RDX</v>
          </cell>
        </row>
        <row r="15">
          <cell r="B15">
            <v>27.314654599350519</v>
          </cell>
          <cell r="C15">
            <v>17.207395713446818</v>
          </cell>
          <cell r="D15">
            <v>17.107891264409286</v>
          </cell>
        </row>
        <row r="22">
          <cell r="B22">
            <v>72.685345400649496</v>
          </cell>
          <cell r="C22">
            <v>82.792604286553185</v>
          </cell>
          <cell r="D22">
            <v>82.892108735590725</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1"/>
  <sheetViews>
    <sheetView workbookViewId="0">
      <selection activeCell="D21" sqref="D21"/>
    </sheetView>
  </sheetViews>
  <sheetFormatPr defaultRowHeight="14.4" x14ac:dyDescent="0.3"/>
  <cols>
    <col min="2" max="2" width="17.6640625" customWidth="1"/>
    <col min="4" max="4" width="12" customWidth="1"/>
  </cols>
  <sheetData>
    <row r="1" spans="1:4" x14ac:dyDescent="0.3">
      <c r="A1" t="s">
        <v>0</v>
      </c>
    </row>
    <row r="3" spans="1:4" x14ac:dyDescent="0.3">
      <c r="A3" s="21" t="s">
        <v>1</v>
      </c>
      <c r="B3" s="21" t="s">
        <v>2</v>
      </c>
      <c r="C3" s="21"/>
      <c r="D3" s="21"/>
    </row>
    <row r="4" spans="1:4" x14ac:dyDescent="0.3">
      <c r="A4" s="35">
        <v>1</v>
      </c>
      <c r="B4" s="35">
        <v>57.5</v>
      </c>
      <c r="C4" s="36"/>
      <c r="D4" s="36"/>
    </row>
    <row r="5" spans="1:4" x14ac:dyDescent="0.3">
      <c r="A5" s="35">
        <v>2</v>
      </c>
      <c r="B5" s="35">
        <v>34.299999999999997</v>
      </c>
      <c r="C5" s="35"/>
      <c r="D5" s="36"/>
    </row>
    <row r="6" spans="1:4" x14ac:dyDescent="0.3">
      <c r="A6" s="35">
        <v>3</v>
      </c>
      <c r="B6" s="35">
        <v>64.400000000000006</v>
      </c>
      <c r="C6" s="35"/>
      <c r="D6" s="36"/>
    </row>
    <row r="7" spans="1:4" x14ac:dyDescent="0.3">
      <c r="A7" s="35">
        <v>4</v>
      </c>
      <c r="B7" s="35">
        <v>28.8</v>
      </c>
      <c r="C7" s="35"/>
      <c r="D7" s="35"/>
    </row>
    <row r="8" spans="1:4" x14ac:dyDescent="0.3">
      <c r="A8" s="35">
        <v>5</v>
      </c>
      <c r="B8" s="35">
        <v>47.7</v>
      </c>
      <c r="C8" s="35"/>
      <c r="D8" s="35"/>
    </row>
    <row r="9" spans="1:4" x14ac:dyDescent="0.3">
      <c r="A9" s="1">
        <v>6</v>
      </c>
      <c r="B9" s="35">
        <v>34.299999999999997</v>
      </c>
    </row>
    <row r="10" spans="1:4" x14ac:dyDescent="0.3">
      <c r="A10" s="35">
        <v>7</v>
      </c>
      <c r="B10" s="35">
        <v>43.7</v>
      </c>
    </row>
    <row r="11" spans="1:4" x14ac:dyDescent="0.3">
      <c r="A11" s="35">
        <v>8</v>
      </c>
      <c r="B11" s="35">
        <v>29.6</v>
      </c>
    </row>
    <row r="12" spans="1:4" x14ac:dyDescent="0.3">
      <c r="A12" s="35">
        <v>9</v>
      </c>
      <c r="B12" s="36">
        <v>29</v>
      </c>
    </row>
    <row r="14" spans="1:4" x14ac:dyDescent="0.3">
      <c r="A14" s="1"/>
    </row>
    <row r="15" spans="1:4" x14ac:dyDescent="0.3">
      <c r="A15" s="1"/>
      <c r="B15" s="1"/>
    </row>
    <row r="16" spans="1:4" x14ac:dyDescent="0.3">
      <c r="A16" s="1"/>
      <c r="B16" s="1"/>
    </row>
    <row r="17" spans="1:2" x14ac:dyDescent="0.3">
      <c r="A17" s="1"/>
      <c r="B17" s="1"/>
    </row>
    <row r="18" spans="1:2" x14ac:dyDescent="0.3">
      <c r="A18" s="1"/>
      <c r="B18" s="1"/>
    </row>
    <row r="19" spans="1:2" x14ac:dyDescent="0.3">
      <c r="A19" s="1"/>
      <c r="B19" s="1"/>
    </row>
    <row r="20" spans="1:2" x14ac:dyDescent="0.3">
      <c r="A20" s="1"/>
      <c r="B20" s="1"/>
    </row>
    <row r="21" spans="1:2" x14ac:dyDescent="0.3">
      <c r="B21"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0"/>
  <sheetViews>
    <sheetView tabSelected="1" zoomScale="70" zoomScaleNormal="70" workbookViewId="0">
      <selection activeCell="AA35" sqref="AA35"/>
    </sheetView>
  </sheetViews>
  <sheetFormatPr defaultRowHeight="14.4" x14ac:dyDescent="0.3"/>
  <cols>
    <col min="1" max="1" width="11.33203125" customWidth="1"/>
    <col min="2" max="2" width="8.109375" customWidth="1"/>
    <col min="4" max="4" width="9.33203125" customWidth="1"/>
    <col min="10" max="10" width="9.5546875" bestFit="1" customWidth="1"/>
    <col min="11" max="12" width="9" bestFit="1" customWidth="1"/>
  </cols>
  <sheetData>
    <row r="1" spans="1:20" ht="18" x14ac:dyDescent="0.35">
      <c r="A1" s="2" t="s">
        <v>3</v>
      </c>
      <c r="B1" s="2"/>
    </row>
    <row r="2" spans="1:20" x14ac:dyDescent="0.3">
      <c r="D2" s="18"/>
      <c r="E2" s="19" t="s">
        <v>11</v>
      </c>
      <c r="F2" s="20"/>
      <c r="G2" s="86" t="s">
        <v>13</v>
      </c>
      <c r="H2" s="87"/>
      <c r="I2" s="88"/>
      <c r="J2" s="86" t="s">
        <v>18</v>
      </c>
      <c r="K2" s="87"/>
      <c r="L2" s="88"/>
      <c r="M2" t="s">
        <v>19</v>
      </c>
      <c r="P2" t="s">
        <v>67</v>
      </c>
      <c r="S2" t="s">
        <v>68</v>
      </c>
    </row>
    <row r="3" spans="1:20" x14ac:dyDescent="0.3">
      <c r="A3" t="s">
        <v>4</v>
      </c>
      <c r="B3" t="s">
        <v>15</v>
      </c>
      <c r="C3" t="s">
        <v>5</v>
      </c>
      <c r="D3" t="s">
        <v>70</v>
      </c>
      <c r="E3" s="18" t="s">
        <v>8</v>
      </c>
      <c r="F3" s="19" t="s">
        <v>9</v>
      </c>
      <c r="G3" s="20" t="s">
        <v>10</v>
      </c>
      <c r="H3" s="18" t="s">
        <v>8</v>
      </c>
      <c r="I3" s="19" t="s">
        <v>9</v>
      </c>
      <c r="J3" s="20" t="s">
        <v>10</v>
      </c>
      <c r="K3" s="18" t="s">
        <v>8</v>
      </c>
      <c r="L3" s="19" t="s">
        <v>9</v>
      </c>
      <c r="M3" s="20" t="s">
        <v>10</v>
      </c>
      <c r="N3" s="19" t="s">
        <v>8</v>
      </c>
      <c r="O3" s="19" t="s">
        <v>9</v>
      </c>
      <c r="P3" s="20" t="s">
        <v>10</v>
      </c>
      <c r="Q3" s="19" t="s">
        <v>8</v>
      </c>
      <c r="R3" s="19" t="s">
        <v>9</v>
      </c>
      <c r="S3" s="20" t="s">
        <v>10</v>
      </c>
    </row>
    <row r="4" spans="1:20" x14ac:dyDescent="0.3">
      <c r="A4" s="18">
        <v>0</v>
      </c>
      <c r="B4" s="19">
        <v>0</v>
      </c>
      <c r="C4" s="19" t="s">
        <v>6</v>
      </c>
      <c r="D4">
        <v>0</v>
      </c>
      <c r="E4" s="18" t="s">
        <v>17</v>
      </c>
      <c r="F4" s="19" t="s">
        <v>17</v>
      </c>
      <c r="G4" s="20" t="s">
        <v>17</v>
      </c>
      <c r="H4" s="18"/>
      <c r="I4" s="19"/>
      <c r="J4" s="20"/>
      <c r="K4" s="18"/>
      <c r="L4" s="19"/>
      <c r="M4" s="20"/>
      <c r="N4" s="19">
        <v>0</v>
      </c>
      <c r="O4" s="19">
        <v>0</v>
      </c>
      <c r="P4" s="20">
        <v>0</v>
      </c>
      <c r="Q4">
        <f>N4*100/$G$24</f>
        <v>0</v>
      </c>
      <c r="R4">
        <f t="shared" ref="R4:S19" si="0">O4*100/$G$24</f>
        <v>0</v>
      </c>
      <c r="S4">
        <f t="shared" si="0"/>
        <v>0</v>
      </c>
      <c r="T4">
        <f>(N4+O4+P4)*100/$G$24</f>
        <v>0</v>
      </c>
    </row>
    <row r="5" spans="1:20" x14ac:dyDescent="0.3">
      <c r="A5" s="10">
        <v>1</v>
      </c>
      <c r="B5" s="5">
        <v>5</v>
      </c>
      <c r="C5" s="5">
        <v>195</v>
      </c>
      <c r="D5">
        <f>C5+D4</f>
        <v>195</v>
      </c>
      <c r="E5" s="10">
        <v>54422</v>
      </c>
      <c r="F5" s="52">
        <v>8040</v>
      </c>
      <c r="G5" s="11">
        <v>3709</v>
      </c>
      <c r="H5" s="47">
        <f t="shared" ref="H5:H14" si="1">E5*$B$25/$D$26</f>
        <v>5.4523840267678256</v>
      </c>
      <c r="I5" s="4">
        <f>F5*$C$25/$C$26</f>
        <v>0.42695965177072248</v>
      </c>
      <c r="J5" s="48">
        <f>G5*$D$25/$D$26</f>
        <v>0.37532468192866653</v>
      </c>
      <c r="K5" s="12">
        <f t="shared" ref="K5:K19" si="2">H5*C5/1000</f>
        <v>1.0632148852197261</v>
      </c>
      <c r="L5" s="13">
        <f t="shared" ref="L5:L19" si="3">I5*C5/1000</f>
        <v>8.3257132095290884E-2</v>
      </c>
      <c r="M5" s="14">
        <f t="shared" ref="M5:M19" si="4">J5*C5/1000</f>
        <v>7.3188312976089978E-2</v>
      </c>
      <c r="N5" s="13">
        <f>K5+K4</f>
        <v>1.0632148852197261</v>
      </c>
      <c r="O5" s="13">
        <f>L5+L4</f>
        <v>8.3257132095290884E-2</v>
      </c>
      <c r="P5" s="14">
        <f>M5+M4</f>
        <v>7.3188312976089978E-2</v>
      </c>
      <c r="Q5">
        <f t="shared" ref="Q5:Q18" si="5">N5*100/$G$24</f>
        <v>3.6917183514573821</v>
      </c>
      <c r="R5">
        <f t="shared" si="0"/>
        <v>0.28908726421976</v>
      </c>
      <c r="S5">
        <f t="shared" si="0"/>
        <v>0.25412608672253467</v>
      </c>
      <c r="T5">
        <f t="shared" ref="T5:T19" si="6">(N5+O5+P5)*100/$G$24</f>
        <v>4.2349317023996766</v>
      </c>
    </row>
    <row r="6" spans="1:20" x14ac:dyDescent="0.3">
      <c r="A6" s="10">
        <v>2</v>
      </c>
      <c r="B6" s="5">
        <v>10</v>
      </c>
      <c r="C6" s="5">
        <v>196</v>
      </c>
      <c r="D6">
        <f t="shared" ref="D6:D19" si="7">C6+D5</f>
        <v>391</v>
      </c>
      <c r="E6" s="10">
        <v>37386</v>
      </c>
      <c r="F6" s="52">
        <v>8264</v>
      </c>
      <c r="G6" s="11">
        <v>1668</v>
      </c>
      <c r="H6" s="47">
        <f t="shared" si="1"/>
        <v>3.7455960682213432</v>
      </c>
      <c r="I6" s="4">
        <f t="shared" ref="I6:I14" si="8">F6*$C$25/$C$26</f>
        <v>0.43885504505388695</v>
      </c>
      <c r="J6" s="48">
        <f t="shared" ref="J6:J14" si="9">G6*$D$25/$D$26</f>
        <v>0.1687898542617999</v>
      </c>
      <c r="K6" s="12">
        <f t="shared" si="2"/>
        <v>0.73413682937138325</v>
      </c>
      <c r="L6" s="13">
        <f t="shared" si="3"/>
        <v>8.6015588830561845E-2</v>
      </c>
      <c r="M6" s="14">
        <f t="shared" si="4"/>
        <v>3.3082811435312783E-2</v>
      </c>
      <c r="N6" s="13">
        <f>SUM(K5:K6)</f>
        <v>1.7973517145911093</v>
      </c>
      <c r="O6" s="13">
        <f>SUM(L5:L6)</f>
        <v>0.16927272092585272</v>
      </c>
      <c r="P6" s="14">
        <f>SUM(M5:M6)</f>
        <v>0.10627112441140277</v>
      </c>
      <c r="Q6">
        <f t="shared" si="5"/>
        <v>6.2408045645524632</v>
      </c>
      <c r="R6">
        <f t="shared" si="0"/>
        <v>0.58775250321476646</v>
      </c>
      <c r="S6">
        <f t="shared" si="0"/>
        <v>0.36899695976181518</v>
      </c>
      <c r="T6">
        <f t="shared" si="6"/>
        <v>7.1975540275290442</v>
      </c>
    </row>
    <row r="7" spans="1:20" x14ac:dyDescent="0.3">
      <c r="A7" s="10">
        <v>3</v>
      </c>
      <c r="B7" s="5">
        <v>15</v>
      </c>
      <c r="C7" s="5">
        <v>196</v>
      </c>
      <c r="D7">
        <f t="shared" si="7"/>
        <v>587</v>
      </c>
      <c r="E7" s="10">
        <v>28865</v>
      </c>
      <c r="F7" s="52">
        <v>7432</v>
      </c>
      <c r="G7" s="11">
        <v>1338</v>
      </c>
      <c r="H7" s="47">
        <f t="shared" si="1"/>
        <v>2.891901527556012</v>
      </c>
      <c r="I7" s="4">
        <f t="shared" si="8"/>
        <v>0.39467215571641912</v>
      </c>
      <c r="J7" s="48">
        <f t="shared" si="9"/>
        <v>0.13539617805892581</v>
      </c>
      <c r="K7" s="12">
        <f t="shared" si="2"/>
        <v>0.56681269940097834</v>
      </c>
      <c r="L7" s="13">
        <f t="shared" si="3"/>
        <v>7.7355742520418144E-2</v>
      </c>
      <c r="M7" s="14">
        <f t="shared" si="4"/>
        <v>2.6537650899549459E-2</v>
      </c>
      <c r="N7" s="13">
        <f>SUM(K5:K7)</f>
        <v>2.3641644139920874</v>
      </c>
      <c r="O7" s="13">
        <f t="shared" ref="O7:P7" si="10">SUM(L5:L7)</f>
        <v>0.24662846344627087</v>
      </c>
      <c r="P7" s="14">
        <f t="shared" si="10"/>
        <v>0.13280877531095223</v>
      </c>
      <c r="Q7">
        <f t="shared" si="5"/>
        <v>8.2089042152503033</v>
      </c>
      <c r="R7">
        <f t="shared" si="0"/>
        <v>0.85634883141066276</v>
      </c>
      <c r="S7">
        <f t="shared" si="0"/>
        <v>0.46114158094080637</v>
      </c>
      <c r="T7">
        <f t="shared" si="6"/>
        <v>9.5263946276017712</v>
      </c>
    </row>
    <row r="8" spans="1:20" x14ac:dyDescent="0.3">
      <c r="A8" s="10">
        <v>4</v>
      </c>
      <c r="B8" s="5">
        <v>20</v>
      </c>
      <c r="C8" s="52">
        <v>195</v>
      </c>
      <c r="D8">
        <f t="shared" si="7"/>
        <v>782</v>
      </c>
      <c r="E8" s="10">
        <v>19619</v>
      </c>
      <c r="F8" s="52">
        <v>6814</v>
      </c>
      <c r="G8" s="11">
        <v>1324</v>
      </c>
      <c r="H8" s="47">
        <f t="shared" si="1"/>
        <v>1.9655713171356801</v>
      </c>
      <c r="I8" s="4">
        <f t="shared" si="8"/>
        <v>0.36185361531911731</v>
      </c>
      <c r="J8" s="48">
        <f t="shared" si="9"/>
        <v>0.13397947664425844</v>
      </c>
      <c r="K8" s="12">
        <f t="shared" si="2"/>
        <v>0.38328640684145759</v>
      </c>
      <c r="L8" s="13">
        <f t="shared" si="3"/>
        <v>7.0561454987227878E-2</v>
      </c>
      <c r="M8" s="14">
        <f t="shared" si="4"/>
        <v>2.6125997945630395E-2</v>
      </c>
      <c r="N8" s="13">
        <f>SUM(K4:K8)</f>
        <v>2.7474508208335449</v>
      </c>
      <c r="O8" s="13">
        <f t="shared" ref="O8:P8" si="11">SUM(L4:L8)</f>
        <v>0.31718991843349875</v>
      </c>
      <c r="P8" s="14">
        <f t="shared" si="11"/>
        <v>0.15893477325658262</v>
      </c>
      <c r="Q8">
        <f t="shared" si="5"/>
        <v>9.5397597945609185</v>
      </c>
      <c r="R8">
        <f t="shared" si="0"/>
        <v>1.1013538834496484</v>
      </c>
      <c r="S8">
        <f t="shared" si="0"/>
        <v>0.55185685158535636</v>
      </c>
      <c r="T8">
        <f t="shared" si="6"/>
        <v>11.192970529595925</v>
      </c>
    </row>
    <row r="9" spans="1:20" x14ac:dyDescent="0.3">
      <c r="A9" s="10">
        <v>5</v>
      </c>
      <c r="B9" s="5">
        <v>25</v>
      </c>
      <c r="C9" s="52">
        <v>194</v>
      </c>
      <c r="D9">
        <f t="shared" si="7"/>
        <v>976</v>
      </c>
      <c r="E9" s="10">
        <v>17433</v>
      </c>
      <c r="F9" s="52">
        <v>7605</v>
      </c>
      <c r="G9" s="11">
        <v>3131</v>
      </c>
      <c r="H9" s="47">
        <f t="shared" si="1"/>
        <v>1.7465622494330144</v>
      </c>
      <c r="I9" s="4">
        <f t="shared" si="8"/>
        <v>0.40385922285029169</v>
      </c>
      <c r="J9" s="48">
        <f t="shared" si="9"/>
        <v>0.31683515209454166</v>
      </c>
      <c r="K9" s="12">
        <f t="shared" si="2"/>
        <v>0.33883307639000482</v>
      </c>
      <c r="L9" s="13">
        <f t="shared" si="3"/>
        <v>7.8348689232956584E-2</v>
      </c>
      <c r="M9" s="14">
        <f t="shared" si="4"/>
        <v>6.1466019506341084E-2</v>
      </c>
      <c r="N9" s="13">
        <f>SUM(K4:K9)</f>
        <v>3.0862838972235496</v>
      </c>
      <c r="O9" s="13">
        <f t="shared" ref="O9:P9" si="12">SUM(L4:L9)</f>
        <v>0.39553860766645532</v>
      </c>
      <c r="P9" s="14">
        <f t="shared" si="12"/>
        <v>0.22040079276292371</v>
      </c>
      <c r="Q9">
        <f t="shared" si="5"/>
        <v>10.716263532026213</v>
      </c>
      <c r="R9">
        <f t="shared" si="0"/>
        <v>1.3733979432863033</v>
      </c>
      <c r="S9">
        <f t="shared" si="0"/>
        <v>0.76528053042681843</v>
      </c>
      <c r="T9">
        <f t="shared" si="6"/>
        <v>12.854942005739334</v>
      </c>
    </row>
    <row r="10" spans="1:20" x14ac:dyDescent="0.3">
      <c r="A10" s="10">
        <v>6</v>
      </c>
      <c r="B10" s="5">
        <v>30</v>
      </c>
      <c r="C10" s="52">
        <v>194</v>
      </c>
      <c r="D10">
        <f t="shared" si="7"/>
        <v>1170</v>
      </c>
      <c r="E10" s="10">
        <v>12849</v>
      </c>
      <c r="F10" s="52">
        <v>6952</v>
      </c>
      <c r="G10" s="11">
        <v>1750</v>
      </c>
      <c r="H10" s="47">
        <f t="shared" si="1"/>
        <v>1.287304442320014</v>
      </c>
      <c r="I10" s="4">
        <f t="shared" si="8"/>
        <v>0.36918202725249544</v>
      </c>
      <c r="J10" s="48">
        <f t="shared" si="9"/>
        <v>0.17708767683342316</v>
      </c>
      <c r="K10" s="12">
        <f t="shared" si="2"/>
        <v>0.24973706181008271</v>
      </c>
      <c r="L10" s="13">
        <f t="shared" si="3"/>
        <v>7.1621313286984123E-2</v>
      </c>
      <c r="M10" s="14">
        <f t="shared" si="4"/>
        <v>3.4355009305684095E-2</v>
      </c>
      <c r="N10" s="13">
        <f>SUM(K4:K10)</f>
        <v>3.3360209590336325</v>
      </c>
      <c r="O10" s="13">
        <f t="shared" ref="O10:P10" si="13">SUM(L4:L10)</f>
        <v>0.46715992095343944</v>
      </c>
      <c r="P10" s="14">
        <f t="shared" si="13"/>
        <v>0.25475580206860782</v>
      </c>
      <c r="Q10">
        <f t="shared" si="5"/>
        <v>11.583406107755668</v>
      </c>
      <c r="R10">
        <f t="shared" si="0"/>
        <v>1.622083058866109</v>
      </c>
      <c r="S10">
        <f t="shared" si="0"/>
        <v>0.88456875718266603</v>
      </c>
      <c r="T10">
        <f t="shared" si="6"/>
        <v>14.090057923804443</v>
      </c>
    </row>
    <row r="11" spans="1:20" x14ac:dyDescent="0.3">
      <c r="A11" s="10">
        <v>7</v>
      </c>
      <c r="B11" s="5">
        <v>35</v>
      </c>
      <c r="C11" s="52">
        <v>192</v>
      </c>
      <c r="D11">
        <f t="shared" si="7"/>
        <v>1362</v>
      </c>
      <c r="E11" s="10">
        <v>10912</v>
      </c>
      <c r="F11" s="52">
        <v>6044</v>
      </c>
      <c r="G11" s="11">
        <v>1244</v>
      </c>
      <c r="H11" s="47">
        <f t="shared" si="1"/>
        <v>1.0932419701607901</v>
      </c>
      <c r="I11" s="4">
        <f t="shared" si="8"/>
        <v>0.32096320090823971</v>
      </c>
      <c r="J11" s="48">
        <f t="shared" si="9"/>
        <v>0.12588403998901623</v>
      </c>
      <c r="K11" s="12">
        <f t="shared" si="2"/>
        <v>0.2099024582708717</v>
      </c>
      <c r="L11" s="13">
        <f t="shared" si="3"/>
        <v>6.1624934574382027E-2</v>
      </c>
      <c r="M11" s="14">
        <f t="shared" si="4"/>
        <v>2.4169735677891119E-2</v>
      </c>
      <c r="N11" s="13">
        <f>SUM(K4:K11)</f>
        <v>3.545923417304504</v>
      </c>
      <c r="O11" s="13">
        <f t="shared" ref="O11:P11" si="14">SUM(L4:L11)</f>
        <v>0.52878485552782151</v>
      </c>
      <c r="P11" s="14">
        <f t="shared" si="14"/>
        <v>0.27892553774649892</v>
      </c>
      <c r="Q11">
        <f t="shared" si="5"/>
        <v>12.312234087862862</v>
      </c>
      <c r="R11">
        <f t="shared" si="0"/>
        <v>1.8360585261382691</v>
      </c>
      <c r="S11">
        <f t="shared" si="0"/>
        <v>0.96849145050867669</v>
      </c>
      <c r="T11">
        <f t="shared" si="6"/>
        <v>15.116784064509808</v>
      </c>
    </row>
    <row r="12" spans="1:20" x14ac:dyDescent="0.3">
      <c r="A12" s="10">
        <v>8</v>
      </c>
      <c r="B12" s="5">
        <v>40</v>
      </c>
      <c r="C12" s="52">
        <v>192</v>
      </c>
      <c r="D12">
        <f t="shared" si="7"/>
        <v>1554</v>
      </c>
      <c r="E12" s="10">
        <v>8619</v>
      </c>
      <c r="F12" s="52">
        <v>4779</v>
      </c>
      <c r="G12" s="11">
        <v>3044</v>
      </c>
      <c r="H12" s="47">
        <f t="shared" si="1"/>
        <v>0.86351287947359323</v>
      </c>
      <c r="I12" s="4">
        <f t="shared" si="8"/>
        <v>0.25378609151894066</v>
      </c>
      <c r="J12" s="48">
        <f t="shared" si="9"/>
        <v>0.3080313647319658</v>
      </c>
      <c r="K12" s="12">
        <f t="shared" si="2"/>
        <v>0.1657944728589299</v>
      </c>
      <c r="L12" s="13">
        <f t="shared" si="3"/>
        <v>4.8726929571636601E-2</v>
      </c>
      <c r="M12" s="14">
        <f t="shared" si="4"/>
        <v>5.9142022028537432E-2</v>
      </c>
      <c r="N12" s="13">
        <f>SUM(K4:K12)</f>
        <v>3.7117178901634338</v>
      </c>
      <c r="O12" s="13">
        <f t="shared" ref="O12:P12" si="15">SUM(L4:L12)</f>
        <v>0.57751178509945811</v>
      </c>
      <c r="P12" s="14">
        <f t="shared" si="15"/>
        <v>0.33806755977503633</v>
      </c>
      <c r="Q12">
        <f t="shared" si="5"/>
        <v>12.887909340845257</v>
      </c>
      <c r="R12">
        <f t="shared" si="0"/>
        <v>2.0052492538175626</v>
      </c>
      <c r="S12">
        <f t="shared" si="0"/>
        <v>1.1738456936633206</v>
      </c>
      <c r="T12">
        <f t="shared" si="6"/>
        <v>16.067004288326139</v>
      </c>
    </row>
    <row r="13" spans="1:20" x14ac:dyDescent="0.3">
      <c r="A13" s="10">
        <v>9</v>
      </c>
      <c r="B13" s="5">
        <v>45</v>
      </c>
      <c r="C13" s="52">
        <v>196</v>
      </c>
      <c r="D13">
        <f t="shared" si="7"/>
        <v>1750</v>
      </c>
      <c r="E13" s="10">
        <v>11065</v>
      </c>
      <c r="F13" s="52">
        <v>6725</v>
      </c>
      <c r="G13" s="11">
        <v>1423</v>
      </c>
      <c r="H13" s="47">
        <f t="shared" si="1"/>
        <v>1.1085706011573628</v>
      </c>
      <c r="I13" s="4">
        <f t="shared" si="8"/>
        <v>0.35712732066643149</v>
      </c>
      <c r="J13" s="48">
        <f t="shared" si="9"/>
        <v>0.14399757950512065</v>
      </c>
      <c r="K13" s="12">
        <f t="shared" si="2"/>
        <v>0.2172798378268431</v>
      </c>
      <c r="L13" s="13">
        <f t="shared" si="3"/>
        <v>6.9996954850620574E-2</v>
      </c>
      <c r="M13" s="14">
        <f t="shared" si="4"/>
        <v>2.8223525583003648E-2</v>
      </c>
      <c r="N13" s="13">
        <f>SUM(K4:K13)</f>
        <v>3.9289977279902768</v>
      </c>
      <c r="O13" s="13">
        <f t="shared" ref="O13:P13" si="16">SUM(L4:L13)</f>
        <v>0.64750873995007874</v>
      </c>
      <c r="P13" s="14">
        <f t="shared" si="16"/>
        <v>0.36629108535804</v>
      </c>
      <c r="Q13">
        <f t="shared" si="5"/>
        <v>13.642353222188461</v>
      </c>
      <c r="R13">
        <f t="shared" si="0"/>
        <v>2.2482942359377733</v>
      </c>
      <c r="S13">
        <f t="shared" si="0"/>
        <v>1.2718440463820833</v>
      </c>
      <c r="T13">
        <f t="shared" si="6"/>
        <v>17.162491504508317</v>
      </c>
    </row>
    <row r="14" spans="1:20" x14ac:dyDescent="0.3">
      <c r="A14" s="10">
        <v>10</v>
      </c>
      <c r="B14" s="5">
        <v>50</v>
      </c>
      <c r="C14" s="5">
        <v>197</v>
      </c>
      <c r="D14">
        <f t="shared" si="7"/>
        <v>1947</v>
      </c>
      <c r="E14" s="45">
        <v>10318</v>
      </c>
      <c r="F14" s="46">
        <v>4779</v>
      </c>
      <c r="G14" s="51">
        <v>1591</v>
      </c>
      <c r="H14" s="47">
        <f t="shared" si="1"/>
        <v>1.0337308145270374</v>
      </c>
      <c r="I14" s="4">
        <f t="shared" si="8"/>
        <v>0.25378609151894066</v>
      </c>
      <c r="J14" s="48">
        <f t="shared" si="9"/>
        <v>0.16099799648112928</v>
      </c>
      <c r="K14" s="15">
        <f t="shared" si="2"/>
        <v>0.20364497046182636</v>
      </c>
      <c r="L14" s="16">
        <f t="shared" si="3"/>
        <v>4.9995860029231308E-2</v>
      </c>
      <c r="M14" s="17">
        <f t="shared" si="4"/>
        <v>3.1716605306782469E-2</v>
      </c>
      <c r="N14" s="16">
        <f>SUM(K4:K14)</f>
        <v>4.132642698452103</v>
      </c>
      <c r="O14" s="16">
        <f t="shared" ref="O14" si="17">SUM(L4:L14)</f>
        <v>0.69750459997931002</v>
      </c>
      <c r="P14" s="17">
        <f>SUM(M4:M14)</f>
        <v>0.39800769066482244</v>
      </c>
      <c r="Q14">
        <f t="shared" si="5"/>
        <v>14.349453814069802</v>
      </c>
      <c r="R14">
        <f t="shared" si="0"/>
        <v>2.4218909721503818</v>
      </c>
      <c r="S14">
        <f t="shared" si="0"/>
        <v>1.3819711481417447</v>
      </c>
      <c r="T14">
        <f t="shared" si="6"/>
        <v>18.153315934361927</v>
      </c>
    </row>
    <row r="15" spans="1:20" x14ac:dyDescent="0.3">
      <c r="A15" s="18">
        <v>11</v>
      </c>
      <c r="B15" s="19">
        <v>60</v>
      </c>
      <c r="C15" s="19">
        <v>380</v>
      </c>
      <c r="D15" s="20">
        <f t="shared" si="7"/>
        <v>2327</v>
      </c>
      <c r="E15" s="18">
        <v>5022</v>
      </c>
      <c r="F15" s="19">
        <v>5467</v>
      </c>
      <c r="G15" s="19">
        <v>739</v>
      </c>
      <c r="H15" s="49">
        <f>E15*$B$27/$B$28</f>
        <v>0.42270404101249603</v>
      </c>
      <c r="I15" s="78">
        <f t="shared" ref="I15:J19" si="18">F15*$B$27/$B$28</f>
        <v>0.46015989490547904</v>
      </c>
      <c r="J15" s="50">
        <f>G15*$B$27/$B$28</f>
        <v>6.2201968599807755E-2</v>
      </c>
      <c r="K15" s="43">
        <f t="shared" si="2"/>
        <v>0.16062753558474849</v>
      </c>
      <c r="L15" s="43">
        <f t="shared" si="3"/>
        <v>0.17486076006408202</v>
      </c>
      <c r="M15" s="44">
        <f t="shared" si="4"/>
        <v>2.3636748067926948E-2</v>
      </c>
      <c r="N15" s="43">
        <f>SUM(K4:K15)</f>
        <v>4.2932702340368518</v>
      </c>
      <c r="O15" s="43">
        <f t="shared" ref="O15:P15" si="19">SUM(L4:L15)</f>
        <v>0.87236536004339205</v>
      </c>
      <c r="P15" s="44">
        <f t="shared" si="19"/>
        <v>0.42164443873274937</v>
      </c>
      <c r="Q15">
        <f t="shared" si="5"/>
        <v>14.907188312627957</v>
      </c>
      <c r="R15">
        <f t="shared" si="0"/>
        <v>3.0290463890395554</v>
      </c>
      <c r="S15">
        <f t="shared" si="0"/>
        <v>1.4640431900442685</v>
      </c>
      <c r="T15">
        <f t="shared" si="6"/>
        <v>19.400277891711781</v>
      </c>
    </row>
    <row r="16" spans="1:20" x14ac:dyDescent="0.3">
      <c r="A16" s="10">
        <v>12</v>
      </c>
      <c r="B16" s="5">
        <v>70</v>
      </c>
      <c r="C16" s="52">
        <v>395</v>
      </c>
      <c r="D16" s="11">
        <f t="shared" si="7"/>
        <v>2722</v>
      </c>
      <c r="E16" s="10">
        <v>7224</v>
      </c>
      <c r="F16" s="52">
        <v>6013</v>
      </c>
      <c r="G16" s="52">
        <v>1090</v>
      </c>
      <c r="H16" s="47">
        <f t="shared" ref="H16:H19" si="20">E16*$B$27/$B$28</f>
        <v>0.60804738993912211</v>
      </c>
      <c r="I16" s="4">
        <f t="shared" si="18"/>
        <v>0.50611696507529647</v>
      </c>
      <c r="J16" s="50">
        <f t="shared" si="18"/>
        <v>9.1745799423261776E-2</v>
      </c>
      <c r="K16" s="13">
        <f t="shared" si="2"/>
        <v>0.24017871902595322</v>
      </c>
      <c r="L16" s="13">
        <f t="shared" si="3"/>
        <v>0.1999162012047421</v>
      </c>
      <c r="M16" s="14">
        <f t="shared" si="4"/>
        <v>3.6239590772188399E-2</v>
      </c>
      <c r="N16" s="13">
        <f>SUM(K4:K16)</f>
        <v>4.5334489530628055</v>
      </c>
      <c r="O16" s="13">
        <f>SUM(L4:L16)</f>
        <v>1.0722815612481342</v>
      </c>
      <c r="P16" s="14">
        <f t="shared" ref="P16" si="21">SUM(M4:M16)</f>
        <v>0.45788402950493778</v>
      </c>
      <c r="Q16">
        <f t="shared" si="5"/>
        <v>15.741142198134741</v>
      </c>
      <c r="R16">
        <f t="shared" si="0"/>
        <v>3.7231998654449106</v>
      </c>
      <c r="S16">
        <f t="shared" si="0"/>
        <v>1.5898751024477005</v>
      </c>
      <c r="T16">
        <f t="shared" si="6"/>
        <v>21.054217166027353</v>
      </c>
    </row>
    <row r="17" spans="1:20" x14ac:dyDescent="0.3">
      <c r="A17" s="10">
        <v>13</v>
      </c>
      <c r="B17" s="5">
        <v>80</v>
      </c>
      <c r="C17" s="52">
        <v>395</v>
      </c>
      <c r="D17" s="11">
        <f t="shared" si="7"/>
        <v>3117</v>
      </c>
      <c r="E17" s="10">
        <v>14267</v>
      </c>
      <c r="F17" s="52">
        <v>5638</v>
      </c>
      <c r="G17" s="52">
        <v>1100</v>
      </c>
      <c r="H17" s="47">
        <f t="shared" si="20"/>
        <v>1.2008599269464917</v>
      </c>
      <c r="I17" s="4">
        <f t="shared" si="18"/>
        <v>0.4745530432553669</v>
      </c>
      <c r="J17" s="50">
        <f t="shared" si="18"/>
        <v>9.2587504005126567E-2</v>
      </c>
      <c r="K17" s="13">
        <f t="shared" si="2"/>
        <v>0.47433967114386422</v>
      </c>
      <c r="L17" s="13">
        <f t="shared" si="3"/>
        <v>0.18744845208586991</v>
      </c>
      <c r="M17" s="14">
        <f t="shared" si="4"/>
        <v>3.6572064082024992E-2</v>
      </c>
      <c r="N17" s="13">
        <f>SUM(K4:K17)</f>
        <v>5.00778862420667</v>
      </c>
      <c r="O17" s="13">
        <f t="shared" ref="O17:P17" si="22">SUM(L4:L17)</f>
        <v>1.2597300133340041</v>
      </c>
      <c r="P17" s="14">
        <f t="shared" si="22"/>
        <v>0.4944560935869628</v>
      </c>
      <c r="Q17">
        <f t="shared" si="5"/>
        <v>17.388154945162047</v>
      </c>
      <c r="R17">
        <f t="shared" si="0"/>
        <v>4.3740625462986253</v>
      </c>
      <c r="S17">
        <f t="shared" si="0"/>
        <v>1.716861436065843</v>
      </c>
      <c r="T17">
        <f t="shared" si="6"/>
        <v>23.479078927526515</v>
      </c>
    </row>
    <row r="18" spans="1:20" x14ac:dyDescent="0.3">
      <c r="A18" s="10">
        <v>14</v>
      </c>
      <c r="B18" s="5">
        <v>90</v>
      </c>
      <c r="C18" s="52">
        <v>397</v>
      </c>
      <c r="D18" s="11">
        <f t="shared" si="7"/>
        <v>3514</v>
      </c>
      <c r="E18" s="10">
        <v>8866</v>
      </c>
      <c r="F18" s="52">
        <v>4631</v>
      </c>
      <c r="G18" s="52">
        <v>1368</v>
      </c>
      <c r="H18" s="47">
        <f t="shared" si="20"/>
        <v>0.74625528228132021</v>
      </c>
      <c r="I18" s="4">
        <f t="shared" si="18"/>
        <v>0.38979339186158285</v>
      </c>
      <c r="J18" s="50">
        <f t="shared" si="18"/>
        <v>0.11514518679910286</v>
      </c>
      <c r="K18" s="13">
        <f t="shared" si="2"/>
        <v>0.29626334706568414</v>
      </c>
      <c r="L18" s="13">
        <f t="shared" si="3"/>
        <v>0.1547479765690484</v>
      </c>
      <c r="M18" s="14">
        <f t="shared" si="4"/>
        <v>4.5712639159243833E-2</v>
      </c>
      <c r="N18" s="13">
        <f>SUM(K4:K18)</f>
        <v>5.3040519712723544</v>
      </c>
      <c r="O18" s="13">
        <f t="shared" ref="O18" si="23">SUM(L4:L18)</f>
        <v>1.4144779899030526</v>
      </c>
      <c r="P18" s="14">
        <f>SUM(M4:M18)</f>
        <v>0.54016873274620658</v>
      </c>
      <c r="Q18">
        <f t="shared" si="5"/>
        <v>18.416847122473452</v>
      </c>
      <c r="R18">
        <f t="shared" si="0"/>
        <v>4.9113819093855993</v>
      </c>
      <c r="S18">
        <f t="shared" si="0"/>
        <v>1.875585877590995</v>
      </c>
      <c r="T18">
        <f t="shared" si="6"/>
        <v>25.203814909450045</v>
      </c>
    </row>
    <row r="19" spans="1:20" x14ac:dyDescent="0.3">
      <c r="A19" s="45">
        <v>15</v>
      </c>
      <c r="B19" s="46">
        <v>100</v>
      </c>
      <c r="C19" s="46">
        <v>398</v>
      </c>
      <c r="D19" s="51">
        <f t="shared" si="7"/>
        <v>3912</v>
      </c>
      <c r="E19" s="45">
        <v>1349</v>
      </c>
      <c r="F19" s="46">
        <v>3490</v>
      </c>
      <c r="G19" s="46">
        <v>406</v>
      </c>
      <c r="H19" s="39">
        <f t="shared" si="20"/>
        <v>0.11354594809355976</v>
      </c>
      <c r="I19" s="40">
        <f t="shared" si="18"/>
        <v>0.29375489907081065</v>
      </c>
      <c r="J19" s="50">
        <f t="shared" si="18"/>
        <v>3.4173206023710351E-2</v>
      </c>
      <c r="K19" s="16">
        <f t="shared" si="2"/>
        <v>4.5191287341236785E-2</v>
      </c>
      <c r="L19" s="16">
        <f t="shared" si="3"/>
        <v>0.11691444983018263</v>
      </c>
      <c r="M19" s="17">
        <f t="shared" si="4"/>
        <v>1.360093599743672E-2</v>
      </c>
      <c r="N19" s="16">
        <f>SUM(K4:K19)</f>
        <v>5.3492432586135914</v>
      </c>
      <c r="O19" s="16">
        <f t="shared" ref="O19:P19" si="24">SUM(L4:L19)</f>
        <v>1.5313924397332352</v>
      </c>
      <c r="P19" s="17">
        <f t="shared" si="24"/>
        <v>0.55376966874364331</v>
      </c>
      <c r="Q19">
        <f>N19*100/$G$24</f>
        <v>18.573761314630527</v>
      </c>
      <c r="R19">
        <f t="shared" si="0"/>
        <v>5.317334860184844</v>
      </c>
      <c r="S19">
        <f t="shared" si="0"/>
        <v>1.9228113498043169</v>
      </c>
      <c r="T19">
        <f t="shared" si="6"/>
        <v>25.813907524619687</v>
      </c>
    </row>
    <row r="20" spans="1:20" x14ac:dyDescent="0.3">
      <c r="K20" s="39">
        <f>SUM(K5:K19)</f>
        <v>5.3492432586135914</v>
      </c>
      <c r="L20" s="40">
        <f t="shared" ref="L20:M20" si="25">SUM(L5:L19)</f>
        <v>1.5313924397332352</v>
      </c>
      <c r="M20" s="41">
        <f t="shared" si="25"/>
        <v>0.55376966874364331</v>
      </c>
    </row>
    <row r="23" spans="1:20" x14ac:dyDescent="0.3">
      <c r="A23" s="21" t="s">
        <v>43</v>
      </c>
      <c r="F23" s="21" t="s">
        <v>44</v>
      </c>
      <c r="G23" s="21"/>
    </row>
    <row r="24" spans="1:20" x14ac:dyDescent="0.3">
      <c r="A24" s="21"/>
      <c r="B24" t="s">
        <v>8</v>
      </c>
      <c r="C24" t="s">
        <v>9</v>
      </c>
      <c r="D24" t="s">
        <v>10</v>
      </c>
      <c r="F24" t="s">
        <v>73</v>
      </c>
      <c r="G24" s="35">
        <v>28.8</v>
      </c>
      <c r="J24" t="s">
        <v>7</v>
      </c>
    </row>
    <row r="25" spans="1:20" x14ac:dyDescent="0.3">
      <c r="A25" t="s">
        <v>13</v>
      </c>
      <c r="B25" s="4">
        <v>39.404400000000003</v>
      </c>
      <c r="C25" s="4">
        <v>40.04</v>
      </c>
      <c r="D25" s="5">
        <v>39.799999999999997</v>
      </c>
      <c r="G25" t="s">
        <v>8</v>
      </c>
      <c r="H25" t="s">
        <v>9</v>
      </c>
      <c r="I25" t="s">
        <v>10</v>
      </c>
    </row>
    <row r="26" spans="1:20" x14ac:dyDescent="0.3">
      <c r="A26" t="s">
        <v>14</v>
      </c>
      <c r="B26">
        <v>477828</v>
      </c>
      <c r="C26">
        <v>753986</v>
      </c>
      <c r="D26" s="5">
        <v>393308</v>
      </c>
      <c r="F26" t="s">
        <v>20</v>
      </c>
      <c r="G26">
        <v>53</v>
      </c>
      <c r="H26">
        <v>32</v>
      </c>
      <c r="I26">
        <v>15</v>
      </c>
      <c r="J26" s="3">
        <f>SUM(G26:I26)</f>
        <v>100</v>
      </c>
    </row>
    <row r="27" spans="1:20" x14ac:dyDescent="0.3">
      <c r="A27" t="s">
        <v>39</v>
      </c>
      <c r="B27">
        <v>39.404400000000003</v>
      </c>
      <c r="C27">
        <v>40.04</v>
      </c>
      <c r="D27">
        <v>39.799999999999997</v>
      </c>
      <c r="F27" t="s">
        <v>24</v>
      </c>
      <c r="G27" s="3">
        <f>G24*G26/100</f>
        <v>15.264000000000001</v>
      </c>
      <c r="H27" s="3">
        <f>G24*H26/100</f>
        <v>9.2160000000000011</v>
      </c>
      <c r="I27" s="3">
        <f>G24*I26/100</f>
        <v>4.32</v>
      </c>
      <c r="J27" s="3">
        <f>SUM(G27:I27)</f>
        <v>28.800000000000004</v>
      </c>
    </row>
    <row r="28" spans="1:20" x14ac:dyDescent="0.3">
      <c r="A28" t="s">
        <v>40</v>
      </c>
      <c r="B28">
        <v>468150</v>
      </c>
      <c r="C28">
        <v>723739</v>
      </c>
      <c r="D28">
        <v>363497</v>
      </c>
      <c r="F28" s="21" t="s">
        <v>41</v>
      </c>
      <c r="J28" s="3"/>
    </row>
    <row r="29" spans="1:20" x14ac:dyDescent="0.3">
      <c r="A29" t="s">
        <v>15</v>
      </c>
      <c r="B29">
        <v>1.109</v>
      </c>
      <c r="C29">
        <v>4.9669999999999996</v>
      </c>
      <c r="D29">
        <v>3.161</v>
      </c>
      <c r="F29" t="s">
        <v>23</v>
      </c>
      <c r="G29" s="3">
        <f>SUM(K4:K14)</f>
        <v>4.132642698452103</v>
      </c>
      <c r="H29" s="3">
        <f>SUM(L4:L14)</f>
        <v>0.69750459997931002</v>
      </c>
      <c r="I29" s="3">
        <f>SUM(M4:M14)</f>
        <v>0.39800769066482244</v>
      </c>
      <c r="J29" s="3">
        <f t="shared" ref="J29:J30" si="26">SUM(G29:I29)</f>
        <v>5.228154989096236</v>
      </c>
    </row>
    <row r="30" spans="1:20" x14ac:dyDescent="0.3">
      <c r="A30" t="s">
        <v>16</v>
      </c>
      <c r="B30">
        <v>315</v>
      </c>
      <c r="C30">
        <v>296</v>
      </c>
      <c r="D30">
        <v>235</v>
      </c>
      <c r="F30" t="s">
        <v>25</v>
      </c>
      <c r="G30" s="3">
        <f>G27-G29</f>
        <v>11.131357301547897</v>
      </c>
      <c r="H30" s="3">
        <f>H27-H29</f>
        <v>8.5184954000206918</v>
      </c>
      <c r="I30" s="3">
        <f>I27-I29</f>
        <v>3.9219923093351778</v>
      </c>
      <c r="J30" s="53">
        <f t="shared" si="26"/>
        <v>23.571845010903768</v>
      </c>
    </row>
    <row r="31" spans="1:20" ht="15" thickBot="1" x14ac:dyDescent="0.35">
      <c r="F31" t="s">
        <v>26</v>
      </c>
      <c r="G31" s="3">
        <f>100*G29/G27</f>
        <v>27.074441158622268</v>
      </c>
      <c r="H31" s="3">
        <f t="shared" ref="H31:I31" si="27">100*H29/H27</f>
        <v>7.5684092879699429</v>
      </c>
      <c r="I31" s="3">
        <f t="shared" si="27"/>
        <v>9.2131409876116308</v>
      </c>
      <c r="J31" s="3">
        <f>J29*100/J27</f>
        <v>18.153315934361927</v>
      </c>
    </row>
    <row r="32" spans="1:20" x14ac:dyDescent="0.3">
      <c r="A32" s="58"/>
      <c r="B32" s="89" t="s">
        <v>15</v>
      </c>
      <c r="C32" s="90"/>
      <c r="D32" s="91"/>
      <c r="F32" t="s">
        <v>27</v>
      </c>
      <c r="G32" s="3">
        <f>100-G31</f>
        <v>72.925558841377736</v>
      </c>
      <c r="H32" s="3">
        <f t="shared" ref="H32:I32" si="28">100-H31</f>
        <v>92.431590712030058</v>
      </c>
      <c r="I32" s="3">
        <f t="shared" si="28"/>
        <v>90.786859012388362</v>
      </c>
      <c r="J32" s="3">
        <f>J30*100/J27</f>
        <v>81.846684065638073</v>
      </c>
    </row>
    <row r="33" spans="1:10" x14ac:dyDescent="0.3">
      <c r="A33" s="59" t="s">
        <v>47</v>
      </c>
      <c r="B33" s="60" t="s">
        <v>48</v>
      </c>
      <c r="C33" s="60" t="s">
        <v>45</v>
      </c>
      <c r="D33" s="61" t="s">
        <v>46</v>
      </c>
      <c r="F33" t="s">
        <v>28</v>
      </c>
      <c r="J33" s="54">
        <v>25.3</v>
      </c>
    </row>
    <row r="34" spans="1:10" x14ac:dyDescent="0.3">
      <c r="A34" s="62" t="s">
        <v>8</v>
      </c>
      <c r="B34" s="30">
        <f>SLOPE(N4:N7,D4:D7)</f>
        <v>3.9986034157356801E-3</v>
      </c>
      <c r="C34" s="30">
        <f>SLOPE(N7:N14,D7:D14)</f>
        <v>1.2509794220734588E-3</v>
      </c>
      <c r="D34" s="63">
        <f>SLOPE(N14:N19,D14:D19)</f>
        <v>6.9598414578540271E-4</v>
      </c>
      <c r="F34" s="21" t="s">
        <v>42</v>
      </c>
    </row>
    <row r="35" spans="1:10" x14ac:dyDescent="0.3">
      <c r="A35" s="62" t="s">
        <v>9</v>
      </c>
      <c r="B35" s="30">
        <f>SLOPE(O4:O14,D4:D14)</f>
        <v>3.5938856242388078E-4</v>
      </c>
      <c r="C35" s="30"/>
      <c r="D35" s="63">
        <f>SLOPE(O14:O19,D14:D19)</f>
        <v>4.3399444421705869E-4</v>
      </c>
      <c r="F35" t="s">
        <v>23</v>
      </c>
      <c r="G35" s="9">
        <f>SUM(K5:K19)</f>
        <v>5.3492432586135914</v>
      </c>
      <c r="H35" s="9">
        <f>SUM(L5:L19)</f>
        <v>1.5313924397332352</v>
      </c>
      <c r="I35" s="9">
        <f>SUM(M5:M19)</f>
        <v>0.55376966874364331</v>
      </c>
      <c r="J35" s="38">
        <f>SUM(G35:I35)</f>
        <v>7.43440536709047</v>
      </c>
    </row>
    <row r="36" spans="1:10" ht="15" thickBot="1" x14ac:dyDescent="0.35">
      <c r="A36" s="64" t="s">
        <v>10</v>
      </c>
      <c r="B36" s="65">
        <f>SLOPE(P4:P14,D4:D14)</f>
        <v>1.9856477515863181E-4</v>
      </c>
      <c r="C36" s="65"/>
      <c r="D36" s="66">
        <f>SLOPE(P14:P19,D14:D19)</f>
        <v>8.4981515818908777E-5</v>
      </c>
      <c r="F36" t="s">
        <v>25</v>
      </c>
      <c r="G36" s="3">
        <f>G27-G35</f>
        <v>9.9147567413864088</v>
      </c>
      <c r="H36" s="3">
        <f t="shared" ref="H36:I36" si="29">H27-H35</f>
        <v>7.6846075602667661</v>
      </c>
      <c r="I36" s="3">
        <f t="shared" si="29"/>
        <v>3.7662303312563568</v>
      </c>
      <c r="J36" s="55">
        <f>SUM(G36:I36)</f>
        <v>21.365594632909531</v>
      </c>
    </row>
    <row r="37" spans="1:10" x14ac:dyDescent="0.3">
      <c r="A37" s="80"/>
      <c r="B37" s="80"/>
      <c r="C37" s="80" t="s">
        <v>20</v>
      </c>
      <c r="D37" s="80"/>
      <c r="F37" t="s">
        <v>26</v>
      </c>
      <c r="G37" s="3">
        <f>100*G35/G27</f>
        <v>35.0448326691142</v>
      </c>
      <c r="H37" s="3">
        <f t="shared" ref="H37:I37" si="30">100*H35/H27</f>
        <v>16.616671438077635</v>
      </c>
      <c r="I37" s="3">
        <f t="shared" si="30"/>
        <v>12.818742332028778</v>
      </c>
      <c r="J37" s="38">
        <f>J35*100/J27</f>
        <v>25.813907524619683</v>
      </c>
    </row>
    <row r="38" spans="1:10" x14ac:dyDescent="0.3">
      <c r="A38" s="81" t="s">
        <v>8</v>
      </c>
      <c r="B38" s="80">
        <f>SLOPE(Q4:Q7,D4:D7)</f>
        <v>1.3884039637971109E-2</v>
      </c>
      <c r="C38" s="80">
        <f>SLOPE(R8:R14,D8:D14)</f>
        <v>1.1229231164779771E-3</v>
      </c>
      <c r="D38" s="80">
        <f>SLOPE(N14:N19,D14:D19)</f>
        <v>6.9598414578540271E-4</v>
      </c>
      <c r="F38" t="s">
        <v>27</v>
      </c>
      <c r="G38" s="22">
        <f>G36*100/G27</f>
        <v>64.9551673308858</v>
      </c>
      <c r="H38" s="22">
        <f t="shared" ref="H38:I38" si="31">H36*100/H27</f>
        <v>83.383328561922355</v>
      </c>
      <c r="I38" s="22">
        <f t="shared" si="31"/>
        <v>87.181257667971224</v>
      </c>
      <c r="J38" s="3">
        <f>J36*100/J27</f>
        <v>74.186092475380292</v>
      </c>
    </row>
    <row r="39" spans="1:10" x14ac:dyDescent="0.3">
      <c r="A39" s="81" t="s">
        <v>9</v>
      </c>
      <c r="B39" s="80">
        <f>SLOPE(R4:R14,D4:D14)</f>
        <v>1.247876952860697E-3</v>
      </c>
      <c r="C39" s="80"/>
      <c r="D39" s="80">
        <f>SLOPE(O14:O19,D14:D19)</f>
        <v>4.3399444421705869E-4</v>
      </c>
      <c r="F39" t="s">
        <v>28</v>
      </c>
      <c r="G39" s="22"/>
      <c r="H39" s="22"/>
      <c r="I39" s="22"/>
      <c r="J39" s="55">
        <v>23.4</v>
      </c>
    </row>
    <row r="40" spans="1:10" x14ac:dyDescent="0.3">
      <c r="A40" s="80" t="s">
        <v>10</v>
      </c>
      <c r="B40" s="80">
        <f>SLOPE(R5:R14,D5:D14)</f>
        <v>1.2174699947641045E-3</v>
      </c>
      <c r="C40" s="80"/>
      <c r="D40" s="80">
        <f>SLOPE(P14:P19,D14:D19)</f>
        <v>8.4981515818908777E-5</v>
      </c>
    </row>
  </sheetData>
  <mergeCells count="3">
    <mergeCell ref="G2:I2"/>
    <mergeCell ref="J2:L2"/>
    <mergeCell ref="B32:D3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8"/>
  <sheetViews>
    <sheetView zoomScale="70" zoomScaleNormal="70" workbookViewId="0">
      <selection activeCell="D34" sqref="D34"/>
    </sheetView>
  </sheetViews>
  <sheetFormatPr defaultRowHeight="14.4" x14ac:dyDescent="0.3"/>
  <cols>
    <col min="1" max="1" width="11.33203125" customWidth="1"/>
    <col min="2" max="2" width="8.109375" customWidth="1"/>
    <col min="7" max="7" width="9.109375" customWidth="1"/>
    <col min="8" max="8" width="9.33203125" customWidth="1"/>
    <col min="9" max="9" width="7.33203125" customWidth="1"/>
    <col min="10" max="10" width="9.5546875" bestFit="1" customWidth="1"/>
    <col min="11" max="12" width="9" bestFit="1" customWidth="1"/>
  </cols>
  <sheetData>
    <row r="1" spans="1:20" ht="18" x14ac:dyDescent="0.35">
      <c r="A1" s="2" t="s">
        <v>3</v>
      </c>
      <c r="B1" s="2"/>
    </row>
    <row r="2" spans="1:20" x14ac:dyDescent="0.3">
      <c r="E2" s="18"/>
      <c r="F2" s="19" t="s">
        <v>11</v>
      </c>
      <c r="G2" s="20"/>
      <c r="H2" s="83" t="s">
        <v>13</v>
      </c>
      <c r="I2" s="84"/>
      <c r="J2" s="84"/>
      <c r="K2" s="83" t="s">
        <v>18</v>
      </c>
      <c r="L2" s="84"/>
      <c r="M2" s="85"/>
      <c r="N2" t="s">
        <v>19</v>
      </c>
      <c r="Q2" t="s">
        <v>67</v>
      </c>
      <c r="T2" t="s">
        <v>68</v>
      </c>
    </row>
    <row r="3" spans="1:20" x14ac:dyDescent="0.3">
      <c r="A3" t="s">
        <v>4</v>
      </c>
      <c r="B3" t="s">
        <v>15</v>
      </c>
      <c r="C3" t="s">
        <v>5</v>
      </c>
      <c r="D3" t="s">
        <v>70</v>
      </c>
      <c r="E3" s="18" t="s">
        <v>8</v>
      </c>
      <c r="F3" s="19" t="s">
        <v>9</v>
      </c>
      <c r="G3" s="19" t="s">
        <v>10</v>
      </c>
      <c r="H3" s="19" t="s">
        <v>8</v>
      </c>
      <c r="I3" s="19" t="s">
        <v>9</v>
      </c>
      <c r="J3" s="19" t="s">
        <v>10</v>
      </c>
      <c r="K3" s="18" t="s">
        <v>8</v>
      </c>
      <c r="L3" s="19" t="s">
        <v>9</v>
      </c>
      <c r="M3" s="20" t="s">
        <v>10</v>
      </c>
      <c r="N3" s="18" t="s">
        <v>8</v>
      </c>
      <c r="O3" s="19" t="s">
        <v>9</v>
      </c>
      <c r="P3" s="20" t="s">
        <v>10</v>
      </c>
      <c r="Q3" t="s">
        <v>8</v>
      </c>
      <c r="R3" t="s">
        <v>9</v>
      </c>
      <c r="S3" t="s">
        <v>10</v>
      </c>
    </row>
    <row r="4" spans="1:20" x14ac:dyDescent="0.3">
      <c r="A4" s="18">
        <v>0</v>
      </c>
      <c r="B4" s="19">
        <v>0</v>
      </c>
      <c r="C4" s="19" t="s">
        <v>6</v>
      </c>
      <c r="D4">
        <f>0</f>
        <v>0</v>
      </c>
      <c r="E4" s="19" t="s">
        <v>17</v>
      </c>
      <c r="F4" s="19">
        <v>7570</v>
      </c>
      <c r="G4" s="19" t="s">
        <v>17</v>
      </c>
      <c r="H4" s="19"/>
      <c r="I4" s="19"/>
      <c r="J4" s="19"/>
      <c r="K4" s="18"/>
      <c r="L4" s="19"/>
      <c r="M4" s="20"/>
      <c r="N4" s="19">
        <v>0</v>
      </c>
      <c r="O4" s="19">
        <v>0</v>
      </c>
      <c r="P4" s="20">
        <v>0</v>
      </c>
      <c r="Q4">
        <f>N4*100/$G$23</f>
        <v>0</v>
      </c>
      <c r="R4">
        <f t="shared" ref="R4:S19" si="0">O4*100/$G$23</f>
        <v>0</v>
      </c>
      <c r="S4">
        <f t="shared" si="0"/>
        <v>0</v>
      </c>
      <c r="T4">
        <f>(N4+O4+P4)*100/$G$23</f>
        <v>0</v>
      </c>
    </row>
    <row r="5" spans="1:20" x14ac:dyDescent="0.3">
      <c r="A5" s="10">
        <v>1</v>
      </c>
      <c r="B5" s="5">
        <v>5</v>
      </c>
      <c r="C5" s="5">
        <v>196</v>
      </c>
      <c r="D5">
        <f>D4+C5</f>
        <v>196</v>
      </c>
      <c r="E5" s="52">
        <v>68721</v>
      </c>
      <c r="F5" s="52">
        <v>10156</v>
      </c>
      <c r="G5" s="52">
        <v>2335</v>
      </c>
      <c r="H5" s="4">
        <f t="shared" ref="H5:H14" si="1">E5*$B$23/$B$24</f>
        <v>5.6671224214570932</v>
      </c>
      <c r="I5" s="4">
        <f t="shared" ref="I5:I14" si="2">F5*$C$23/$C$24</f>
        <v>0.53932863474918635</v>
      </c>
      <c r="J5" s="4">
        <f t="shared" ref="J5:J14" si="3">G5*$D$23/$D$24</f>
        <v>0.23628555737488177</v>
      </c>
      <c r="K5" s="12">
        <f t="shared" ref="K5:K19" si="4">H5*C5/1000</f>
        <v>1.1107559946055903</v>
      </c>
      <c r="L5" s="13">
        <f t="shared" ref="L5:L19" si="5">I5*C5/1000</f>
        <v>0.10570841241084053</v>
      </c>
      <c r="M5" s="14">
        <f t="shared" ref="M5:M19" si="6">J5*C5/1000</f>
        <v>4.6311969245476821E-2</v>
      </c>
      <c r="N5" s="13">
        <f>K5+K4</f>
        <v>1.1107559946055903</v>
      </c>
      <c r="O5" s="13">
        <f>L5+L4</f>
        <v>0.10570841241084053</v>
      </c>
      <c r="P5" s="14">
        <f>M5+M4</f>
        <v>4.6311969245476821E-2</v>
      </c>
      <c r="Q5">
        <f t="shared" ref="Q5:Q19" si="7">N5*100/$G$23</f>
        <v>2.3286289195085748</v>
      </c>
      <c r="R5">
        <f t="shared" si="0"/>
        <v>0.22161092748603886</v>
      </c>
      <c r="S5">
        <f t="shared" si="0"/>
        <v>9.7090082275632747E-2</v>
      </c>
      <c r="T5">
        <f t="shared" ref="T5:T19" si="8">(N5+O5+P5)*100/$G$23</f>
        <v>2.6473299292702461</v>
      </c>
    </row>
    <row r="6" spans="1:20" x14ac:dyDescent="0.3">
      <c r="A6" s="10">
        <v>2</v>
      </c>
      <c r="B6" s="5">
        <v>10</v>
      </c>
      <c r="C6" s="5">
        <v>197</v>
      </c>
      <c r="D6">
        <f t="shared" ref="D6:D19" si="9">D5+C6</f>
        <v>393</v>
      </c>
      <c r="E6" s="52">
        <v>53199</v>
      </c>
      <c r="F6" s="52">
        <v>10083</v>
      </c>
      <c r="G6" s="52">
        <v>2772</v>
      </c>
      <c r="H6" s="4">
        <f t="shared" si="1"/>
        <v>4.3870904919761928</v>
      </c>
      <c r="I6" s="4">
        <f t="shared" si="2"/>
        <v>0.53545201104529794</v>
      </c>
      <c r="J6" s="4">
        <f t="shared" si="3"/>
        <v>0.28050688010414226</v>
      </c>
      <c r="K6" s="12">
        <f t="shared" si="4"/>
        <v>0.86425682691931005</v>
      </c>
      <c r="L6" s="13">
        <f t="shared" si="5"/>
        <v>0.10548404617592369</v>
      </c>
      <c r="M6" s="14">
        <f t="shared" si="6"/>
        <v>5.5259855380516032E-2</v>
      </c>
      <c r="N6" s="13">
        <f>SUM(K5:K6)</f>
        <v>1.9750128215249003</v>
      </c>
      <c r="O6" s="13">
        <f>SUM(L5:L6)</f>
        <v>0.21119245858676422</v>
      </c>
      <c r="P6" s="14">
        <f>SUM(M5:M6)</f>
        <v>0.10157182462599285</v>
      </c>
      <c r="Q6">
        <f t="shared" si="7"/>
        <v>4.140488095440042</v>
      </c>
      <c r="R6">
        <f t="shared" si="0"/>
        <v>0.44275148550684318</v>
      </c>
      <c r="S6">
        <f t="shared" si="0"/>
        <v>0.21293883569390532</v>
      </c>
      <c r="T6">
        <f t="shared" si="8"/>
        <v>4.7961784166407915</v>
      </c>
    </row>
    <row r="7" spans="1:20" x14ac:dyDescent="0.3">
      <c r="A7" s="10">
        <v>3</v>
      </c>
      <c r="B7" s="5">
        <v>15</v>
      </c>
      <c r="C7" s="5">
        <v>196</v>
      </c>
      <c r="D7">
        <f t="shared" si="9"/>
        <v>589</v>
      </c>
      <c r="E7" s="52">
        <v>43982</v>
      </c>
      <c r="F7" s="52">
        <v>11647</v>
      </c>
      <c r="G7" s="52">
        <v>2937</v>
      </c>
      <c r="H7" s="4">
        <f t="shared" si="1"/>
        <v>3.627004530500515</v>
      </c>
      <c r="I7" s="4">
        <f>F9*$C$23/$C$24</f>
        <v>0.63512903422609968</v>
      </c>
      <c r="J7" s="4">
        <f t="shared" si="3"/>
        <v>0.29720371820557934</v>
      </c>
      <c r="K7" s="12">
        <f t="shared" si="4"/>
        <v>0.71089288797810091</v>
      </c>
      <c r="L7" s="13">
        <f t="shared" si="5"/>
        <v>0.12448529070831553</v>
      </c>
      <c r="M7" s="14">
        <f t="shared" si="6"/>
        <v>5.8251928768293555E-2</v>
      </c>
      <c r="N7" s="13">
        <f>SUM(K5:K7)</f>
        <v>2.6859057095030012</v>
      </c>
      <c r="O7" s="13">
        <f>SUM(L5:L7)</f>
        <v>0.33567774929507976</v>
      </c>
      <c r="P7" s="14">
        <f t="shared" ref="P7" si="10">SUM(M5:M7)</f>
        <v>0.15982375339428639</v>
      </c>
      <c r="Q7">
        <f t="shared" si="7"/>
        <v>5.6308295796708618</v>
      </c>
      <c r="R7">
        <f t="shared" si="0"/>
        <v>0.70372693772553407</v>
      </c>
      <c r="S7">
        <f t="shared" si="0"/>
        <v>0.335060279652592</v>
      </c>
      <c r="T7">
        <f t="shared" si="8"/>
        <v>6.6696167970489881</v>
      </c>
    </row>
    <row r="8" spans="1:20" x14ac:dyDescent="0.3">
      <c r="A8" s="10">
        <v>4</v>
      </c>
      <c r="B8" s="5">
        <v>20</v>
      </c>
      <c r="C8" s="5">
        <v>196</v>
      </c>
      <c r="D8">
        <f t="shared" si="9"/>
        <v>785</v>
      </c>
      <c r="E8" s="52">
        <v>39062</v>
      </c>
      <c r="F8" s="52">
        <v>12019</v>
      </c>
      <c r="G8" s="52">
        <v>2175</v>
      </c>
      <c r="H8" s="4">
        <f t="shared" si="1"/>
        <v>3.2212734975765338</v>
      </c>
      <c r="I8" s="4">
        <f>F10*$C$23/$C$24</f>
        <v>0.64314780380537573</v>
      </c>
      <c r="J8" s="4">
        <f t="shared" si="3"/>
        <v>0.22009468406439736</v>
      </c>
      <c r="K8" s="12">
        <f t="shared" si="4"/>
        <v>0.63136960552500065</v>
      </c>
      <c r="L8" s="13">
        <f t="shared" si="5"/>
        <v>0.12605696954585366</v>
      </c>
      <c r="M8" s="14">
        <f t="shared" si="6"/>
        <v>4.3138558076621883E-2</v>
      </c>
      <c r="N8" s="13">
        <f>SUM(K4:K8)</f>
        <v>3.3172753150280019</v>
      </c>
      <c r="O8" s="13">
        <f t="shared" ref="O8:P8" si="11">SUM(L4:L8)</f>
        <v>0.46173471884093342</v>
      </c>
      <c r="P8" s="14">
        <f t="shared" si="11"/>
        <v>0.20296231147090826</v>
      </c>
      <c r="Q8">
        <f t="shared" si="7"/>
        <v>6.9544555870607994</v>
      </c>
      <c r="R8">
        <f t="shared" si="0"/>
        <v>0.9679973141319359</v>
      </c>
      <c r="S8">
        <f t="shared" si="0"/>
        <v>0.42549750832475525</v>
      </c>
      <c r="T8">
        <f t="shared" si="8"/>
        <v>8.347950409517491</v>
      </c>
    </row>
    <row r="9" spans="1:20" x14ac:dyDescent="0.3">
      <c r="A9" s="10">
        <v>5</v>
      </c>
      <c r="B9" s="5">
        <v>25</v>
      </c>
      <c r="C9" s="5">
        <v>196</v>
      </c>
      <c r="D9">
        <f t="shared" si="9"/>
        <v>981</v>
      </c>
      <c r="E9" s="52">
        <v>33879</v>
      </c>
      <c r="F9" s="52">
        <v>11960</v>
      </c>
      <c r="G9" s="52">
        <v>2434</v>
      </c>
      <c r="H9" s="4">
        <f t="shared" si="1"/>
        <v>2.7938539968356815</v>
      </c>
      <c r="I9" s="4">
        <f>F11*$C$23/$C$24</f>
        <v>0.62408331189173272</v>
      </c>
      <c r="J9" s="4">
        <f t="shared" si="3"/>
        <v>0.24630366023574399</v>
      </c>
      <c r="K9" s="12">
        <f t="shared" si="4"/>
        <v>0.54759538337979363</v>
      </c>
      <c r="L9" s="13">
        <f t="shared" si="5"/>
        <v>0.12232032913077961</v>
      </c>
      <c r="M9" s="14">
        <f t="shared" si="6"/>
        <v>4.8275517406205823E-2</v>
      </c>
      <c r="N9" s="13">
        <f>SUM(K4:K9)</f>
        <v>3.8648706984077954</v>
      </c>
      <c r="O9" s="13">
        <f t="shared" ref="O9:P9" si="12">SUM(L4:L9)</f>
        <v>0.58405504797171304</v>
      </c>
      <c r="P9" s="14">
        <f t="shared" si="12"/>
        <v>0.2512378288771141</v>
      </c>
      <c r="Q9">
        <f t="shared" si="7"/>
        <v>8.1024542943559652</v>
      </c>
      <c r="R9">
        <f t="shared" si="0"/>
        <v>1.22443406283378</v>
      </c>
      <c r="S9">
        <f t="shared" si="0"/>
        <v>0.52670404376753477</v>
      </c>
      <c r="T9">
        <f t="shared" si="8"/>
        <v>9.8535924009572806</v>
      </c>
    </row>
    <row r="10" spans="1:20" x14ac:dyDescent="0.3">
      <c r="A10" s="10">
        <v>6</v>
      </c>
      <c r="B10" s="5">
        <v>30</v>
      </c>
      <c r="C10" s="5">
        <v>198</v>
      </c>
      <c r="D10">
        <f t="shared" si="9"/>
        <v>1179</v>
      </c>
      <c r="E10" s="52">
        <v>28976</v>
      </c>
      <c r="F10" s="52">
        <v>12111</v>
      </c>
      <c r="G10" s="52">
        <v>1339</v>
      </c>
      <c r="H10" s="4">
        <f t="shared" si="1"/>
        <v>2.389524880082373</v>
      </c>
      <c r="I10" s="4">
        <f>F10*$C$23/$C$24</f>
        <v>0.64314780380537573</v>
      </c>
      <c r="J10" s="4">
        <f t="shared" si="3"/>
        <v>0.13549737101711634</v>
      </c>
      <c r="K10" s="12">
        <f t="shared" si="4"/>
        <v>0.47312592625630989</v>
      </c>
      <c r="L10" s="13">
        <f t="shared" si="5"/>
        <v>0.12734326515346439</v>
      </c>
      <c r="M10" s="14">
        <f t="shared" si="6"/>
        <v>2.6828479461389037E-2</v>
      </c>
      <c r="N10" s="13">
        <f>SUM(K4:K10)</f>
        <v>4.3379966246641057</v>
      </c>
      <c r="O10" s="13">
        <f t="shared" ref="O10:P10" si="13">SUM(L4:L10)</f>
        <v>0.71139831312517743</v>
      </c>
      <c r="P10" s="14">
        <f t="shared" si="13"/>
        <v>0.27806630833850315</v>
      </c>
      <c r="Q10">
        <f t="shared" si="7"/>
        <v>9.0943325464656297</v>
      </c>
      <c r="R10">
        <f t="shared" si="0"/>
        <v>1.4914010757341245</v>
      </c>
      <c r="S10">
        <f t="shared" si="0"/>
        <v>0.5829482355104888</v>
      </c>
      <c r="T10">
        <f t="shared" si="8"/>
        <v>11.168681857710244</v>
      </c>
    </row>
    <row r="11" spans="1:20" x14ac:dyDescent="0.3">
      <c r="A11" s="10">
        <v>7</v>
      </c>
      <c r="B11" s="5">
        <v>35</v>
      </c>
      <c r="C11" s="5">
        <v>197</v>
      </c>
      <c r="D11">
        <f t="shared" si="9"/>
        <v>1376</v>
      </c>
      <c r="E11" s="52">
        <v>27010</v>
      </c>
      <c r="F11" s="52">
        <v>11752</v>
      </c>
      <c r="G11" s="52">
        <v>2974</v>
      </c>
      <c r="H11" s="4">
        <f t="shared" si="1"/>
        <v>2.227397398226977</v>
      </c>
      <c r="I11" s="4">
        <f>F11*$C$23/$C$24</f>
        <v>0.62408331189173272</v>
      </c>
      <c r="J11" s="4">
        <f t="shared" si="3"/>
        <v>0.30094785765862886</v>
      </c>
      <c r="K11" s="12">
        <f t="shared" si="4"/>
        <v>0.43879728745071445</v>
      </c>
      <c r="L11" s="13">
        <f t="shared" si="5"/>
        <v>0.12294441244267135</v>
      </c>
      <c r="M11" s="14">
        <f t="shared" si="6"/>
        <v>5.9286727958749882E-2</v>
      </c>
      <c r="N11" s="13">
        <f>SUM(K4:K11)</f>
        <v>4.7767939121148206</v>
      </c>
      <c r="O11" s="13">
        <f>SUM(L4:L11)</f>
        <v>0.83434272556784883</v>
      </c>
      <c r="P11" s="14">
        <f t="shared" ref="P11" si="14">SUM(M4:M11)</f>
        <v>0.33735303629725305</v>
      </c>
      <c r="Q11">
        <f t="shared" si="7"/>
        <v>10.01424300233715</v>
      </c>
      <c r="R11">
        <f t="shared" si="0"/>
        <v>1.7491461751946518</v>
      </c>
      <c r="S11">
        <f t="shared" si="0"/>
        <v>0.70723906980556195</v>
      </c>
      <c r="T11">
        <f t="shared" si="8"/>
        <v>12.470628247337364</v>
      </c>
    </row>
    <row r="12" spans="1:20" x14ac:dyDescent="0.3">
      <c r="A12" s="10">
        <v>8</v>
      </c>
      <c r="B12" s="5">
        <v>40</v>
      </c>
      <c r="C12" s="5">
        <v>198</v>
      </c>
      <c r="D12">
        <f t="shared" si="9"/>
        <v>1574</v>
      </c>
      <c r="E12" s="52">
        <v>25877</v>
      </c>
      <c r="F12" s="52">
        <v>13298</v>
      </c>
      <c r="G12" s="52">
        <v>1866</v>
      </c>
      <c r="H12" s="4">
        <f t="shared" si="1"/>
        <v>2.1339638087345238</v>
      </c>
      <c r="I12" s="4">
        <f>F12*$C$23/$C$24</f>
        <v>0.7061827673192872</v>
      </c>
      <c r="J12" s="4">
        <f t="shared" si="3"/>
        <v>0.18882605998352434</v>
      </c>
      <c r="K12" s="12">
        <f t="shared" si="4"/>
        <v>0.4225248341294357</v>
      </c>
      <c r="L12" s="13">
        <f t="shared" si="5"/>
        <v>0.13982418792921886</v>
      </c>
      <c r="M12" s="14">
        <f t="shared" si="6"/>
        <v>3.7387559876737815E-2</v>
      </c>
      <c r="N12" s="13">
        <f>SUM(K4:K12)</f>
        <v>5.1993187462442565</v>
      </c>
      <c r="O12" s="13">
        <f t="shared" ref="O12:P12" si="15">SUM(L4:L12)</f>
        <v>0.97416691349706763</v>
      </c>
      <c r="P12" s="14">
        <f t="shared" si="15"/>
        <v>0.37474059617399086</v>
      </c>
      <c r="Q12">
        <f t="shared" si="7"/>
        <v>10.900039300302424</v>
      </c>
      <c r="R12">
        <f t="shared" si="0"/>
        <v>2.0422786446479404</v>
      </c>
      <c r="S12">
        <f t="shared" si="0"/>
        <v>0.7856196984779682</v>
      </c>
      <c r="T12">
        <f t="shared" si="8"/>
        <v>13.727937643428332</v>
      </c>
    </row>
    <row r="13" spans="1:20" x14ac:dyDescent="0.3">
      <c r="A13" s="10">
        <v>9</v>
      </c>
      <c r="B13" s="5">
        <v>45</v>
      </c>
      <c r="C13" s="5">
        <v>198</v>
      </c>
      <c r="D13">
        <f t="shared" si="9"/>
        <v>1772</v>
      </c>
      <c r="E13" s="52">
        <v>24061</v>
      </c>
      <c r="F13" s="52">
        <v>12196</v>
      </c>
      <c r="G13" s="52">
        <v>3398</v>
      </c>
      <c r="H13" s="4">
        <f t="shared" si="1"/>
        <v>1.9842061754438838</v>
      </c>
      <c r="I13" s="4">
        <f t="shared" si="2"/>
        <v>0.64766168072086217</v>
      </c>
      <c r="J13" s="4">
        <f t="shared" si="3"/>
        <v>0.34385367193141253</v>
      </c>
      <c r="K13" s="12">
        <f t="shared" si="4"/>
        <v>0.39287282273788898</v>
      </c>
      <c r="L13" s="13">
        <f t="shared" si="5"/>
        <v>0.12823701278273072</v>
      </c>
      <c r="M13" s="14">
        <f t="shared" si="6"/>
        <v>6.8083027042419683E-2</v>
      </c>
      <c r="N13" s="13">
        <f>SUM(K4:K13)</f>
        <v>5.5921915689821455</v>
      </c>
      <c r="O13" s="13">
        <f t="shared" ref="O13:P13" si="16">SUM(L4:L13)</f>
        <v>1.1024039262797984</v>
      </c>
      <c r="P13" s="14">
        <f t="shared" si="16"/>
        <v>0.44282362321641056</v>
      </c>
      <c r="Q13">
        <f t="shared" si="7"/>
        <v>11.72367205237347</v>
      </c>
      <c r="R13">
        <f t="shared" si="0"/>
        <v>2.3111193423056569</v>
      </c>
      <c r="S13">
        <f t="shared" si="0"/>
        <v>0.92835141135515831</v>
      </c>
      <c r="T13">
        <f t="shared" si="8"/>
        <v>14.963142806034286</v>
      </c>
    </row>
    <row r="14" spans="1:20" x14ac:dyDescent="0.3">
      <c r="A14" s="45">
        <v>10</v>
      </c>
      <c r="B14" s="46">
        <v>50</v>
      </c>
      <c r="C14" s="46">
        <v>200</v>
      </c>
      <c r="D14">
        <f t="shared" si="9"/>
        <v>1972</v>
      </c>
      <c r="E14" s="46">
        <v>19298</v>
      </c>
      <c r="F14" s="46">
        <v>11404</v>
      </c>
      <c r="G14" s="46">
        <v>2685</v>
      </c>
      <c r="H14" s="40">
        <f t="shared" si="1"/>
        <v>1.5914222506843467</v>
      </c>
      <c r="I14" s="40">
        <f t="shared" si="2"/>
        <v>0.60560296875538799</v>
      </c>
      <c r="J14" s="40">
        <f t="shared" si="3"/>
        <v>0.27170309274156634</v>
      </c>
      <c r="K14" s="12">
        <f t="shared" si="4"/>
        <v>0.31828445013686935</v>
      </c>
      <c r="L14" s="16">
        <f t="shared" si="5"/>
        <v>0.12112059375107759</v>
      </c>
      <c r="M14" s="17">
        <f t="shared" si="6"/>
        <v>5.4340618548313263E-2</v>
      </c>
      <c r="N14" s="13">
        <f>SUM(K4:K14)</f>
        <v>5.9104760191190149</v>
      </c>
      <c r="O14" s="13">
        <f t="shared" ref="O14:P14" si="17">SUM(L4:L14)</f>
        <v>1.223524520030876</v>
      </c>
      <c r="P14" s="14">
        <f t="shared" si="17"/>
        <v>0.49716424176472385</v>
      </c>
      <c r="Q14">
        <f t="shared" si="7"/>
        <v>12.390935050563971</v>
      </c>
      <c r="R14">
        <f t="shared" si="0"/>
        <v>2.5650409224965949</v>
      </c>
      <c r="S14">
        <f t="shared" si="0"/>
        <v>1.0422730435319159</v>
      </c>
      <c r="T14">
        <f t="shared" si="8"/>
        <v>15.998249016592482</v>
      </c>
    </row>
    <row r="15" spans="1:20" x14ac:dyDescent="0.3">
      <c r="A15">
        <v>11</v>
      </c>
      <c r="B15">
        <v>60</v>
      </c>
      <c r="C15">
        <v>385</v>
      </c>
      <c r="D15">
        <f t="shared" si="9"/>
        <v>2357</v>
      </c>
      <c r="E15" s="52">
        <v>10115</v>
      </c>
      <c r="F15" s="52">
        <v>6642</v>
      </c>
      <c r="G15" s="52">
        <v>1524</v>
      </c>
      <c r="H15" s="3">
        <f>E15*$B$25/$B$26</f>
        <v>0.8513841845562321</v>
      </c>
      <c r="I15" s="3">
        <f>F15*$B$25/$B$26</f>
        <v>0.5590601832745915</v>
      </c>
      <c r="J15" s="3">
        <f>G15*$B$25/$B$26</f>
        <v>0.12827577827619355</v>
      </c>
      <c r="K15" s="13">
        <f t="shared" si="4"/>
        <v>0.32778291105414936</v>
      </c>
      <c r="L15" s="13">
        <f t="shared" si="5"/>
        <v>0.21523817056071773</v>
      </c>
      <c r="M15" s="13">
        <f t="shared" si="6"/>
        <v>4.9386174636334518E-2</v>
      </c>
      <c r="N15" s="42">
        <f>SUM(K4:K15)</f>
        <v>6.2382589301731644</v>
      </c>
      <c r="O15" s="43">
        <f t="shared" ref="O15:P15" si="18">SUM(L4:L15)</f>
        <v>1.4387626905915938</v>
      </c>
      <c r="P15" s="44">
        <f t="shared" si="18"/>
        <v>0.54655041640105839</v>
      </c>
      <c r="Q15">
        <f t="shared" si="7"/>
        <v>13.078110964723614</v>
      </c>
      <c r="R15">
        <f t="shared" si="0"/>
        <v>3.0162739844687496</v>
      </c>
      <c r="S15">
        <f t="shared" si="0"/>
        <v>1.1458080008407932</v>
      </c>
      <c r="T15">
        <f t="shared" si="8"/>
        <v>17.240192950033155</v>
      </c>
    </row>
    <row r="16" spans="1:20" x14ac:dyDescent="0.3">
      <c r="A16">
        <v>12</v>
      </c>
      <c r="B16">
        <v>70</v>
      </c>
      <c r="C16">
        <v>400</v>
      </c>
      <c r="D16">
        <f t="shared" si="9"/>
        <v>2757</v>
      </c>
      <c r="E16" s="52">
        <v>13679</v>
      </c>
      <c r="F16" s="52">
        <v>6537</v>
      </c>
      <c r="G16" s="52">
        <v>4145</v>
      </c>
      <c r="H16" s="3">
        <f t="shared" ref="H16:H19" si="19">E16*$B$25/$B$26</f>
        <v>1.1513676975328422</v>
      </c>
      <c r="I16" s="3">
        <f t="shared" ref="I16:I19" si="20">F16*$B$25/$B$26</f>
        <v>0.55022228516501126</v>
      </c>
      <c r="J16" s="3">
        <f t="shared" ref="J16:J19" si="21">G16*$B$25/$B$26</f>
        <v>0.3488865491829542</v>
      </c>
      <c r="K16" s="13">
        <f t="shared" si="4"/>
        <v>0.46054707901313685</v>
      </c>
      <c r="L16" s="13">
        <f t="shared" si="5"/>
        <v>0.2200889140660045</v>
      </c>
      <c r="M16" s="13">
        <f t="shared" si="6"/>
        <v>0.1395546196731817</v>
      </c>
      <c r="N16" s="12">
        <f>SUM(K5:K17)</f>
        <v>7.399622711320232</v>
      </c>
      <c r="O16" s="13">
        <f t="shared" ref="O16:P16" si="22">SUM(L5:L17)</f>
        <v>1.9406522785749325</v>
      </c>
      <c r="P16" s="14">
        <f t="shared" si="22"/>
        <v>0.76235067728154549</v>
      </c>
      <c r="Q16">
        <f t="shared" si="7"/>
        <v>15.512835872788743</v>
      </c>
      <c r="R16">
        <f t="shared" si="0"/>
        <v>4.0684534142032129</v>
      </c>
      <c r="S16">
        <f t="shared" si="0"/>
        <v>1.5982194492275585</v>
      </c>
      <c r="T16">
        <f t="shared" si="8"/>
        <v>21.179508736219518</v>
      </c>
    </row>
    <row r="17" spans="1:20" x14ac:dyDescent="0.3">
      <c r="A17">
        <v>13</v>
      </c>
      <c r="B17">
        <v>80</v>
      </c>
      <c r="C17">
        <v>398</v>
      </c>
      <c r="D17">
        <f t="shared" si="9"/>
        <v>3155</v>
      </c>
      <c r="E17" s="52">
        <v>20920</v>
      </c>
      <c r="F17" s="52">
        <v>8412</v>
      </c>
      <c r="G17" s="52">
        <v>2276</v>
      </c>
      <c r="H17" s="3">
        <f t="shared" si="19"/>
        <v>1.7608459852611344</v>
      </c>
      <c r="I17" s="3">
        <f t="shared" si="20"/>
        <v>0.7080418942646588</v>
      </c>
      <c r="J17" s="3">
        <f t="shared" si="21"/>
        <v>0.19157196283242553</v>
      </c>
      <c r="K17" s="13">
        <f t="shared" si="4"/>
        <v>0.70081670213393144</v>
      </c>
      <c r="L17" s="13">
        <f t="shared" si="5"/>
        <v>0.28180067391733421</v>
      </c>
      <c r="M17" s="13">
        <f t="shared" si="6"/>
        <v>7.6245641207305356E-2</v>
      </c>
      <c r="N17" s="12">
        <f>SUM(K5:K17)</f>
        <v>7.399622711320232</v>
      </c>
      <c r="O17" s="13">
        <f t="shared" ref="O17:P17" si="23">SUM(L5:L17)</f>
        <v>1.9406522785749325</v>
      </c>
      <c r="P17" s="14">
        <f t="shared" si="23"/>
        <v>0.76235067728154549</v>
      </c>
      <c r="Q17">
        <f t="shared" si="7"/>
        <v>15.512835872788743</v>
      </c>
      <c r="R17">
        <f t="shared" si="0"/>
        <v>4.0684534142032129</v>
      </c>
      <c r="S17">
        <f t="shared" si="0"/>
        <v>1.5982194492275585</v>
      </c>
      <c r="T17">
        <f t="shared" si="8"/>
        <v>21.179508736219518</v>
      </c>
    </row>
    <row r="18" spans="1:20" x14ac:dyDescent="0.3">
      <c r="A18">
        <v>14</v>
      </c>
      <c r="B18">
        <v>90</v>
      </c>
      <c r="C18">
        <v>410</v>
      </c>
      <c r="D18">
        <f t="shared" si="9"/>
        <v>3565</v>
      </c>
      <c r="E18" s="52">
        <v>21758</v>
      </c>
      <c r="F18" s="52">
        <v>9075</v>
      </c>
      <c r="G18" s="52">
        <v>3714</v>
      </c>
      <c r="H18" s="3">
        <f t="shared" si="19"/>
        <v>1.8313808292214036</v>
      </c>
      <c r="I18" s="3">
        <f t="shared" si="20"/>
        <v>0.76384690804229427</v>
      </c>
      <c r="J18" s="3">
        <f t="shared" si="21"/>
        <v>0.3126090817045819</v>
      </c>
      <c r="K18" s="13">
        <f t="shared" si="4"/>
        <v>0.75086613998077545</v>
      </c>
      <c r="L18" s="13">
        <f t="shared" si="5"/>
        <v>0.31317723229734062</v>
      </c>
      <c r="M18" s="13">
        <f t="shared" si="6"/>
        <v>0.12816972349887856</v>
      </c>
      <c r="N18" s="12">
        <f>SUM(K5:K18)</f>
        <v>8.1504888513010076</v>
      </c>
      <c r="O18" s="13">
        <f t="shared" ref="O18:P18" si="24">SUM(L5:L18)</f>
        <v>2.253829510872273</v>
      </c>
      <c r="P18" s="14">
        <f t="shared" si="24"/>
        <v>0.89052040078042405</v>
      </c>
      <c r="Q18">
        <f t="shared" si="7"/>
        <v>17.086978723901481</v>
      </c>
      <c r="R18">
        <f t="shared" si="0"/>
        <v>4.7250094567552887</v>
      </c>
      <c r="S18">
        <f t="shared" si="0"/>
        <v>1.8669190792042434</v>
      </c>
      <c r="T18">
        <f t="shared" si="8"/>
        <v>23.67890725986102</v>
      </c>
    </row>
    <row r="19" spans="1:20" x14ac:dyDescent="0.3">
      <c r="A19">
        <v>15</v>
      </c>
      <c r="B19">
        <v>100</v>
      </c>
      <c r="C19">
        <v>410</v>
      </c>
      <c r="D19">
        <f t="shared" si="9"/>
        <v>3975</v>
      </c>
      <c r="E19" s="52">
        <v>25076</v>
      </c>
      <c r="F19" s="52">
        <v>1443</v>
      </c>
      <c r="G19" s="52">
        <v>3113</v>
      </c>
      <c r="H19" s="3">
        <f t="shared" si="19"/>
        <v>2.1106584094841399</v>
      </c>
      <c r="I19" s="3">
        <f t="shared" si="20"/>
        <v>0.12145797116308876</v>
      </c>
      <c r="J19" s="3">
        <f t="shared" si="21"/>
        <v>0.26202263633450817</v>
      </c>
      <c r="K19" s="13">
        <f t="shared" si="4"/>
        <v>0.8653699478884973</v>
      </c>
      <c r="L19" s="13">
        <f t="shared" si="5"/>
        <v>4.9797768176866389E-2</v>
      </c>
      <c r="M19" s="13">
        <f t="shared" si="6"/>
        <v>0.10742928089714834</v>
      </c>
      <c r="N19" s="15">
        <f>SUM(K4:K19)</f>
        <v>9.0158587991895054</v>
      </c>
      <c r="O19" s="16">
        <f t="shared" ref="O19:P19" si="25">SUM(L4:L19)</f>
        <v>2.3036272790491394</v>
      </c>
      <c r="P19" s="17">
        <f t="shared" si="25"/>
        <v>0.99794968167757236</v>
      </c>
      <c r="Q19">
        <f t="shared" si="7"/>
        <v>18.901171486770451</v>
      </c>
      <c r="R19">
        <f t="shared" si="0"/>
        <v>4.8294072936040662</v>
      </c>
      <c r="S19">
        <f t="shared" si="0"/>
        <v>2.0921376974372583</v>
      </c>
      <c r="T19">
        <f t="shared" si="8"/>
        <v>25.822716477811777</v>
      </c>
    </row>
    <row r="22" spans="1:20" x14ac:dyDescent="0.3">
      <c r="A22" s="21" t="s">
        <v>12</v>
      </c>
      <c r="B22" t="s">
        <v>8</v>
      </c>
      <c r="C22" t="s">
        <v>9</v>
      </c>
      <c r="D22" t="s">
        <v>10</v>
      </c>
      <c r="F22" s="21" t="s">
        <v>21</v>
      </c>
      <c r="G22" s="21"/>
    </row>
    <row r="23" spans="1:20" x14ac:dyDescent="0.3">
      <c r="A23" t="s">
        <v>13</v>
      </c>
      <c r="B23" s="4">
        <v>39.404400000000003</v>
      </c>
      <c r="C23" s="4">
        <v>40.04</v>
      </c>
      <c r="D23" s="5">
        <v>39.799999999999997</v>
      </c>
      <c r="F23" t="s">
        <v>22</v>
      </c>
      <c r="G23" s="1">
        <v>47.7</v>
      </c>
      <c r="J23" t="s">
        <v>7</v>
      </c>
    </row>
    <row r="24" spans="1:20" x14ac:dyDescent="0.3">
      <c r="A24" t="s">
        <v>14</v>
      </c>
      <c r="B24">
        <v>477828</v>
      </c>
      <c r="C24">
        <v>753986</v>
      </c>
      <c r="D24" s="5">
        <v>393308</v>
      </c>
      <c r="G24" t="s">
        <v>8</v>
      </c>
      <c r="H24" t="s">
        <v>9</v>
      </c>
      <c r="I24" t="s">
        <v>10</v>
      </c>
    </row>
    <row r="25" spans="1:20" x14ac:dyDescent="0.3">
      <c r="A25" t="s">
        <v>39</v>
      </c>
      <c r="B25">
        <v>39.404400000000003</v>
      </c>
      <c r="C25">
        <v>40.04</v>
      </c>
      <c r="D25">
        <v>39.799999999999997</v>
      </c>
      <c r="F25" t="s">
        <v>20</v>
      </c>
      <c r="G25">
        <v>53</v>
      </c>
      <c r="H25">
        <v>32</v>
      </c>
      <c r="I25">
        <v>15</v>
      </c>
      <c r="J25" s="3">
        <f>SUM(G25:I25)</f>
        <v>100</v>
      </c>
    </row>
    <row r="26" spans="1:20" x14ac:dyDescent="0.3">
      <c r="A26" t="s">
        <v>40</v>
      </c>
      <c r="B26">
        <v>468150</v>
      </c>
      <c r="C26">
        <v>723739</v>
      </c>
      <c r="D26">
        <v>363497</v>
      </c>
      <c r="F26" t="s">
        <v>24</v>
      </c>
      <c r="G26" s="3">
        <f>G23*G25/100</f>
        <v>25.281000000000002</v>
      </c>
      <c r="H26" s="3">
        <f>G23*H25/100</f>
        <v>15.264000000000001</v>
      </c>
      <c r="I26" s="3">
        <f>G23*I25/100</f>
        <v>7.1550000000000002</v>
      </c>
      <c r="J26" s="3">
        <f>SUM(G26:I26)</f>
        <v>47.7</v>
      </c>
    </row>
    <row r="27" spans="1:20" x14ac:dyDescent="0.3">
      <c r="A27" t="s">
        <v>15</v>
      </c>
      <c r="B27">
        <v>1.109</v>
      </c>
      <c r="C27">
        <v>4.9669999999999996</v>
      </c>
      <c r="D27">
        <v>3.161</v>
      </c>
      <c r="F27" t="s">
        <v>49</v>
      </c>
    </row>
    <row r="28" spans="1:20" x14ac:dyDescent="0.3">
      <c r="A28" t="s">
        <v>16</v>
      </c>
      <c r="B28">
        <v>315</v>
      </c>
      <c r="C28">
        <v>296</v>
      </c>
      <c r="D28">
        <v>235</v>
      </c>
      <c r="F28" t="s">
        <v>23</v>
      </c>
      <c r="G28" s="3">
        <f>N14</f>
        <v>5.9104760191190149</v>
      </c>
      <c r="H28" s="3">
        <f>O14</f>
        <v>1.223524520030876</v>
      </c>
      <c r="I28" s="3">
        <f>P14</f>
        <v>0.49716424176472385</v>
      </c>
      <c r="J28" s="3">
        <f>SUM(G28:I28)</f>
        <v>7.6311647809146148</v>
      </c>
    </row>
    <row r="29" spans="1:20" x14ac:dyDescent="0.3">
      <c r="F29" t="s">
        <v>25</v>
      </c>
      <c r="G29" s="3">
        <f>G26-G28</f>
        <v>19.370523980880989</v>
      </c>
      <c r="H29" s="3">
        <f>H26-H28</f>
        <v>14.040475479969125</v>
      </c>
      <c r="I29" s="3">
        <f>I26-I28</f>
        <v>6.6578357582352767</v>
      </c>
      <c r="J29" s="57">
        <f>SUM(G29:I29)</f>
        <v>40.068835219085393</v>
      </c>
    </row>
    <row r="30" spans="1:20" ht="15" thickBot="1" x14ac:dyDescent="0.35">
      <c r="F30" t="s">
        <v>26</v>
      </c>
      <c r="G30" s="22">
        <f>G28*100/G26</f>
        <v>23.37912273691315</v>
      </c>
      <c r="H30" s="22">
        <f>H28*100/H26</f>
        <v>8.0157528828018592</v>
      </c>
      <c r="I30" s="22">
        <f>I28*100/I26</f>
        <v>6.9484869568794387</v>
      </c>
      <c r="J30" s="22">
        <f>J28*100/J26</f>
        <v>15.998249016592482</v>
      </c>
    </row>
    <row r="31" spans="1:20" ht="15" thickBot="1" x14ac:dyDescent="0.35">
      <c r="A31" s="58" t="s">
        <v>29</v>
      </c>
      <c r="B31" s="67" t="s">
        <v>48</v>
      </c>
      <c r="C31" s="67" t="s">
        <v>45</v>
      </c>
      <c r="D31" s="68" t="s">
        <v>46</v>
      </c>
      <c r="F31" t="s">
        <v>27</v>
      </c>
      <c r="G31" s="22">
        <f>G29*100/G26</f>
        <v>76.620877263086854</v>
      </c>
      <c r="H31" s="22">
        <f>H29*100/H26</f>
        <v>91.984247117198137</v>
      </c>
      <c r="I31" s="22">
        <f>I29*100/I26</f>
        <v>93.051513043120565</v>
      </c>
      <c r="J31" s="22">
        <f>J29*100/J26</f>
        <v>84.001750983407533</v>
      </c>
    </row>
    <row r="32" spans="1:20" x14ac:dyDescent="0.3">
      <c r="A32" s="62" t="s">
        <v>8</v>
      </c>
      <c r="B32" s="58">
        <f>SLOPE(N4:N7,D4:D7)</f>
        <v>4.5427035952618983E-3</v>
      </c>
      <c r="C32" s="69">
        <f>SLOPE(N6:N14,D6:D14)</f>
        <v>2.4604627629120986E-3</v>
      </c>
      <c r="D32" s="68">
        <f>SLOPE(N14:N19,D14:D19)</f>
        <v>1.5158355330556854E-3</v>
      </c>
      <c r="F32" t="s">
        <v>28</v>
      </c>
      <c r="J32" s="56">
        <v>41.3</v>
      </c>
    </row>
    <row r="33" spans="1:10" x14ac:dyDescent="0.3">
      <c r="A33" s="62" t="s">
        <v>9</v>
      </c>
      <c r="B33" s="62">
        <f>SLOPE(O4:O14,D4:D14)</f>
        <v>6.2933942021222138E-4</v>
      </c>
      <c r="C33" s="30"/>
      <c r="D33" s="70">
        <f>SLOPE(O14:O19,B14:B19)</f>
        <v>2.2416326445523872E-2</v>
      </c>
      <c r="F33" t="s">
        <v>50</v>
      </c>
    </row>
    <row r="34" spans="1:10" ht="15" thickBot="1" x14ac:dyDescent="0.35">
      <c r="A34" s="64" t="s">
        <v>10</v>
      </c>
      <c r="B34" s="64">
        <f>SLOPE(P4:P14,D4:D14)</f>
        <v>2.4552215416612802E-4</v>
      </c>
      <c r="C34" s="65"/>
      <c r="D34" s="71">
        <f>SLOPE(P14:P19,D14:D19)</f>
        <v>2.519277088773354E-4</v>
      </c>
      <c r="F34" t="s">
        <v>23</v>
      </c>
      <c r="G34" s="9">
        <f>N19</f>
        <v>9.0158587991895054</v>
      </c>
      <c r="H34" s="9">
        <f>O19</f>
        <v>2.3036272790491394</v>
      </c>
      <c r="I34" s="9">
        <f>P19</f>
        <v>0.99794968167757236</v>
      </c>
      <c r="J34" s="9">
        <f>SUM(G34:I34)</f>
        <v>12.317435759916219</v>
      </c>
    </row>
    <row r="35" spans="1:10" x14ac:dyDescent="0.3">
      <c r="A35" s="80"/>
      <c r="B35" s="80"/>
      <c r="C35" s="80" t="s">
        <v>20</v>
      </c>
      <c r="D35" s="80"/>
      <c r="F35" t="s">
        <v>25</v>
      </c>
      <c r="G35" s="24">
        <f>G26-G34</f>
        <v>16.265141200810497</v>
      </c>
      <c r="H35" s="24">
        <f>H26-H34</f>
        <v>12.960372720950861</v>
      </c>
      <c r="I35" s="24">
        <f t="shared" ref="I35" si="26">I26-I34</f>
        <v>6.1570503183224279</v>
      </c>
      <c r="J35" s="55">
        <f>SUM(G35:I35)</f>
        <v>35.382564240083788</v>
      </c>
    </row>
    <row r="36" spans="1:10" x14ac:dyDescent="0.3">
      <c r="A36" s="80" t="s">
        <v>8</v>
      </c>
      <c r="B36" s="80">
        <f>SLOPE(Q4:Q7,D4:D7)</f>
        <v>9.5234876210941247E-3</v>
      </c>
      <c r="C36" s="80">
        <f>SLOPE(R7:R14,D7:D14)</f>
        <v>1.3534381101379255E-3</v>
      </c>
      <c r="D36" s="80">
        <f>SLOPE(N14:N19,D14:D19)</f>
        <v>1.5158355330556854E-3</v>
      </c>
      <c r="F36" t="s">
        <v>26</v>
      </c>
      <c r="G36" s="3">
        <f>G34*100/G26</f>
        <v>35.662587710887642</v>
      </c>
      <c r="H36" s="3">
        <f t="shared" ref="H36:I36" si="27">H34*100/H26</f>
        <v>15.091897792512706</v>
      </c>
      <c r="I36" s="3">
        <f t="shared" si="27"/>
        <v>13.947584649581723</v>
      </c>
      <c r="J36" s="38">
        <f>J34*100/J26</f>
        <v>25.822716477811777</v>
      </c>
    </row>
    <row r="37" spans="1:10" x14ac:dyDescent="0.3">
      <c r="A37" s="80" t="s">
        <v>9</v>
      </c>
      <c r="B37" s="80">
        <f>SLOPE(R4:R14,D4:D14)</f>
        <v>1.3193698536943844E-3</v>
      </c>
      <c r="C37" s="80"/>
      <c r="D37" s="80">
        <f>SLOPE(O14:O19,D14:D19)</f>
        <v>5.5803278421123249E-4</v>
      </c>
      <c r="F37" t="s">
        <v>27</v>
      </c>
      <c r="G37" s="3">
        <f>G35*100/G26</f>
        <v>64.337412289112365</v>
      </c>
      <c r="H37" s="3">
        <f t="shared" ref="H37:I37" si="28">H35*100/H26</f>
        <v>84.908102207487289</v>
      </c>
      <c r="I37" s="3">
        <f t="shared" si="28"/>
        <v>86.052415350418272</v>
      </c>
      <c r="J37" s="38">
        <f>J35*100/J26</f>
        <v>74.177283522188233</v>
      </c>
    </row>
    <row r="38" spans="1:10" x14ac:dyDescent="0.3">
      <c r="A38" s="80" t="s">
        <v>10</v>
      </c>
      <c r="B38" s="80">
        <f>SLOPE(R4:R14,D4:D14)</f>
        <v>1.3193698536943844E-3</v>
      </c>
      <c r="C38" s="80"/>
      <c r="D38" s="80">
        <f>SLOPE(P14:P19,D14:D19)</f>
        <v>2.519277088773354E-4</v>
      </c>
      <c r="F38" t="s">
        <v>28</v>
      </c>
      <c r="J38" s="55">
        <v>38.200000000000003</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9"/>
  <sheetViews>
    <sheetView zoomScale="70" zoomScaleNormal="70" workbookViewId="0">
      <selection activeCell="B33" sqref="B33"/>
    </sheetView>
  </sheetViews>
  <sheetFormatPr defaultRowHeight="14.4" x14ac:dyDescent="0.3"/>
  <cols>
    <col min="1" max="1" width="11.33203125" customWidth="1"/>
    <col min="2" max="2" width="8.109375" customWidth="1"/>
    <col min="8" max="8" width="9.5546875" customWidth="1"/>
    <col min="10" max="10" width="9.5546875" bestFit="1" customWidth="1"/>
    <col min="11" max="12" width="9" bestFit="1" customWidth="1"/>
  </cols>
  <sheetData>
    <row r="1" spans="1:20" ht="18" x14ac:dyDescent="0.35">
      <c r="A1" s="2" t="s">
        <v>3</v>
      </c>
      <c r="B1" s="2"/>
    </row>
    <row r="2" spans="1:20" x14ac:dyDescent="0.3">
      <c r="E2" s="18"/>
      <c r="F2" s="19" t="s">
        <v>11</v>
      </c>
      <c r="G2" s="20"/>
      <c r="H2" s="83" t="s">
        <v>13</v>
      </c>
      <c r="I2" s="84"/>
      <c r="J2" s="84"/>
      <c r="K2" s="83" t="s">
        <v>18</v>
      </c>
      <c r="L2" s="84"/>
      <c r="M2" s="85"/>
      <c r="N2" t="s">
        <v>19</v>
      </c>
      <c r="Q2" t="s">
        <v>67</v>
      </c>
    </row>
    <row r="3" spans="1:20" x14ac:dyDescent="0.3">
      <c r="A3" t="s">
        <v>4</v>
      </c>
      <c r="B3" t="s">
        <v>15</v>
      </c>
      <c r="C3" t="s">
        <v>5</v>
      </c>
      <c r="D3" t="s">
        <v>71</v>
      </c>
      <c r="E3" s="6" t="s">
        <v>8</v>
      </c>
      <c r="F3" s="7" t="s">
        <v>9</v>
      </c>
      <c r="G3" s="7" t="s">
        <v>10</v>
      </c>
      <c r="H3" s="7" t="s">
        <v>8</v>
      </c>
      <c r="I3" s="7" t="s">
        <v>9</v>
      </c>
      <c r="J3" s="7" t="s">
        <v>10</v>
      </c>
      <c r="K3" s="18" t="s">
        <v>8</v>
      </c>
      <c r="L3" s="19" t="s">
        <v>9</v>
      </c>
      <c r="M3" s="20" t="s">
        <v>10</v>
      </c>
      <c r="N3" s="6" t="s">
        <v>8</v>
      </c>
      <c r="O3" s="7" t="s">
        <v>9</v>
      </c>
      <c r="P3" s="8" t="s">
        <v>10</v>
      </c>
      <c r="Q3" t="s">
        <v>8</v>
      </c>
      <c r="R3" t="s">
        <v>9</v>
      </c>
      <c r="S3" t="s">
        <v>10</v>
      </c>
    </row>
    <row r="4" spans="1:20" x14ac:dyDescent="0.3">
      <c r="A4">
        <v>0</v>
      </c>
      <c r="B4">
        <v>0</v>
      </c>
      <c r="C4" t="s">
        <v>6</v>
      </c>
      <c r="D4">
        <v>0</v>
      </c>
      <c r="E4" t="s">
        <v>17</v>
      </c>
      <c r="F4" t="s">
        <v>17</v>
      </c>
      <c r="G4" t="s">
        <v>17</v>
      </c>
      <c r="K4" s="18"/>
      <c r="L4" s="19"/>
      <c r="M4" s="20"/>
      <c r="N4">
        <v>0</v>
      </c>
      <c r="O4">
        <v>0</v>
      </c>
      <c r="P4">
        <v>0</v>
      </c>
      <c r="Q4">
        <f>N4*100/$H$22</f>
        <v>0</v>
      </c>
      <c r="R4">
        <f t="shared" ref="R4:S19" si="0">O4*100/$H$22</f>
        <v>0</v>
      </c>
      <c r="S4">
        <f t="shared" si="0"/>
        <v>0</v>
      </c>
      <c r="T4">
        <f>(N4+O4+P4)*100/$H$22</f>
        <v>0</v>
      </c>
    </row>
    <row r="5" spans="1:20" x14ac:dyDescent="0.3">
      <c r="A5">
        <v>1</v>
      </c>
      <c r="B5">
        <v>5</v>
      </c>
      <c r="C5">
        <v>196</v>
      </c>
      <c r="D5">
        <f>D4+C5</f>
        <v>196</v>
      </c>
      <c r="E5">
        <v>67081</v>
      </c>
      <c r="F5">
        <v>5947</v>
      </c>
      <c r="G5">
        <v>945</v>
      </c>
      <c r="H5" s="3">
        <f t="shared" ref="H5:H14" si="1">E5*$B$24/$B$25</f>
        <v>6.0934845198933125</v>
      </c>
      <c r="I5" s="3">
        <f t="shared" ref="I5:I14" si="2">F5*$C$24/$C$25</f>
        <v>0.32339263790349743</v>
      </c>
      <c r="J5" s="3">
        <f t="shared" ref="J5:J14" si="3">G5*$D$24/$D$25</f>
        <v>9.9123174598154631E-2</v>
      </c>
      <c r="K5" s="12">
        <f>H5*Sample5!C5/1000</f>
        <v>1.1943229658990893</v>
      </c>
      <c r="L5" s="13">
        <f>I5*Sample5!C5/1000</f>
        <v>6.3384957029085504E-2</v>
      </c>
      <c r="M5" s="14">
        <f>J5*Sample5!C5/1000</f>
        <v>1.9428142221238308E-2</v>
      </c>
      <c r="N5" s="9">
        <f>K5+K4</f>
        <v>1.1943229658990893</v>
      </c>
      <c r="O5" s="9">
        <f>L5+L4</f>
        <v>6.3384957029085504E-2</v>
      </c>
      <c r="P5" s="9">
        <f>M5+M4</f>
        <v>1.9428142221238308E-2</v>
      </c>
      <c r="Q5">
        <f t="shared" ref="Q5:Q19" si="4">N5*100/$H$22</f>
        <v>3.4819911542247506</v>
      </c>
      <c r="R5">
        <f t="shared" si="0"/>
        <v>0.18479579308771285</v>
      </c>
      <c r="S5">
        <f t="shared" si="0"/>
        <v>5.6641814056088362E-2</v>
      </c>
      <c r="T5">
        <f t="shared" ref="T5:T19" si="5">(N5+O5+P5)*100/$H$22</f>
        <v>3.7234287613685515</v>
      </c>
    </row>
    <row r="6" spans="1:20" x14ac:dyDescent="0.3">
      <c r="A6">
        <v>2</v>
      </c>
      <c r="B6">
        <v>10</v>
      </c>
      <c r="C6">
        <v>197</v>
      </c>
      <c r="D6">
        <f t="shared" ref="D6:D19" si="6">D5+C6</f>
        <v>393</v>
      </c>
      <c r="E6">
        <v>52138</v>
      </c>
      <c r="F6">
        <v>6529</v>
      </c>
      <c r="G6">
        <v>631</v>
      </c>
      <c r="H6" s="3">
        <f t="shared" si="1"/>
        <v>4.7360965981156742</v>
      </c>
      <c r="I6" s="3">
        <f t="shared" si="2"/>
        <v>0.35504128684579361</v>
      </c>
      <c r="J6" s="3">
        <f t="shared" si="3"/>
        <v>6.6187008647021775E-2</v>
      </c>
      <c r="K6" s="12">
        <f>H6*Sample5!C6/1000</f>
        <v>0.93301102982878781</v>
      </c>
      <c r="L6" s="13">
        <f>I6*Sample5!C6/1000</f>
        <v>6.9943133508621344E-2</v>
      </c>
      <c r="M6" s="14">
        <f>J6*Sample5!C6/1000</f>
        <v>1.3038840703463291E-2</v>
      </c>
      <c r="N6" s="9">
        <f>SUM(K5:K6)</f>
        <v>2.1273339957278772</v>
      </c>
      <c r="O6" s="9">
        <f>SUM(L5:L6)</f>
        <v>0.13332809053770683</v>
      </c>
      <c r="P6" s="9">
        <f>SUM(M5:M6)</f>
        <v>3.2466982924701598E-2</v>
      </c>
      <c r="Q6">
        <f t="shared" si="4"/>
        <v>6.2021399292357948</v>
      </c>
      <c r="R6">
        <f t="shared" si="0"/>
        <v>0.38871163422071964</v>
      </c>
      <c r="S6">
        <f t="shared" si="0"/>
        <v>9.4655926894173764E-2</v>
      </c>
      <c r="T6">
        <f t="shared" si="5"/>
        <v>6.6855074903506866</v>
      </c>
    </row>
    <row r="7" spans="1:20" x14ac:dyDescent="0.3">
      <c r="A7">
        <v>3</v>
      </c>
      <c r="B7">
        <v>15</v>
      </c>
      <c r="C7">
        <v>196</v>
      </c>
      <c r="D7">
        <f t="shared" si="6"/>
        <v>589</v>
      </c>
      <c r="E7">
        <v>36789</v>
      </c>
      <c r="F7">
        <v>6337</v>
      </c>
      <c r="G7">
        <v>1191</v>
      </c>
      <c r="H7" s="3">
        <f t="shared" si="1"/>
        <v>3.3418285655007391</v>
      </c>
      <c r="I7" s="3">
        <f t="shared" si="2"/>
        <v>0.34460049544214949</v>
      </c>
      <c r="J7" s="3">
        <f t="shared" si="3"/>
        <v>0.12492666766815043</v>
      </c>
      <c r="K7" s="12">
        <f>H7*Sample5!C7/1000</f>
        <v>0.65499839883814492</v>
      </c>
      <c r="L7" s="13">
        <f>I7*Sample5!C7/1000</f>
        <v>6.7541697106661303E-2</v>
      </c>
      <c r="M7" s="14">
        <f>J7*Sample5!C7/1000</f>
        <v>2.4485626862957487E-2</v>
      </c>
      <c r="N7" s="9">
        <f>SUM(K5:K7)</f>
        <v>2.7823323945660219</v>
      </c>
      <c r="O7" s="9">
        <f t="shared" ref="O7:P7" si="7">SUM(L5:L7)</f>
        <v>0.20086978764436814</v>
      </c>
      <c r="P7" s="9">
        <f t="shared" si="7"/>
        <v>5.6952609787659085E-2</v>
      </c>
      <c r="Q7">
        <f t="shared" si="4"/>
        <v>8.1117562523790721</v>
      </c>
      <c r="R7">
        <f t="shared" si="0"/>
        <v>0.58562620304480517</v>
      </c>
      <c r="S7">
        <f t="shared" si="0"/>
        <v>0.16604259413311689</v>
      </c>
      <c r="T7">
        <f t="shared" si="5"/>
        <v>8.8634250495569962</v>
      </c>
    </row>
    <row r="8" spans="1:20" x14ac:dyDescent="0.3">
      <c r="A8">
        <v>4</v>
      </c>
      <c r="B8">
        <v>20</v>
      </c>
      <c r="C8">
        <v>198</v>
      </c>
      <c r="D8">
        <f t="shared" si="6"/>
        <v>787</v>
      </c>
      <c r="E8">
        <v>28329</v>
      </c>
      <c r="F8">
        <v>5877</v>
      </c>
      <c r="G8">
        <v>1210</v>
      </c>
      <c r="H8" s="3">
        <f t="shared" si="1"/>
        <v>2.5733415268713595</v>
      </c>
      <c r="I8" s="3">
        <f t="shared" si="2"/>
        <v>0.31958609937091881</v>
      </c>
      <c r="J8" s="3">
        <f t="shared" si="3"/>
        <v>0.12691962038493873</v>
      </c>
      <c r="K8" s="12">
        <f>H8*Sample5!C8/1000</f>
        <v>0.50437493926678645</v>
      </c>
      <c r="L8" s="13">
        <f>I8*Sample5!C8/1000</f>
        <v>6.2638875476700093E-2</v>
      </c>
      <c r="M8" s="14">
        <f>J8*Sample5!C8/1000</f>
        <v>2.4876245595447991E-2</v>
      </c>
      <c r="N8" s="9">
        <f>SUM(K4:K8)</f>
        <v>3.2867073338328083</v>
      </c>
      <c r="O8" s="9">
        <f t="shared" ref="O8:P8" si="8">SUM(L4:L8)</f>
        <v>0.26350866312106824</v>
      </c>
      <c r="P8" s="9">
        <f t="shared" si="8"/>
        <v>8.182885538310708E-2</v>
      </c>
      <c r="Q8">
        <f t="shared" si="4"/>
        <v>9.5822371248769933</v>
      </c>
      <c r="R8">
        <f t="shared" si="0"/>
        <v>0.76824683125675874</v>
      </c>
      <c r="S8">
        <f t="shared" si="0"/>
        <v>0.23856809149593905</v>
      </c>
      <c r="T8">
        <f t="shared" si="5"/>
        <v>10.589052047629691</v>
      </c>
    </row>
    <row r="9" spans="1:20" x14ac:dyDescent="0.3">
      <c r="A9">
        <v>5</v>
      </c>
      <c r="B9">
        <v>25</v>
      </c>
      <c r="C9">
        <v>198</v>
      </c>
      <c r="D9">
        <f t="shared" si="6"/>
        <v>985</v>
      </c>
      <c r="E9">
        <v>21030</v>
      </c>
      <c r="F9">
        <v>5672</v>
      </c>
      <c r="G9">
        <v>1024</v>
      </c>
      <c r="H9" s="3">
        <f t="shared" si="1"/>
        <v>1.9103170712028199</v>
      </c>
      <c r="I9" s="3">
        <f t="shared" si="2"/>
        <v>0.30843837938265301</v>
      </c>
      <c r="J9" s="3">
        <f t="shared" si="3"/>
        <v>0.10740966221006384</v>
      </c>
      <c r="K9" s="12">
        <f>H9*Sample5!C9/1000</f>
        <v>0.37442214595575268</v>
      </c>
      <c r="L9" s="13">
        <f>I9*Sample5!C9/1000</f>
        <v>6.045392235899999E-2</v>
      </c>
      <c r="M9" s="14">
        <f>J9*Sample5!C9/1000</f>
        <v>2.1052293793172513E-2</v>
      </c>
      <c r="N9" s="9">
        <f>SUM(K4:K9)</f>
        <v>3.6611294797885612</v>
      </c>
      <c r="O9" s="9">
        <f t="shared" ref="O9:P9" si="9">SUM(L4:L9)</f>
        <v>0.32396258548006823</v>
      </c>
      <c r="P9" s="9">
        <f t="shared" si="9"/>
        <v>0.10288114917627959</v>
      </c>
      <c r="Q9">
        <f t="shared" si="4"/>
        <v>10.673846879850034</v>
      </c>
      <c r="R9">
        <f t="shared" si="0"/>
        <v>0.94449733376113187</v>
      </c>
      <c r="S9">
        <f t="shared" si="0"/>
        <v>0.29994504133026123</v>
      </c>
      <c r="T9">
        <f t="shared" si="5"/>
        <v>11.918289254941426</v>
      </c>
    </row>
    <row r="10" spans="1:20" x14ac:dyDescent="0.3">
      <c r="A10">
        <v>6</v>
      </c>
      <c r="B10">
        <v>30</v>
      </c>
      <c r="C10">
        <v>198</v>
      </c>
      <c r="D10">
        <f t="shared" si="6"/>
        <v>1183</v>
      </c>
      <c r="E10">
        <v>18393</v>
      </c>
      <c r="F10">
        <v>5745</v>
      </c>
      <c r="G10">
        <v>748</v>
      </c>
      <c r="H10" s="3">
        <f t="shared" si="1"/>
        <v>1.6707780261832368</v>
      </c>
      <c r="I10" s="3">
        <f t="shared" si="2"/>
        <v>0.31240805528091353</v>
      </c>
      <c r="J10" s="3">
        <f t="shared" si="3"/>
        <v>7.8459401692507577E-2</v>
      </c>
      <c r="K10" s="12">
        <f>H10*Sample5!C10/1000</f>
        <v>0.33081404918428087</v>
      </c>
      <c r="L10" s="13">
        <f>I10*Sample5!C10/1000</f>
        <v>6.185679494562088E-2</v>
      </c>
      <c r="M10" s="14">
        <f>J10*Sample5!C10/1000</f>
        <v>1.55349615351165E-2</v>
      </c>
      <c r="N10" s="9">
        <f>SUM(K4:K10)</f>
        <v>3.991943528972842</v>
      </c>
      <c r="O10" s="9">
        <f t="shared" ref="O10:P10" si="10">SUM(L4:L10)</f>
        <v>0.38581938042568908</v>
      </c>
      <c r="P10" s="9">
        <f t="shared" si="10"/>
        <v>0.1184161107113961</v>
      </c>
      <c r="Q10">
        <f t="shared" si="4"/>
        <v>11.638319326451436</v>
      </c>
      <c r="R10">
        <f t="shared" si="0"/>
        <v>1.1248378438066737</v>
      </c>
      <c r="S10">
        <f t="shared" si="0"/>
        <v>0.34523647437724814</v>
      </c>
      <c r="T10">
        <f t="shared" si="5"/>
        <v>13.10839364463536</v>
      </c>
    </row>
    <row r="11" spans="1:20" x14ac:dyDescent="0.3">
      <c r="A11">
        <v>7</v>
      </c>
      <c r="B11">
        <v>35</v>
      </c>
      <c r="C11">
        <v>196</v>
      </c>
      <c r="D11">
        <f t="shared" si="6"/>
        <v>1379</v>
      </c>
      <c r="E11">
        <v>18414</v>
      </c>
      <c r="F11">
        <v>6372</v>
      </c>
      <c r="G11">
        <v>1168</v>
      </c>
      <c r="H11" s="3">
        <f t="shared" si="1"/>
        <v>1.6726856181230969</v>
      </c>
      <c r="I11" s="3">
        <f t="shared" si="2"/>
        <v>0.3465037647084388</v>
      </c>
      <c r="J11" s="3">
        <f t="shared" si="3"/>
        <v>0.12251414595835407</v>
      </c>
      <c r="K11" s="12">
        <f>H11*Sample5!C11/1000</f>
        <v>0.32951906677025011</v>
      </c>
      <c r="L11" s="13">
        <f>I11*Sample5!C11/1000</f>
        <v>6.8261241647562448E-2</v>
      </c>
      <c r="M11" s="14">
        <f>J11*Sample5!C11/1000</f>
        <v>2.413528675379575E-2</v>
      </c>
      <c r="N11" s="9">
        <f>SUM(K4:K11)</f>
        <v>4.3214625957430925</v>
      </c>
      <c r="O11" s="9">
        <f t="shared" ref="O11:P11" si="11">SUM(L4:L11)</f>
        <v>0.45408062207325151</v>
      </c>
      <c r="P11" s="9">
        <f t="shared" si="11"/>
        <v>0.14255139746519185</v>
      </c>
      <c r="Q11">
        <f t="shared" si="4"/>
        <v>12.599016314119805</v>
      </c>
      <c r="R11">
        <f t="shared" si="0"/>
        <v>1.3238502101260978</v>
      </c>
      <c r="S11">
        <f t="shared" si="0"/>
        <v>0.41560174188102583</v>
      </c>
      <c r="T11">
        <f t="shared" si="5"/>
        <v>14.338468266126927</v>
      </c>
    </row>
    <row r="12" spans="1:20" x14ac:dyDescent="0.3">
      <c r="A12">
        <v>8</v>
      </c>
      <c r="B12">
        <v>40</v>
      </c>
      <c r="C12">
        <v>198</v>
      </c>
      <c r="D12">
        <f t="shared" si="6"/>
        <v>1577</v>
      </c>
      <c r="E12">
        <v>15992</v>
      </c>
      <c r="F12">
        <v>5941</v>
      </c>
      <c r="G12">
        <v>778</v>
      </c>
      <c r="H12" s="3">
        <f t="shared" si="1"/>
        <v>1.4526766810592247</v>
      </c>
      <c r="I12" s="3">
        <f t="shared" si="2"/>
        <v>0.32306636317213355</v>
      </c>
      <c r="J12" s="3">
        <f t="shared" si="3"/>
        <v>8.1606169140068047E-2</v>
      </c>
      <c r="K12" s="12">
        <f>H12*Sample5!C12/1000</f>
        <v>0.28762998284972652</v>
      </c>
      <c r="L12" s="13">
        <f>I12*Sample5!C12/1000</f>
        <v>6.3967139908082449E-2</v>
      </c>
      <c r="M12" s="14">
        <f>J12*Sample5!C12/1000</f>
        <v>1.6158021489733474E-2</v>
      </c>
      <c r="N12" s="9">
        <f>SUM(K4:K12)</f>
        <v>4.6090925785928194</v>
      </c>
      <c r="O12" s="9">
        <f t="shared" ref="O12:P12" si="12">SUM(L4:L12)</f>
        <v>0.51804776198133395</v>
      </c>
      <c r="P12" s="9">
        <f t="shared" si="12"/>
        <v>0.15870941895492532</v>
      </c>
      <c r="Q12">
        <f t="shared" si="4"/>
        <v>13.437587692690435</v>
      </c>
      <c r="R12">
        <f t="shared" si="0"/>
        <v>1.5103433293916444</v>
      </c>
      <c r="S12">
        <f t="shared" si="0"/>
        <v>0.46270967625342663</v>
      </c>
      <c r="T12">
        <f t="shared" si="5"/>
        <v>15.410640698335506</v>
      </c>
    </row>
    <row r="13" spans="1:20" x14ac:dyDescent="0.3">
      <c r="A13">
        <v>9</v>
      </c>
      <c r="B13">
        <v>45</v>
      </c>
      <c r="C13">
        <v>200</v>
      </c>
      <c r="D13">
        <f t="shared" si="6"/>
        <v>1777</v>
      </c>
      <c r="E13">
        <v>14655</v>
      </c>
      <c r="F13">
        <v>5989</v>
      </c>
      <c r="G13">
        <v>1353</v>
      </c>
      <c r="H13" s="3">
        <f t="shared" si="1"/>
        <v>1.3312266608881278</v>
      </c>
      <c r="I13" s="3">
        <f t="shared" si="2"/>
        <v>0.3256765610230446</v>
      </c>
      <c r="J13" s="3">
        <f t="shared" si="3"/>
        <v>0.14191921188497694</v>
      </c>
      <c r="K13" s="12">
        <f>H13*Sample5!C13/1000</f>
        <v>0.2635828788558493</v>
      </c>
      <c r="L13" s="13">
        <f>I13*Sample5!C13/1000</f>
        <v>6.4483959082562839E-2</v>
      </c>
      <c r="M13" s="14">
        <f>J13*Sample5!C13/1000</f>
        <v>2.8100003953225434E-2</v>
      </c>
      <c r="N13" s="9">
        <f>SUM(K4:K13)</f>
        <v>4.8726754574486684</v>
      </c>
      <c r="O13" s="9">
        <f t="shared" ref="O13:P13" si="13">SUM(L4:L13)</f>
        <v>0.58253172106389683</v>
      </c>
      <c r="P13" s="9">
        <f t="shared" si="13"/>
        <v>0.18680942290815075</v>
      </c>
      <c r="Q13">
        <f t="shared" si="4"/>
        <v>14.206050896351803</v>
      </c>
      <c r="R13">
        <f t="shared" si="0"/>
        <v>1.6983432100988247</v>
      </c>
      <c r="S13">
        <f t="shared" si="0"/>
        <v>0.54463388602959406</v>
      </c>
      <c r="T13">
        <f t="shared" si="5"/>
        <v>16.449027992480222</v>
      </c>
    </row>
    <row r="14" spans="1:20" x14ac:dyDescent="0.3">
      <c r="A14">
        <v>10</v>
      </c>
      <c r="B14">
        <v>50</v>
      </c>
      <c r="C14">
        <v>201</v>
      </c>
      <c r="D14">
        <f t="shared" si="6"/>
        <v>1978</v>
      </c>
      <c r="E14">
        <v>13787</v>
      </c>
      <c r="F14">
        <v>6996</v>
      </c>
      <c r="G14">
        <v>1131</v>
      </c>
      <c r="H14" s="3">
        <f t="shared" si="1"/>
        <v>1.2523795273739076</v>
      </c>
      <c r="I14" s="3">
        <f t="shared" si="2"/>
        <v>0.3804363367702821</v>
      </c>
      <c r="J14" s="3">
        <f t="shared" si="3"/>
        <v>0.1186331327730295</v>
      </c>
      <c r="K14" s="12">
        <f>H14*Sample5!C14/1000</f>
        <v>0.25047590547478149</v>
      </c>
      <c r="L14" s="13">
        <f>I14*Sample5!C14/1000</f>
        <v>7.6087267354056423E-2</v>
      </c>
      <c r="M14" s="14">
        <f>J14*Sample5!C14/1000</f>
        <v>2.37266265546059E-2</v>
      </c>
      <c r="N14" s="9">
        <f>SUM(K4:K14)</f>
        <v>5.1231513629234495</v>
      </c>
      <c r="O14" s="9">
        <f t="shared" ref="O14:P14" si="14">SUM(L4:L14)</f>
        <v>0.6586189884179533</v>
      </c>
      <c r="P14" s="9">
        <f t="shared" si="14"/>
        <v>0.21053604946275664</v>
      </c>
      <c r="Q14">
        <f t="shared" si="4"/>
        <v>14.93630134963105</v>
      </c>
      <c r="R14">
        <f t="shared" si="0"/>
        <v>1.9201719778949076</v>
      </c>
      <c r="S14">
        <f t="shared" si="0"/>
        <v>0.61380772438121478</v>
      </c>
      <c r="T14">
        <f t="shared" si="5"/>
        <v>17.470281051907172</v>
      </c>
    </row>
    <row r="15" spans="1:20" x14ac:dyDescent="0.3">
      <c r="A15">
        <v>11</v>
      </c>
      <c r="B15">
        <v>60</v>
      </c>
      <c r="C15">
        <v>400</v>
      </c>
      <c r="D15">
        <f t="shared" si="6"/>
        <v>2378</v>
      </c>
      <c r="E15">
        <v>16110</v>
      </c>
      <c r="F15">
        <v>9042</v>
      </c>
      <c r="G15">
        <v>3197</v>
      </c>
      <c r="H15" s="3">
        <f>E15*$B$26/$B$27</f>
        <v>1.355986081384172</v>
      </c>
      <c r="I15" s="3">
        <f>F15*$C$26/$C$27</f>
        <v>0.50023790344309205</v>
      </c>
      <c r="J15" s="3">
        <f>G15*$D$26/$D$27</f>
        <v>0.35004580505478722</v>
      </c>
      <c r="K15" s="12">
        <f>H15*Sample5!C15/1000</f>
        <v>0.52205464133290613</v>
      </c>
      <c r="L15" s="13">
        <f>I15*Sample5!C15/1000</f>
        <v>0.19259159282559044</v>
      </c>
      <c r="M15" s="14">
        <f>J15*Sample5!C15/1000</f>
        <v>0.13476763494609306</v>
      </c>
      <c r="N15" s="9">
        <f>SUM(K4:K15)</f>
        <v>5.6452060042563552</v>
      </c>
      <c r="O15" s="9">
        <f t="shared" ref="O15:P15" si="15">SUM(L4:L15)</f>
        <v>0.85121058124354376</v>
      </c>
      <c r="P15" s="9">
        <f t="shared" si="15"/>
        <v>0.34530368440884973</v>
      </c>
      <c r="Q15">
        <f t="shared" si="4"/>
        <v>16.458326543021446</v>
      </c>
      <c r="R15">
        <f t="shared" si="0"/>
        <v>2.4816635021677662</v>
      </c>
      <c r="S15">
        <f t="shared" si="0"/>
        <v>1.0067162810753636</v>
      </c>
      <c r="T15">
        <f t="shared" si="5"/>
        <v>19.946706326264575</v>
      </c>
    </row>
    <row r="16" spans="1:20" x14ac:dyDescent="0.3">
      <c r="A16">
        <v>12</v>
      </c>
      <c r="B16">
        <v>70</v>
      </c>
      <c r="C16">
        <v>400</v>
      </c>
      <c r="D16">
        <f t="shared" si="6"/>
        <v>2778</v>
      </c>
      <c r="E16">
        <v>13776</v>
      </c>
      <c r="F16">
        <v>6227</v>
      </c>
      <c r="G16">
        <v>2923</v>
      </c>
      <c r="H16" s="3">
        <f>E16*$B$26/$B$27</f>
        <v>1.1595322319769303</v>
      </c>
      <c r="I16" s="3">
        <f t="shared" ref="I16:I19" si="16">F16*$C$26/$C$27</f>
        <v>0.34450137411414888</v>
      </c>
      <c r="J16" s="3">
        <f t="shared" ref="J16:J19" si="17">G16*$D$26/$D$27</f>
        <v>0.32004500724902818</v>
      </c>
      <c r="K16" s="12">
        <f>H16*Sample5!C16/1000</f>
        <v>0.46381289279077215</v>
      </c>
      <c r="L16" s="13">
        <f>I16*Sample5!C16/1000</f>
        <v>0.13780054964565955</v>
      </c>
      <c r="M16" s="14">
        <f>J16*Sample5!C16/1000</f>
        <v>0.12801800289961127</v>
      </c>
      <c r="N16" s="9">
        <f>SUM(K4:K16)</f>
        <v>6.1090188970471271</v>
      </c>
      <c r="O16" s="9">
        <f t="shared" ref="O16:P16" si="18">SUM(L4:L16)</f>
        <v>0.98901113088920334</v>
      </c>
      <c r="P16" s="9">
        <f t="shared" si="18"/>
        <v>0.47332168730846103</v>
      </c>
      <c r="Q16">
        <f t="shared" si="4"/>
        <v>17.810550720254017</v>
      </c>
      <c r="R16">
        <f t="shared" si="0"/>
        <v>2.8834143757702724</v>
      </c>
      <c r="S16">
        <f t="shared" si="0"/>
        <v>1.3799466102287494</v>
      </c>
      <c r="T16">
        <f t="shared" si="5"/>
        <v>22.073911706253039</v>
      </c>
    </row>
    <row r="17" spans="1:20" x14ac:dyDescent="0.3">
      <c r="A17">
        <v>13</v>
      </c>
      <c r="B17">
        <v>80</v>
      </c>
      <c r="C17">
        <v>410</v>
      </c>
      <c r="D17">
        <f t="shared" si="6"/>
        <v>3188</v>
      </c>
      <c r="E17">
        <v>14831</v>
      </c>
      <c r="F17">
        <v>6672</v>
      </c>
      <c r="G17">
        <v>3158</v>
      </c>
      <c r="H17" s="3">
        <f t="shared" ref="H17:H19" si="19">E17*$B$26/$B$27</f>
        <v>1.2483320653636656</v>
      </c>
      <c r="I17" s="3">
        <f t="shared" si="16"/>
        <v>0.36912047022476335</v>
      </c>
      <c r="J17" s="3">
        <f t="shared" si="17"/>
        <v>0.3457756185057923</v>
      </c>
      <c r="K17" s="12">
        <f>H17*Sample5!C17/1000</f>
        <v>0.49683616201473896</v>
      </c>
      <c r="L17" s="13">
        <f>I17*Sample5!C17/1000</f>
        <v>0.14690994714945579</v>
      </c>
      <c r="M17" s="14">
        <f>J17*Sample5!C17/1000</f>
        <v>0.13761869616530531</v>
      </c>
      <c r="N17" s="9">
        <f>SUM(K4:K17)</f>
        <v>6.6058550590618657</v>
      </c>
      <c r="O17" s="9">
        <f t="shared" ref="O17:P17" si="20">SUM(L4:L17)</f>
        <v>1.135921078038659</v>
      </c>
      <c r="P17" s="9">
        <f t="shared" si="20"/>
        <v>0.61094038347376634</v>
      </c>
      <c r="Q17">
        <f t="shared" si="4"/>
        <v>19.25905265032614</v>
      </c>
      <c r="R17">
        <f t="shared" si="0"/>
        <v>3.3117232595879273</v>
      </c>
      <c r="S17">
        <f t="shared" si="0"/>
        <v>1.7811672987573364</v>
      </c>
      <c r="T17">
        <f t="shared" si="5"/>
        <v>24.351943208671404</v>
      </c>
    </row>
    <row r="18" spans="1:20" x14ac:dyDescent="0.3">
      <c r="A18">
        <v>14</v>
      </c>
      <c r="B18">
        <v>90</v>
      </c>
      <c r="C18">
        <v>405</v>
      </c>
      <c r="D18">
        <f t="shared" si="6"/>
        <v>3593</v>
      </c>
      <c r="E18">
        <v>10232</v>
      </c>
      <c r="F18">
        <v>5773</v>
      </c>
      <c r="G18">
        <v>4431</v>
      </c>
      <c r="H18" s="3">
        <f t="shared" si="19"/>
        <v>0.86123212816405004</v>
      </c>
      <c r="I18" s="3">
        <f t="shared" si="16"/>
        <v>0.31938436370017365</v>
      </c>
      <c r="J18" s="3">
        <f t="shared" si="17"/>
        <v>0.4851588871434977</v>
      </c>
      <c r="K18" s="12">
        <f>H18*Sample5!C18/1000</f>
        <v>0.35310517254726048</v>
      </c>
      <c r="L18" s="13">
        <f>I18*Sample5!C18/1000</f>
        <v>0.13094758911707122</v>
      </c>
      <c r="M18" s="14">
        <f>J18*Sample5!C18/1000</f>
        <v>0.19891514372883407</v>
      </c>
      <c r="N18" s="9">
        <f>SUM(K4:K18)</f>
        <v>6.9589602316091259</v>
      </c>
      <c r="O18" s="9">
        <f t="shared" ref="O18:P18" si="21">SUM(L4:L18)</f>
        <v>1.2668686671557303</v>
      </c>
      <c r="P18" s="9">
        <f t="shared" si="21"/>
        <v>0.80985552720260046</v>
      </c>
      <c r="Q18">
        <f t="shared" si="4"/>
        <v>20.288513794778794</v>
      </c>
      <c r="R18">
        <f t="shared" si="0"/>
        <v>3.6934946564307007</v>
      </c>
      <c r="S18">
        <f t="shared" si="0"/>
        <v>2.3610948314944622</v>
      </c>
      <c r="T18">
        <f t="shared" si="5"/>
        <v>26.343103282703957</v>
      </c>
    </row>
    <row r="19" spans="1:20" x14ac:dyDescent="0.3">
      <c r="A19">
        <v>15</v>
      </c>
      <c r="B19">
        <v>100</v>
      </c>
      <c r="C19">
        <v>395</v>
      </c>
      <c r="D19">
        <f t="shared" si="6"/>
        <v>3988</v>
      </c>
      <c r="E19">
        <v>15695</v>
      </c>
      <c r="F19">
        <v>9553</v>
      </c>
      <c r="G19">
        <v>1631</v>
      </c>
      <c r="H19" s="3">
        <f t="shared" si="19"/>
        <v>1.3210553412367831</v>
      </c>
      <c r="I19" s="3">
        <f t="shared" si="16"/>
        <v>0.52850837111168525</v>
      </c>
      <c r="J19" s="3">
        <f t="shared" si="17"/>
        <v>0.1785813913182227</v>
      </c>
      <c r="K19" s="15">
        <f>H19*Sample5!C19/1000</f>
        <v>0.54163268990708102</v>
      </c>
      <c r="L19" s="16">
        <f>I19*Sample5!C19/1000</f>
        <v>0.21668843215579095</v>
      </c>
      <c r="M19" s="17">
        <f>J19*Sample5!C19/1000</f>
        <v>7.3218370440471303E-2</v>
      </c>
      <c r="N19" s="9">
        <f>SUM(K4:K19)</f>
        <v>7.5005929215162066</v>
      </c>
      <c r="O19" s="9">
        <f t="shared" ref="O19:P19" si="22">SUM(L4:L19)</f>
        <v>1.4835570993115212</v>
      </c>
      <c r="P19" s="9">
        <f t="shared" si="22"/>
        <v>0.88307389764307176</v>
      </c>
      <c r="Q19">
        <f t="shared" si="4"/>
        <v>21.867617846986025</v>
      </c>
      <c r="R19">
        <f t="shared" si="0"/>
        <v>4.3252393565933565</v>
      </c>
      <c r="S19">
        <f t="shared" si="0"/>
        <v>2.574559468347148</v>
      </c>
      <c r="T19">
        <f t="shared" si="5"/>
        <v>28.767416671926537</v>
      </c>
    </row>
    <row r="21" spans="1:20" x14ac:dyDescent="0.3">
      <c r="A21" t="s">
        <v>7</v>
      </c>
      <c r="C21">
        <f>SUM(C5:C19)</f>
        <v>3988</v>
      </c>
      <c r="G21" s="21" t="s">
        <v>21</v>
      </c>
      <c r="H21" s="21"/>
    </row>
    <row r="22" spans="1:20" x14ac:dyDescent="0.3">
      <c r="G22" t="s">
        <v>22</v>
      </c>
      <c r="H22" s="1">
        <v>34.299999999999997</v>
      </c>
      <c r="K22" t="s">
        <v>7</v>
      </c>
    </row>
    <row r="23" spans="1:20" x14ac:dyDescent="0.3">
      <c r="A23" s="21" t="s">
        <v>12</v>
      </c>
      <c r="B23" t="s">
        <v>8</v>
      </c>
      <c r="C23" t="s">
        <v>9</v>
      </c>
      <c r="D23" t="s">
        <v>10</v>
      </c>
      <c r="H23" t="s">
        <v>8</v>
      </c>
      <c r="I23" t="s">
        <v>9</v>
      </c>
      <c r="J23" t="s">
        <v>10</v>
      </c>
    </row>
    <row r="24" spans="1:20" x14ac:dyDescent="0.3">
      <c r="A24" t="s">
        <v>13</v>
      </c>
      <c r="B24" s="4">
        <v>39.404400000000003</v>
      </c>
      <c r="C24" s="4">
        <v>40.04</v>
      </c>
      <c r="D24" s="5">
        <v>39.799999999999997</v>
      </c>
      <c r="G24" t="s">
        <v>20</v>
      </c>
      <c r="H24">
        <v>53</v>
      </c>
      <c r="I24">
        <v>32</v>
      </c>
      <c r="J24">
        <v>15</v>
      </c>
      <c r="K24" s="3">
        <f>SUM(H24:J24)</f>
        <v>100</v>
      </c>
    </row>
    <row r="25" spans="1:20" x14ac:dyDescent="0.3">
      <c r="A25" t="s">
        <v>14</v>
      </c>
      <c r="B25" s="5">
        <v>433789</v>
      </c>
      <c r="C25" s="5">
        <v>736312</v>
      </c>
      <c r="D25" s="5">
        <v>379437</v>
      </c>
      <c r="G25" t="s">
        <v>24</v>
      </c>
      <c r="H25" s="3">
        <f>H22*H24/100</f>
        <v>18.178999999999998</v>
      </c>
      <c r="I25" s="3">
        <f>H22*I24/100</f>
        <v>10.975999999999999</v>
      </c>
      <c r="J25" s="3">
        <f>H22*J24/100</f>
        <v>5.1449999999999996</v>
      </c>
      <c r="K25" s="3">
        <f>SUM(H25:J25)</f>
        <v>34.299999999999997</v>
      </c>
    </row>
    <row r="26" spans="1:20" x14ac:dyDescent="0.3">
      <c r="A26" t="s">
        <v>39</v>
      </c>
      <c r="B26" s="4">
        <v>39.404400000000003</v>
      </c>
      <c r="C26">
        <v>40.04</v>
      </c>
      <c r="D26" s="5">
        <v>39.799999999999997</v>
      </c>
      <c r="G26" t="s">
        <v>49</v>
      </c>
    </row>
    <row r="27" spans="1:20" x14ac:dyDescent="0.3">
      <c r="A27" t="s">
        <v>40</v>
      </c>
      <c r="B27" s="52">
        <v>468150</v>
      </c>
      <c r="C27">
        <v>723739</v>
      </c>
      <c r="D27" s="52">
        <v>363497</v>
      </c>
      <c r="G27" t="s">
        <v>23</v>
      </c>
      <c r="H27" s="3">
        <f>N14</f>
        <v>5.1231513629234495</v>
      </c>
      <c r="I27" s="3">
        <f>O14</f>
        <v>0.6586189884179533</v>
      </c>
      <c r="J27" s="3">
        <f>P14</f>
        <v>0.21053604946275664</v>
      </c>
      <c r="K27" s="3">
        <f>SUM(H27:J27)</f>
        <v>5.9923064008041598</v>
      </c>
    </row>
    <row r="28" spans="1:20" x14ac:dyDescent="0.3">
      <c r="A28" t="s">
        <v>15</v>
      </c>
      <c r="B28">
        <v>1.109</v>
      </c>
      <c r="C28">
        <v>4.9669999999999996</v>
      </c>
      <c r="D28">
        <v>3.161</v>
      </c>
      <c r="G28" t="s">
        <v>25</v>
      </c>
      <c r="H28" s="3">
        <f>H25-H27</f>
        <v>13.055848637076549</v>
      </c>
      <c r="I28" s="3">
        <f>I25-I27</f>
        <v>10.317381011582047</v>
      </c>
      <c r="J28" s="3">
        <f>J25-J27</f>
        <v>4.9344639505372427</v>
      </c>
      <c r="K28" s="57">
        <f>SUM(H28:J28)</f>
        <v>28.307693599195836</v>
      </c>
    </row>
    <row r="29" spans="1:20" x14ac:dyDescent="0.3">
      <c r="A29" t="s">
        <v>16</v>
      </c>
      <c r="B29">
        <v>315</v>
      </c>
      <c r="C29">
        <v>296</v>
      </c>
      <c r="D29">
        <v>235</v>
      </c>
      <c r="G29" t="s">
        <v>26</v>
      </c>
      <c r="H29" s="22">
        <f>H27*100/H25</f>
        <v>28.181700659681226</v>
      </c>
      <c r="I29" s="22">
        <f>I27*100/I25</f>
        <v>6.000537430921586</v>
      </c>
      <c r="J29" s="22">
        <f>J27*100/J25</f>
        <v>4.0920514958747649</v>
      </c>
      <c r="K29" s="22">
        <f>K27*100/K25</f>
        <v>17.470281051907172</v>
      </c>
    </row>
    <row r="30" spans="1:20" x14ac:dyDescent="0.3">
      <c r="G30" t="s">
        <v>27</v>
      </c>
      <c r="H30" s="22">
        <f>H28*100/H25</f>
        <v>71.818299340318774</v>
      </c>
      <c r="I30" s="22">
        <f>I28*100/I25</f>
        <v>93.999462569078418</v>
      </c>
      <c r="J30" s="22">
        <f>J28*100/J25</f>
        <v>95.90794850412523</v>
      </c>
      <c r="K30" s="22">
        <f>K28*100/K25</f>
        <v>82.529718948092821</v>
      </c>
    </row>
    <row r="31" spans="1:20" x14ac:dyDescent="0.3">
      <c r="G31" t="s">
        <v>28</v>
      </c>
      <c r="K31" s="56">
        <v>29.3</v>
      </c>
    </row>
    <row r="32" spans="1:20" x14ac:dyDescent="0.3">
      <c r="A32" s="26" t="s">
        <v>29</v>
      </c>
      <c r="B32" s="27"/>
      <c r="C32" s="28"/>
      <c r="G32" s="21" t="s">
        <v>50</v>
      </c>
    </row>
    <row r="33" spans="1:19" x14ac:dyDescent="0.3">
      <c r="A33" s="29" t="s">
        <v>8</v>
      </c>
      <c r="B33" s="30">
        <f>SLOPE(N4:N7,D4:D7)</f>
        <v>4.7250588579463822E-3</v>
      </c>
      <c r="C33" s="31">
        <f>SLOPE(N7:N14,D7:D14)</f>
        <v>1.6511438898197419E-3</v>
      </c>
      <c r="D33" s="31">
        <f>SLOPE(N14:N19,D14:D19)</f>
        <v>1.1572560663359909E-3</v>
      </c>
      <c r="G33" t="s">
        <v>23</v>
      </c>
      <c r="H33" s="9">
        <f>N19</f>
        <v>7.5005929215162066</v>
      </c>
      <c r="I33" s="9">
        <f>O19</f>
        <v>1.4835570993115212</v>
      </c>
      <c r="J33" s="9">
        <f>P19</f>
        <v>0.88307389764307176</v>
      </c>
      <c r="K33" s="9">
        <f>SUM(H33:J33)</f>
        <v>9.8672239184708008</v>
      </c>
    </row>
    <row r="34" spans="1:19" x14ac:dyDescent="0.3">
      <c r="A34" s="29" t="s">
        <v>9</v>
      </c>
      <c r="B34" s="30">
        <f>SLOPE(O4:O14,D4:D14)</f>
        <v>3.2897854894274766E-4</v>
      </c>
      <c r="C34" s="31"/>
      <c r="D34" s="31">
        <f>SLOPE(O14:O19,D14:D19)</f>
        <v>3.91125778570025E-4</v>
      </c>
      <c r="G34" t="s">
        <v>25</v>
      </c>
      <c r="H34" s="9">
        <f>H25-H33</f>
        <v>10.678407078483792</v>
      </c>
      <c r="I34" s="9">
        <f t="shared" ref="I34" si="23">I25-I33</f>
        <v>9.4924429006884772</v>
      </c>
      <c r="J34" s="9">
        <f>J25-J33</f>
        <v>4.2619261023569281</v>
      </c>
      <c r="K34" s="55">
        <f>SUM(H34:J34)</f>
        <v>24.432776081529195</v>
      </c>
      <c r="S34" t="s">
        <v>37</v>
      </c>
    </row>
    <row r="35" spans="1:19" x14ac:dyDescent="0.3">
      <c r="A35" s="32" t="s">
        <v>10</v>
      </c>
      <c r="B35" s="33">
        <f>SLOPE(P4:P14,D4:D14)</f>
        <v>1.0619572438399353E-4</v>
      </c>
      <c r="C35" s="34"/>
      <c r="D35" s="31">
        <f>SLOPE(P14:P19,D14:D19)</f>
        <v>3.4706591939228981E-4</v>
      </c>
      <c r="G35" t="s">
        <v>26</v>
      </c>
      <c r="H35" s="3">
        <f>H33*100/H25</f>
        <v>41.259656315067971</v>
      </c>
      <c r="I35" s="3">
        <f t="shared" ref="I35:J35" si="24">I33*100/I25</f>
        <v>13.51637298935424</v>
      </c>
      <c r="J35" s="3">
        <f t="shared" si="24"/>
        <v>17.163729788980987</v>
      </c>
      <c r="K35" s="3">
        <f>K33*100/K25</f>
        <v>28.767416671926537</v>
      </c>
    </row>
    <row r="36" spans="1:19" x14ac:dyDescent="0.3">
      <c r="A36" s="79"/>
      <c r="B36" s="79"/>
      <c r="C36" s="79" t="s">
        <v>20</v>
      </c>
      <c r="D36" s="79"/>
      <c r="G36" t="s">
        <v>27</v>
      </c>
      <c r="H36" s="3">
        <f>H34*100/H25</f>
        <v>58.740343684932029</v>
      </c>
      <c r="I36" s="3">
        <f t="shared" ref="I36:J36" si="25">I34*100/I25</f>
        <v>86.483627010645748</v>
      </c>
      <c r="J36" s="3">
        <f t="shared" si="25"/>
        <v>82.836270211019027</v>
      </c>
      <c r="K36" s="3">
        <f>K34*100/K25</f>
        <v>71.23258332807346</v>
      </c>
    </row>
    <row r="37" spans="1:19" x14ac:dyDescent="0.3">
      <c r="A37" s="79" t="s">
        <v>8</v>
      </c>
      <c r="B37" s="79">
        <f>SLOPE(Q4:Q7,D4:D7)</f>
        <v>1.377568180159295E-2</v>
      </c>
      <c r="C37" s="79">
        <f>SLOPE(R7:R14,D7:D14)</f>
        <v>9.5462181164195038E-4</v>
      </c>
      <c r="D37" s="79">
        <f>SLOPE(N14:N19,D14:D19)</f>
        <v>1.1572560663359909E-3</v>
      </c>
      <c r="G37" t="s">
        <v>28</v>
      </c>
      <c r="K37" s="55">
        <v>26.3</v>
      </c>
    </row>
    <row r="38" spans="1:19" x14ac:dyDescent="0.3">
      <c r="A38" s="79" t="s">
        <v>9</v>
      </c>
      <c r="B38" s="79">
        <f>SLOPE(R4:R14,D4:D14)</f>
        <v>9.5912113394387027E-4</v>
      </c>
      <c r="C38" s="79"/>
      <c r="D38" s="79">
        <f>SLOPE(O14:O19,D14:D19)</f>
        <v>3.91125778570025E-4</v>
      </c>
    </row>
    <row r="39" spans="1:19" x14ac:dyDescent="0.3">
      <c r="A39" s="79" t="s">
        <v>10</v>
      </c>
      <c r="B39" s="79">
        <f>SLOPE(R4:R14,D4:D14)</f>
        <v>9.5912113394387027E-4</v>
      </c>
      <c r="C39" s="79"/>
      <c r="D39" s="79">
        <f>SLOPE(P14:P19,D14:D19)</f>
        <v>3.4706591939228981E-4</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1"/>
  <sheetViews>
    <sheetView zoomScale="80" zoomScaleNormal="80" workbookViewId="0">
      <selection activeCell="B8" sqref="B8:H9"/>
    </sheetView>
  </sheetViews>
  <sheetFormatPr defaultRowHeight="14.4" x14ac:dyDescent="0.3"/>
  <cols>
    <col min="1" max="1" width="12.33203125" customWidth="1"/>
  </cols>
  <sheetData>
    <row r="1" spans="1:8" x14ac:dyDescent="0.3">
      <c r="A1" s="37" t="s">
        <v>38</v>
      </c>
    </row>
    <row r="3" spans="1:8" x14ac:dyDescent="0.3">
      <c r="A3" s="21" t="s">
        <v>72</v>
      </c>
    </row>
    <row r="4" spans="1:8" x14ac:dyDescent="0.3">
      <c r="B4" t="s">
        <v>30</v>
      </c>
      <c r="C4" t="s">
        <v>31</v>
      </c>
      <c r="D4" t="s">
        <v>51</v>
      </c>
      <c r="E4" t="s">
        <v>9</v>
      </c>
      <c r="F4" t="s">
        <v>52</v>
      </c>
      <c r="G4" t="s">
        <v>10</v>
      </c>
      <c r="H4" t="s">
        <v>53</v>
      </c>
    </row>
    <row r="5" spans="1:8" ht="15" thickBot="1" x14ac:dyDescent="0.35">
      <c r="A5">
        <v>4</v>
      </c>
      <c r="B5" s="30">
        <v>3.9986034157356801E-3</v>
      </c>
      <c r="C5" s="30">
        <v>1.2509794220734588E-3</v>
      </c>
      <c r="D5" s="63">
        <v>6.9598414578540271E-4</v>
      </c>
      <c r="E5" s="30">
        <v>3.5938856242388078E-4</v>
      </c>
      <c r="F5" s="63">
        <v>4.3399444421705869E-4</v>
      </c>
      <c r="G5" s="65">
        <v>1.9856477515863181E-4</v>
      </c>
      <c r="H5" s="66">
        <v>8.4981515818908777E-5</v>
      </c>
    </row>
    <row r="6" spans="1:8" ht="15" thickBot="1" x14ac:dyDescent="0.35">
      <c r="A6">
        <v>5</v>
      </c>
      <c r="B6" s="58">
        <v>4.5427035952618983E-3</v>
      </c>
      <c r="C6" s="69">
        <v>2.4604627629120986E-3</v>
      </c>
      <c r="D6" s="68">
        <v>1.5158355330556854E-3</v>
      </c>
      <c r="E6" s="62">
        <v>6.2933942021222138E-4</v>
      </c>
      <c r="F6" s="70">
        <v>2.24163264455239E-4</v>
      </c>
      <c r="G6" s="64">
        <v>2.4552215416612802E-4</v>
      </c>
      <c r="H6" s="71">
        <v>2.519277088773354E-4</v>
      </c>
    </row>
    <row r="7" spans="1:8" x14ac:dyDescent="0.3">
      <c r="A7">
        <v>6</v>
      </c>
      <c r="B7">
        <v>4.7250588579463822E-3</v>
      </c>
      <c r="C7">
        <v>1.6511438898197419E-3</v>
      </c>
      <c r="D7">
        <v>1.1572560663359909E-3</v>
      </c>
      <c r="E7" s="52">
        <v>3.2897854894274766E-4</v>
      </c>
      <c r="F7">
        <v>3.91125778570025E-4</v>
      </c>
      <c r="G7" s="52">
        <v>1.0619572438399353E-4</v>
      </c>
      <c r="H7">
        <v>3.4706591939228981E-4</v>
      </c>
    </row>
    <row r="8" spans="1:8" x14ac:dyDescent="0.3">
      <c r="A8" s="21" t="s">
        <v>32</v>
      </c>
      <c r="B8" s="25">
        <f>AVERAGE(B5:B7)*1000</f>
        <v>4.4221219563146539</v>
      </c>
      <c r="C8" s="25">
        <f>AVERAGE(C5:C7)*1000</f>
        <v>1.7875286916017663</v>
      </c>
      <c r="D8" s="25">
        <f t="shared" ref="D8:H8" si="0">AVERAGE(D5:D7)*1000</f>
        <v>1.1230252483923595</v>
      </c>
      <c r="E8" s="25">
        <f t="shared" si="0"/>
        <v>0.43923551052628335</v>
      </c>
      <c r="F8" s="25">
        <f>AVERAGE(F5:F7)*1000</f>
        <v>0.3497611624141076</v>
      </c>
      <c r="G8" s="25">
        <f t="shared" si="0"/>
        <v>0.18342755123625112</v>
      </c>
      <c r="H8" s="25">
        <f t="shared" si="0"/>
        <v>0.22799171469617799</v>
      </c>
    </row>
    <row r="9" spans="1:8" x14ac:dyDescent="0.3">
      <c r="A9" s="21" t="s">
        <v>33</v>
      </c>
      <c r="B9" s="25">
        <f>_xlfn.STDEV.P(B5:B7)*1000</f>
        <v>0.30858745504614998</v>
      </c>
      <c r="C9" s="25">
        <f t="shared" ref="C9:H9" si="1">_xlfn.STDEV.P(C5:C7)*1000</f>
        <v>0.50309912777993082</v>
      </c>
      <c r="D9" s="25">
        <f t="shared" si="1"/>
        <v>0.3355770015709949</v>
      </c>
      <c r="E9" s="25">
        <f t="shared" si="1"/>
        <v>0.13499583842570892</v>
      </c>
      <c r="F9" s="25">
        <f t="shared" si="1"/>
        <v>9.0519075714658295E-2</v>
      </c>
      <c r="G9" s="25">
        <f t="shared" si="1"/>
        <v>5.7878120045582189E-2</v>
      </c>
      <c r="H9" s="25">
        <f t="shared" si="1"/>
        <v>0.10832592029668003</v>
      </c>
    </row>
    <row r="10" spans="1:8" x14ac:dyDescent="0.3">
      <c r="E10" s="24">
        <f>AVERAGE(E8:F8)</f>
        <v>0.3944983364701955</v>
      </c>
      <c r="F10" s="24">
        <f>AVERAGE(E9:F9)</f>
        <v>0.11275745707018361</v>
      </c>
    </row>
    <row r="11" spans="1:8" x14ac:dyDescent="0.3">
      <c r="A11" s="21" t="s">
        <v>69</v>
      </c>
    </row>
    <row r="12" spans="1:8" x14ac:dyDescent="0.3">
      <c r="B12" t="s">
        <v>30</v>
      </c>
      <c r="C12" t="s">
        <v>31</v>
      </c>
      <c r="D12" t="s">
        <v>51</v>
      </c>
      <c r="E12" t="s">
        <v>9</v>
      </c>
      <c r="F12" t="s">
        <v>52</v>
      </c>
      <c r="G12" t="s">
        <v>10</v>
      </c>
      <c r="H12" t="s">
        <v>53</v>
      </c>
    </row>
    <row r="13" spans="1:8" x14ac:dyDescent="0.3">
      <c r="A13">
        <v>4</v>
      </c>
      <c r="B13" s="9">
        <v>0.5435159771769198</v>
      </c>
      <c r="C13" s="9">
        <v>4.3532643188261388E-2</v>
      </c>
      <c r="D13" s="9">
        <v>2.7399107667593757E-2</v>
      </c>
      <c r="E13" s="9">
        <v>4.8507130116916417E-2</v>
      </c>
      <c r="F13" s="9">
        <v>1.7094930115527079E-2</v>
      </c>
      <c r="G13" s="9">
        <v>4.7292517158929466E-2</v>
      </c>
      <c r="H13" s="9">
        <v>3.3455852471900027E-3</v>
      </c>
    </row>
    <row r="14" spans="1:8" x14ac:dyDescent="0.3">
      <c r="A14">
        <v>5</v>
      </c>
      <c r="B14" s="9">
        <v>0.37408695829888111</v>
      </c>
      <c r="C14" s="9">
        <v>5.3466873521831042E-2</v>
      </c>
      <c r="D14" s="9">
        <v>6.0753153324959952E-2</v>
      </c>
      <c r="E14" s="9">
        <v>5.1992839974045739E-2</v>
      </c>
      <c r="F14" s="9">
        <v>2.2416326445523872E-2</v>
      </c>
      <c r="G14" s="9">
        <v>5.1992839974045739E-2</v>
      </c>
      <c r="H14" s="9">
        <v>1.0102391864863827E-2</v>
      </c>
    </row>
    <row r="15" spans="1:8" x14ac:dyDescent="0.3">
      <c r="A15">
        <v>6</v>
      </c>
      <c r="B15" s="9">
        <v>0.54110835064296525</v>
      </c>
      <c r="C15" s="9">
        <v>3.7830601598504779E-2</v>
      </c>
      <c r="D15" s="9">
        <v>4.6643733248676676E-2</v>
      </c>
      <c r="E15" s="9">
        <v>3.7914515763171383E-2</v>
      </c>
      <c r="F15" s="9">
        <v>1.5767356455296727E-2</v>
      </c>
      <c r="G15" s="9">
        <v>3.7914515763171383E-2</v>
      </c>
      <c r="H15" s="9">
        <v>1.3982752758423235E-2</v>
      </c>
    </row>
    <row r="16" spans="1:8" x14ac:dyDescent="0.3">
      <c r="A16" s="21" t="s">
        <v>32</v>
      </c>
      <c r="B16" s="25">
        <f t="shared" ref="B16:H16" si="2">AVERAGE(B13:B15)</f>
        <v>0.48623709537292203</v>
      </c>
      <c r="C16" s="25">
        <f t="shared" si="2"/>
        <v>4.4943372769532398E-2</v>
      </c>
      <c r="D16" s="25">
        <f t="shared" si="2"/>
        <v>4.4931998080410131E-2</v>
      </c>
      <c r="E16" s="25">
        <f t="shared" si="2"/>
        <v>4.6138161951377842E-2</v>
      </c>
      <c r="F16" s="25">
        <f t="shared" si="2"/>
        <v>1.8426204338782559E-2</v>
      </c>
      <c r="G16" s="25">
        <f t="shared" si="2"/>
        <v>4.5733290965382201E-2</v>
      </c>
      <c r="H16" s="25">
        <f t="shared" si="2"/>
        <v>9.1435766234923554E-3</v>
      </c>
    </row>
    <row r="17" spans="1:9" x14ac:dyDescent="0.3">
      <c r="A17" s="21" t="s">
        <v>33</v>
      </c>
      <c r="B17" s="25">
        <f t="shared" ref="B17:H17" si="3">_xlfn.STDEV.P(B13:B15)</f>
        <v>7.9308213532926455E-2</v>
      </c>
      <c r="C17" s="25">
        <f t="shared" si="3"/>
        <v>6.4609528904362662E-3</v>
      </c>
      <c r="D17" s="25">
        <f t="shared" si="3"/>
        <v>1.3670421071133266E-2</v>
      </c>
      <c r="E17" s="25">
        <f t="shared" si="3"/>
        <v>5.9865856030308379E-3</v>
      </c>
      <c r="F17" s="25">
        <f t="shared" si="3"/>
        <v>2.8730261370041696E-3</v>
      </c>
      <c r="G17" s="25">
        <f t="shared" si="3"/>
        <v>5.8522470264908049E-3</v>
      </c>
      <c r="H17" s="25">
        <f t="shared" si="3"/>
        <v>4.3952116494979394E-3</v>
      </c>
    </row>
    <row r="18" spans="1:9" x14ac:dyDescent="0.3">
      <c r="A18" s="21"/>
      <c r="B18" s="25"/>
      <c r="C18" s="25"/>
      <c r="D18" s="25"/>
      <c r="E18" s="25"/>
      <c r="F18" s="25"/>
      <c r="G18" s="25"/>
      <c r="H18" s="25"/>
    </row>
    <row r="19" spans="1:9" x14ac:dyDescent="0.3">
      <c r="A19" s="21" t="s">
        <v>35</v>
      </c>
      <c r="B19" t="s">
        <v>34</v>
      </c>
      <c r="C19" t="s">
        <v>9</v>
      </c>
      <c r="D19" t="s">
        <v>10</v>
      </c>
      <c r="E19" t="s">
        <v>7</v>
      </c>
    </row>
    <row r="20" spans="1:9" x14ac:dyDescent="0.3">
      <c r="A20">
        <v>4</v>
      </c>
      <c r="B20" s="82">
        <v>35.0448326691142</v>
      </c>
      <c r="C20" s="82">
        <v>16.616671438077635</v>
      </c>
      <c r="D20" s="82">
        <v>12.818742332028778</v>
      </c>
      <c r="E20" s="82">
        <v>25.8</v>
      </c>
    </row>
    <row r="21" spans="1:9" x14ac:dyDescent="0.3">
      <c r="A21">
        <v>5</v>
      </c>
      <c r="B21" s="73">
        <v>35.662587710887642</v>
      </c>
      <c r="C21" s="73">
        <v>15.091897792512706</v>
      </c>
      <c r="D21" s="73">
        <v>13.947584649581723</v>
      </c>
      <c r="E21" s="73">
        <v>25.8</v>
      </c>
    </row>
    <row r="22" spans="1:9" x14ac:dyDescent="0.3">
      <c r="A22">
        <v>6</v>
      </c>
      <c r="B22" s="82">
        <v>41.259656315067971</v>
      </c>
      <c r="C22" s="82">
        <v>13.51637298935424</v>
      </c>
      <c r="D22" s="82">
        <v>17.163729788980987</v>
      </c>
      <c r="E22" s="82">
        <v>28.8</v>
      </c>
    </row>
    <row r="23" spans="1:9" x14ac:dyDescent="0.3">
      <c r="A23" s="21" t="s">
        <v>32</v>
      </c>
      <c r="B23" s="23">
        <f>AVERAGE(B20:B22)</f>
        <v>37.322358898356605</v>
      </c>
      <c r="C23" s="23">
        <f>AVERAGE(C20:C22)</f>
        <v>15.074980739981527</v>
      </c>
      <c r="D23" s="23">
        <f>AVERAGE(D20:D22)</f>
        <v>14.64335225686383</v>
      </c>
      <c r="E23" s="23">
        <f>AVERAGE(E20:E22)</f>
        <v>26.8</v>
      </c>
      <c r="I23" s="52"/>
    </row>
    <row r="24" spans="1:9" x14ac:dyDescent="0.3">
      <c r="A24" s="21" t="s">
        <v>33</v>
      </c>
      <c r="B24" s="23">
        <f>_xlfn.STDEV.P(B20:B22)</f>
        <v>2.7954890488834123</v>
      </c>
      <c r="C24" s="23">
        <f>_xlfn.STDEV.P(C20:C22)</f>
        <v>1.2657480680843587</v>
      </c>
      <c r="D24" s="23">
        <f>_xlfn.STDEV.P(D20:D22)</f>
        <v>1.8407966432635088</v>
      </c>
      <c r="E24" s="23">
        <f>_xlfn.STDEV.P(E20:E22)</f>
        <v>1.4142135623730951</v>
      </c>
      <c r="I24" s="52"/>
    </row>
    <row r="25" spans="1:9" x14ac:dyDescent="0.3">
      <c r="H25" s="52"/>
      <c r="I25" s="52"/>
    </row>
    <row r="26" spans="1:9" x14ac:dyDescent="0.3">
      <c r="A26" s="21" t="s">
        <v>36</v>
      </c>
      <c r="H26" s="52"/>
      <c r="I26" s="52"/>
    </row>
    <row r="27" spans="1:9" x14ac:dyDescent="0.3">
      <c r="A27">
        <v>4</v>
      </c>
      <c r="B27" s="73">
        <f>100-B20</f>
        <v>64.9551673308858</v>
      </c>
      <c r="C27" s="73">
        <f t="shared" ref="C27:D27" si="4">100-C20</f>
        <v>83.383328561922369</v>
      </c>
      <c r="D27" s="73">
        <f t="shared" si="4"/>
        <v>87.181257667971224</v>
      </c>
    </row>
    <row r="28" spans="1:9" x14ac:dyDescent="0.3">
      <c r="A28">
        <v>5</v>
      </c>
      <c r="B28" s="73">
        <f t="shared" ref="B28:D28" si="5">100-B21</f>
        <v>64.337412289112365</v>
      </c>
      <c r="C28" s="73">
        <f t="shared" si="5"/>
        <v>84.908102207487289</v>
      </c>
      <c r="D28" s="73">
        <f t="shared" si="5"/>
        <v>86.052415350418272</v>
      </c>
    </row>
    <row r="29" spans="1:9" x14ac:dyDescent="0.3">
      <c r="A29">
        <v>6</v>
      </c>
      <c r="B29" s="73">
        <f t="shared" ref="B29:D29" si="6">100-B22</f>
        <v>58.740343684932029</v>
      </c>
      <c r="C29" s="73">
        <f t="shared" si="6"/>
        <v>86.483627010645762</v>
      </c>
      <c r="D29" s="73">
        <f t="shared" si="6"/>
        <v>82.836270211019013</v>
      </c>
    </row>
    <row r="30" spans="1:9" x14ac:dyDescent="0.3">
      <c r="A30" s="21" t="s">
        <v>32</v>
      </c>
      <c r="B30" s="23">
        <f>AVERAGE(B27:B29)</f>
        <v>62.677641101643395</v>
      </c>
      <c r="C30" s="23">
        <f>AVERAGE(C27:C29)</f>
        <v>84.925019260018473</v>
      </c>
      <c r="D30" s="23">
        <f>AVERAGE(D27:D29)</f>
        <v>85.356647743136179</v>
      </c>
    </row>
    <row r="31" spans="1:9" x14ac:dyDescent="0.3">
      <c r="A31" s="21" t="s">
        <v>33</v>
      </c>
      <c r="B31" s="23">
        <f>_xlfn.STDEV.P(B27:B29)</f>
        <v>2.7954890488834137</v>
      </c>
      <c r="C31" s="23">
        <f>_xlfn.STDEV.P(C27:C29)</f>
        <v>1.2657480680843578</v>
      </c>
      <c r="D31" s="23">
        <f>_xlfn.STDEV.P(D27:D29)</f>
        <v>1.8407966432635097</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2"/>
  <sheetViews>
    <sheetView workbookViewId="0">
      <selection activeCell="E26" sqref="E26"/>
    </sheetView>
  </sheetViews>
  <sheetFormatPr defaultRowHeight="14.4" x14ac:dyDescent="0.3"/>
  <sheetData>
    <row r="1" spans="1:9" x14ac:dyDescent="0.3">
      <c r="C1" s="92" t="s">
        <v>65</v>
      </c>
      <c r="D1" s="92"/>
      <c r="E1" t="s">
        <v>66</v>
      </c>
      <c r="F1" s="77"/>
      <c r="G1" s="77" t="s">
        <v>64</v>
      </c>
      <c r="H1" s="77"/>
    </row>
    <row r="2" spans="1:9" x14ac:dyDescent="0.3">
      <c r="C2" t="s">
        <v>56</v>
      </c>
      <c r="D2" t="s">
        <v>55</v>
      </c>
      <c r="F2" t="s">
        <v>57</v>
      </c>
      <c r="G2" t="s">
        <v>59</v>
      </c>
      <c r="H2" t="s">
        <v>60</v>
      </c>
      <c r="I2" t="s">
        <v>62</v>
      </c>
    </row>
    <row r="3" spans="1:9" x14ac:dyDescent="0.3">
      <c r="A3" t="s">
        <v>30</v>
      </c>
      <c r="B3" t="s">
        <v>54</v>
      </c>
      <c r="C3" s="75">
        <v>0.26378598696478667</v>
      </c>
      <c r="D3" s="75">
        <v>0.10736962001254156</v>
      </c>
      <c r="E3">
        <f>(1)-C4/C3</f>
        <v>0.34217854557534622</v>
      </c>
      <c r="F3">
        <v>3</v>
      </c>
      <c r="G3" s="76">
        <f t="shared" ref="G3:G10" si="0">SQRT(0.5*((D3)^2)+(D4^2))</f>
        <v>7.692216034464161E-2</v>
      </c>
      <c r="H3" s="74">
        <f>(C3-C4)/(G3*SQRT(2/F3))</f>
        <v>1.4371385980292963</v>
      </c>
      <c r="I3">
        <v>4.3029999999999999</v>
      </c>
    </row>
    <row r="4" spans="1:9" x14ac:dyDescent="0.3">
      <c r="B4" t="s">
        <v>58</v>
      </c>
      <c r="C4" s="75">
        <v>0.17352408160201874</v>
      </c>
      <c r="D4" s="75">
        <v>1.2365318486313752E-2</v>
      </c>
      <c r="F4">
        <v>3</v>
      </c>
      <c r="G4" s="76">
        <f t="shared" si="0"/>
        <v>3.0110825242167346E-2</v>
      </c>
      <c r="I4" t="s">
        <v>61</v>
      </c>
    </row>
    <row r="5" spans="1:9" x14ac:dyDescent="0.3">
      <c r="A5" t="s">
        <v>31</v>
      </c>
      <c r="B5" t="s">
        <v>54</v>
      </c>
      <c r="C5" s="75">
        <v>0.10473341856757203</v>
      </c>
      <c r="D5" s="75">
        <v>2.8813386578643543E-2</v>
      </c>
      <c r="E5">
        <f t="shared" ref="E5:E9" si="1">(1)-C6/C5</f>
        <v>0.31344008120333389</v>
      </c>
      <c r="F5">
        <v>3</v>
      </c>
      <c r="G5" s="76">
        <f t="shared" si="0"/>
        <v>3.0142464652089061E-2</v>
      </c>
      <c r="H5" s="74">
        <f>(C5-C6)/(G5*SQRT(2/F5))</f>
        <v>1.3338490377687253</v>
      </c>
    </row>
    <row r="6" spans="1:9" x14ac:dyDescent="0.3">
      <c r="B6" t="s">
        <v>58</v>
      </c>
      <c r="C6" s="75">
        <v>7.1905767347049496E-2</v>
      </c>
      <c r="D6" s="75">
        <v>2.221401702162985E-2</v>
      </c>
      <c r="F6">
        <v>3</v>
      </c>
      <c r="G6" s="76">
        <f t="shared" si="0"/>
        <v>2.5086511011950544E-2</v>
      </c>
    </row>
    <row r="7" spans="1:9" x14ac:dyDescent="0.3">
      <c r="A7" t="s">
        <v>9</v>
      </c>
      <c r="B7" t="s">
        <v>54</v>
      </c>
      <c r="C7" s="75">
        <v>5.6369651702961689E-2</v>
      </c>
      <c r="D7" s="75">
        <v>1.9560208552929222E-2</v>
      </c>
      <c r="E7">
        <f t="shared" si="1"/>
        <v>0.69383456355269479</v>
      </c>
      <c r="F7">
        <v>3</v>
      </c>
      <c r="G7" s="76">
        <f t="shared" si="0"/>
        <v>1.4828964377452477E-2</v>
      </c>
      <c r="H7" s="74">
        <f>(C7-C8)/(G7*SQRT(2/F7))</f>
        <v>3.2302496609319391</v>
      </c>
    </row>
    <row r="8" spans="1:9" x14ac:dyDescent="0.3">
      <c r="B8" t="s">
        <v>58</v>
      </c>
      <c r="C8" s="75">
        <v>1.7258439016019846E-2</v>
      </c>
      <c r="D8" s="75">
        <v>5.3476448265298831E-3</v>
      </c>
      <c r="F8">
        <v>3</v>
      </c>
      <c r="G8" s="76">
        <f t="shared" si="0"/>
        <v>8.6287090837534799E-3</v>
      </c>
    </row>
    <row r="9" spans="1:9" x14ac:dyDescent="0.3">
      <c r="A9" t="s">
        <v>10</v>
      </c>
      <c r="B9" t="s">
        <v>54</v>
      </c>
      <c r="C9" s="75">
        <v>2.562827943491983E-2</v>
      </c>
      <c r="D9" s="75">
        <v>7.7560278401185428E-3</v>
      </c>
      <c r="E9">
        <f t="shared" si="1"/>
        <v>0.71915144601991798</v>
      </c>
      <c r="F9">
        <v>3</v>
      </c>
      <c r="G9" s="76">
        <f t="shared" si="0"/>
        <v>5.9342602949042202E-3</v>
      </c>
      <c r="H9" s="74">
        <f>(C9-C10)/(G9*SQRT(2/F9))</f>
        <v>3.803810266857087</v>
      </c>
    </row>
    <row r="10" spans="1:9" x14ac:dyDescent="0.3">
      <c r="B10" t="s">
        <v>58</v>
      </c>
      <c r="C10" s="75">
        <v>7.1976652202947076E-3</v>
      </c>
      <c r="D10" s="75">
        <v>2.266596858581113E-3</v>
      </c>
      <c r="F10">
        <v>3</v>
      </c>
      <c r="G10" s="76">
        <f t="shared" si="0"/>
        <v>1.602726008918831E-3</v>
      </c>
    </row>
    <row r="18" spans="4:5" x14ac:dyDescent="0.3">
      <c r="D18" t="s">
        <v>63</v>
      </c>
      <c r="E18" t="s">
        <v>58</v>
      </c>
    </row>
    <row r="19" spans="4:5" x14ac:dyDescent="0.3">
      <c r="D19" s="72">
        <v>0.10736962001254156</v>
      </c>
      <c r="E19" s="72">
        <v>1.2365318486313752E-2</v>
      </c>
    </row>
    <row r="20" spans="4:5" x14ac:dyDescent="0.3">
      <c r="D20" s="72">
        <v>2.8813386578643543E-2</v>
      </c>
      <c r="E20" s="72">
        <v>2.221401702162985E-2</v>
      </c>
    </row>
    <row r="21" spans="4:5" x14ac:dyDescent="0.3">
      <c r="D21" s="72">
        <v>1.9560208552929222E-2</v>
      </c>
      <c r="E21" s="72">
        <v>5.3476448265298831E-3</v>
      </c>
    </row>
    <row r="22" spans="4:5" x14ac:dyDescent="0.3">
      <c r="D22" s="72">
        <v>7.7560278401185428E-3</v>
      </c>
      <c r="E22" s="72">
        <v>2.266596858581113E-3</v>
      </c>
    </row>
  </sheetData>
  <mergeCells count="1">
    <mergeCell ref="C1:D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F&amp;C</vt:lpstr>
      <vt:lpstr>Sample4</vt:lpstr>
      <vt:lpstr>Sample5</vt:lpstr>
      <vt:lpstr>Sample6</vt:lpstr>
      <vt:lpstr>Average-15s</vt:lpstr>
      <vt:lpstr>T student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2022-07-20T11:03:10Z</dcterms:modified>
</cp:coreProperties>
</file>