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.xml" ContentType="application/vnd.openxmlformats-officedocument.themeOverride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2.xml" ContentType="application/vnd.openxmlformats-officedocument.themeOverride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4.xml" ContentType="application/vnd.openxmlformats-officedocument.themeOverride+xml"/>
  <Override PartName="/xl/drawings/drawing11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5.xml" ContentType="application/vnd.openxmlformats-officedocument.themeOverride+xml"/>
  <Override PartName="/xl/drawings/drawing12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6.xml" ContentType="application/vnd.openxmlformats-officedocument.themeOverrid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6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Google Drive\1. Cranfield\Research\#Projects\Co-Authorship\2021_Decentralised RO\Submission files\"/>
    </mc:Choice>
  </mc:AlternateContent>
  <xr:revisionPtr revIDLastSave="0" documentId="13_ncr:1_{E110E9CB-D5BE-4D62-9A5A-0D2733A0305B}" xr6:coauthVersionLast="47" xr6:coauthVersionMax="47" xr10:uidLastSave="{00000000-0000-0000-0000-000000000000}"/>
  <bookViews>
    <workbookView xWindow="-108" yWindow="-108" windowWidth="23256" windowHeight="12576" activeTab="5" xr2:uid="{EB9A1F61-75CE-470B-9212-F73D62C7342A}"/>
  </bookViews>
  <sheets>
    <sheet name="Figure 3" sheetId="1" r:id="rId1"/>
    <sheet name="Figure 4" sheetId="2" r:id="rId2"/>
    <sheet name="Figure 5" sheetId="4" r:id="rId3"/>
    <sheet name="Figure 6" sheetId="9" r:id="rId4"/>
    <sheet name="Figure 7" sheetId="11" r:id="rId5"/>
    <sheet name="Figure 8" sheetId="10" r:id="rId6"/>
  </sheets>
  <externalReferences>
    <externalReference r:id="rId7"/>
    <externalReference r:id="rId8"/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I49" i="11"/>
  <c r="H49" i="11"/>
  <c r="G49" i="11"/>
  <c r="F49" i="11"/>
  <c r="I41" i="11"/>
  <c r="H41" i="11"/>
  <c r="G41" i="11"/>
  <c r="F41" i="11"/>
  <c r="I48" i="11"/>
  <c r="H48" i="11"/>
  <c r="G48" i="11"/>
  <c r="F48" i="11"/>
  <c r="I47" i="11"/>
  <c r="H47" i="11"/>
  <c r="G47" i="11"/>
  <c r="F47" i="11"/>
  <c r="I44" i="11"/>
  <c r="H44" i="11"/>
  <c r="G44" i="11"/>
  <c r="F44" i="11"/>
  <c r="I43" i="11"/>
  <c r="H43" i="11"/>
  <c r="G43" i="11"/>
  <c r="F43" i="11"/>
  <c r="I46" i="11"/>
  <c r="H46" i="11"/>
  <c r="G46" i="11"/>
  <c r="F46" i="11"/>
  <c r="I45" i="11"/>
  <c r="H45" i="11"/>
  <c r="G45" i="11"/>
  <c r="F45" i="11"/>
  <c r="I42" i="11"/>
  <c r="H42" i="11"/>
  <c r="G42" i="11"/>
  <c r="F42" i="11"/>
  <c r="I40" i="11"/>
  <c r="H40" i="11"/>
  <c r="G40" i="11"/>
  <c r="F40" i="11"/>
  <c r="I39" i="11"/>
  <c r="H39" i="11"/>
  <c r="G39" i="11"/>
  <c r="F39" i="11"/>
  <c r="I15" i="11"/>
  <c r="H15" i="11"/>
  <c r="G15" i="11"/>
  <c r="F15" i="11"/>
  <c r="I14" i="11"/>
  <c r="H14" i="11"/>
  <c r="G14" i="11"/>
  <c r="F14" i="11"/>
  <c r="I13" i="11"/>
  <c r="H13" i="11"/>
  <c r="G13" i="11"/>
  <c r="F13" i="11"/>
  <c r="I12" i="11"/>
  <c r="H12" i="11"/>
  <c r="G12" i="11"/>
  <c r="F12" i="11"/>
  <c r="I11" i="11"/>
  <c r="H11" i="11"/>
  <c r="G11" i="11"/>
  <c r="F11" i="11"/>
  <c r="I10" i="11"/>
  <c r="H10" i="11"/>
  <c r="G10" i="11"/>
  <c r="F10" i="11"/>
  <c r="I9" i="11"/>
  <c r="H9" i="11"/>
  <c r="G9" i="11"/>
  <c r="F9" i="11"/>
  <c r="I8" i="11"/>
  <c r="H8" i="11"/>
  <c r="G8" i="11"/>
  <c r="F8" i="11"/>
  <c r="I7" i="11"/>
  <c r="H7" i="11"/>
  <c r="G7" i="11"/>
  <c r="F7" i="11"/>
  <c r="I6" i="11"/>
  <c r="H6" i="11"/>
  <c r="G6" i="11"/>
  <c r="F6" i="11"/>
  <c r="I5" i="11"/>
  <c r="H5" i="11"/>
  <c r="G5" i="11"/>
  <c r="F5" i="11"/>
  <c r="I4" i="11"/>
  <c r="H4" i="11"/>
  <c r="G4" i="11"/>
  <c r="F4" i="11"/>
  <c r="C35" i="10" l="1"/>
  <c r="C34" i="10"/>
  <c r="M29" i="10"/>
  <c r="L29" i="10"/>
  <c r="K29" i="10"/>
  <c r="J29" i="10"/>
  <c r="M28" i="10"/>
  <c r="L28" i="10"/>
  <c r="K28" i="10"/>
  <c r="J28" i="10"/>
  <c r="M27" i="10"/>
  <c r="L27" i="10"/>
  <c r="K27" i="10"/>
  <c r="J27" i="10"/>
  <c r="C27" i="10"/>
  <c r="M26" i="10"/>
  <c r="L26" i="10"/>
  <c r="K26" i="10"/>
  <c r="J26" i="10"/>
  <c r="M25" i="10"/>
  <c r="L25" i="10"/>
  <c r="K25" i="10"/>
  <c r="J25" i="10"/>
  <c r="C24" i="10"/>
  <c r="C25" i="10" s="1"/>
  <c r="D20" i="10"/>
  <c r="D19" i="10"/>
  <c r="E4" i="10"/>
  <c r="J38" i="10" l="1"/>
  <c r="K38" i="10"/>
  <c r="K47" i="10" s="1"/>
  <c r="E25" i="10"/>
  <c r="M34" i="10"/>
  <c r="M43" i="10" s="1"/>
  <c r="J47" i="10"/>
  <c r="L36" i="10"/>
  <c r="L45" i="10" s="1"/>
  <c r="M36" i="10"/>
  <c r="M45" i="10" s="1"/>
  <c r="L38" i="10"/>
  <c r="J37" i="10"/>
  <c r="J46" i="10" s="1"/>
  <c r="K35" i="10"/>
  <c r="K44" i="10" s="1"/>
  <c r="K37" i="10"/>
  <c r="K46" i="10" s="1"/>
  <c r="C39" i="10"/>
  <c r="L35" i="10"/>
  <c r="L37" i="10"/>
  <c r="L46" i="10" s="1"/>
  <c r="C40" i="10"/>
  <c r="L47" i="10"/>
  <c r="J35" i="10"/>
  <c r="J44" i="10" s="1"/>
  <c r="M38" i="10"/>
  <c r="M47" i="10" s="1"/>
  <c r="J34" i="10"/>
  <c r="J43" i="10" s="1"/>
  <c r="M37" i="10"/>
  <c r="M46" i="10" s="1"/>
  <c r="L44" i="10"/>
  <c r="K34" i="10"/>
  <c r="K43" i="10" s="1"/>
  <c r="J36" i="10"/>
  <c r="J45" i="10" s="1"/>
  <c r="C38" i="10"/>
  <c r="C42" i="10"/>
  <c r="M35" i="10"/>
  <c r="M44" i="10" s="1"/>
  <c r="C41" i="10"/>
  <c r="C29" i="10"/>
  <c r="L34" i="10"/>
  <c r="L43" i="10" s="1"/>
  <c r="K36" i="10"/>
  <c r="K45" i="10" s="1"/>
  <c r="AZ20" i="9" l="1"/>
  <c r="AZ19" i="9"/>
  <c r="AZ18" i="9"/>
  <c r="AZ17" i="9"/>
  <c r="AZ16" i="9"/>
  <c r="AZ15" i="9"/>
  <c r="AZ14" i="9"/>
  <c r="AZ13" i="9"/>
  <c r="AZ12" i="9"/>
  <c r="AZ11" i="9"/>
  <c r="AZ10" i="9"/>
  <c r="AZ9" i="9"/>
  <c r="AZ8" i="9"/>
  <c r="AR36" i="9"/>
  <c r="AQ36" i="9"/>
  <c r="AO36" i="9"/>
  <c r="AM36" i="9"/>
  <c r="AL36" i="9"/>
  <c r="AH36" i="9"/>
  <c r="AN34" i="9"/>
  <c r="AI34" i="9"/>
  <c r="AB34" i="9"/>
  <c r="Z34" i="9"/>
  <c r="AN33" i="9"/>
  <c r="AI33" i="9"/>
  <c r="AB33" i="9"/>
  <c r="Z33" i="9"/>
  <c r="AN32" i="9"/>
  <c r="AI32" i="9"/>
  <c r="AB32" i="9"/>
  <c r="AC33" i="9" s="1"/>
  <c r="AD33" i="9" s="1"/>
  <c r="Z32" i="9"/>
  <c r="AN31" i="9"/>
  <c r="AI31" i="9"/>
  <c r="AB31" i="9"/>
  <c r="Z31" i="9"/>
  <c r="AN30" i="9"/>
  <c r="AI30" i="9"/>
  <c r="AB30" i="9"/>
  <c r="Z30" i="9"/>
  <c r="AN29" i="9"/>
  <c r="AI29" i="9"/>
  <c r="AB29" i="9"/>
  <c r="Z29" i="9"/>
  <c r="AN28" i="9"/>
  <c r="AI28" i="9"/>
  <c r="AB28" i="9"/>
  <c r="Z28" i="9"/>
  <c r="AN27" i="9"/>
  <c r="AI27" i="9"/>
  <c r="AB27" i="9"/>
  <c r="Z27" i="9"/>
  <c r="AN26" i="9"/>
  <c r="AI26" i="9"/>
  <c r="AB26" i="9"/>
  <c r="Z26" i="9"/>
  <c r="AN25" i="9"/>
  <c r="AI25" i="9"/>
  <c r="AB25" i="9"/>
  <c r="Z25" i="9"/>
  <c r="AN24" i="9"/>
  <c r="AI24" i="9"/>
  <c r="AB24" i="9"/>
  <c r="Z24" i="9"/>
  <c r="AN23" i="9"/>
  <c r="AI23" i="9"/>
  <c r="AB23" i="9"/>
  <c r="Z23" i="9"/>
  <c r="AN22" i="9"/>
  <c r="AI22" i="9"/>
  <c r="AB22" i="9"/>
  <c r="Z22" i="9"/>
  <c r="AN21" i="9"/>
  <c r="AI21" i="9"/>
  <c r="AB21" i="9"/>
  <c r="Z21" i="9"/>
  <c r="AN20" i="9"/>
  <c r="AI20" i="9"/>
  <c r="AB20" i="9"/>
  <c r="Z20" i="9"/>
  <c r="AN19" i="9"/>
  <c r="AI19" i="9"/>
  <c r="AB19" i="9"/>
  <c r="Z19" i="9"/>
  <c r="AN18" i="9"/>
  <c r="AI18" i="9"/>
  <c r="AB18" i="9"/>
  <c r="Z18" i="9"/>
  <c r="AN17" i="9"/>
  <c r="AI17" i="9"/>
  <c r="AB17" i="9"/>
  <c r="Z17" i="9"/>
  <c r="AN16" i="9"/>
  <c r="AI16" i="9"/>
  <c r="AB16" i="9"/>
  <c r="AC16" i="9" s="1"/>
  <c r="AK16" i="9" s="1"/>
  <c r="Z16" i="9"/>
  <c r="AC18" i="9" l="1"/>
  <c r="AD18" i="9" s="1"/>
  <c r="AC20" i="9"/>
  <c r="AK20" i="9" s="1"/>
  <c r="AC22" i="9"/>
  <c r="AD22" i="9" s="1"/>
  <c r="AC24" i="9"/>
  <c r="AD24" i="9" s="1"/>
  <c r="AC28" i="9"/>
  <c r="AD28" i="9" s="1"/>
  <c r="AC30" i="9"/>
  <c r="AD30" i="9" s="1"/>
  <c r="AC34" i="9"/>
  <c r="AD34" i="9" s="1"/>
  <c r="AC17" i="9"/>
  <c r="AK17" i="9" s="1"/>
  <c r="AC25" i="9"/>
  <c r="AD25" i="9" s="1"/>
  <c r="AC26" i="9"/>
  <c r="AK26" i="9" s="1"/>
  <c r="AC32" i="9"/>
  <c r="AD32" i="9" s="1"/>
  <c r="AC19" i="9"/>
  <c r="AD19" i="9" s="1"/>
  <c r="AC21" i="9"/>
  <c r="AD21" i="9" s="1"/>
  <c r="AC23" i="9"/>
  <c r="AK23" i="9" s="1"/>
  <c r="AC27" i="9"/>
  <c r="AD27" i="9" s="1"/>
  <c r="AC29" i="9"/>
  <c r="AK29" i="9" s="1"/>
  <c r="AC31" i="9"/>
  <c r="AD31" i="9" s="1"/>
  <c r="AD16" i="9"/>
  <c r="AD20" i="9"/>
  <c r="AK18" i="9"/>
  <c r="AK28" i="9"/>
  <c r="AK30" i="9"/>
  <c r="AK33" i="9"/>
  <c r="AK34" i="9" l="1"/>
  <c r="AK22" i="9"/>
  <c r="AK24" i="9"/>
  <c r="AK32" i="9"/>
  <c r="AD23" i="9"/>
  <c r="AK21" i="9"/>
  <c r="AK19" i="9"/>
  <c r="AK31" i="9"/>
  <c r="AD29" i="9"/>
  <c r="AK25" i="9"/>
  <c r="AD17" i="9"/>
  <c r="AK27" i="9"/>
  <c r="AD26" i="9"/>
  <c r="T29" i="9" l="1"/>
  <c r="R29" i="9"/>
  <c r="P29" i="9"/>
  <c r="O29" i="9"/>
  <c r="N29" i="9"/>
  <c r="J29" i="9"/>
  <c r="V27" i="9"/>
  <c r="S27" i="9"/>
  <c r="Q27" i="9"/>
  <c r="K27" i="9"/>
  <c r="D27" i="9"/>
  <c r="V26" i="9"/>
  <c r="S26" i="9"/>
  <c r="Q26" i="9"/>
  <c r="K26" i="9"/>
  <c r="D26" i="9"/>
  <c r="V25" i="9"/>
  <c r="S25" i="9"/>
  <c r="Q25" i="9"/>
  <c r="K25" i="9"/>
  <c r="D25" i="9"/>
  <c r="V24" i="9"/>
  <c r="S24" i="9"/>
  <c r="Q24" i="9"/>
  <c r="K24" i="9"/>
  <c r="D24" i="9"/>
  <c r="V23" i="9"/>
  <c r="S23" i="9"/>
  <c r="Q23" i="9"/>
  <c r="K23" i="9"/>
  <c r="D23" i="9"/>
  <c r="V22" i="9"/>
  <c r="S22" i="9"/>
  <c r="Q22" i="9"/>
  <c r="K22" i="9"/>
  <c r="D22" i="9"/>
  <c r="V21" i="9"/>
  <c r="S21" i="9"/>
  <c r="Q21" i="9"/>
  <c r="K21" i="9"/>
  <c r="D21" i="9"/>
  <c r="V20" i="9"/>
  <c r="S20" i="9"/>
  <c r="Q20" i="9"/>
  <c r="K20" i="9"/>
  <c r="D20" i="9"/>
  <c r="V19" i="9"/>
  <c r="S19" i="9"/>
  <c r="Q19" i="9"/>
  <c r="K19" i="9"/>
  <c r="D19" i="9"/>
  <c r="V18" i="9"/>
  <c r="S18" i="9"/>
  <c r="Q18" i="9"/>
  <c r="K18" i="9"/>
  <c r="D18" i="9"/>
  <c r="V17" i="9"/>
  <c r="S17" i="9"/>
  <c r="Q17" i="9"/>
  <c r="K17" i="9"/>
  <c r="D17" i="9"/>
  <c r="V16" i="9"/>
  <c r="S16" i="9"/>
  <c r="Q16" i="9"/>
  <c r="K16" i="9"/>
  <c r="D16" i="9"/>
  <c r="V15" i="9"/>
  <c r="S15" i="9"/>
  <c r="Q15" i="9"/>
  <c r="K15" i="9"/>
  <c r="D15" i="9"/>
  <c r="V14" i="9"/>
  <c r="S14" i="9"/>
  <c r="Q14" i="9"/>
  <c r="K14" i="9"/>
  <c r="D14" i="9"/>
  <c r="V13" i="9"/>
  <c r="S13" i="9"/>
  <c r="Q13" i="9"/>
  <c r="K13" i="9"/>
  <c r="D13" i="9"/>
  <c r="V12" i="9"/>
  <c r="S12" i="9"/>
  <c r="Q12" i="9"/>
  <c r="K12" i="9"/>
  <c r="D12" i="9"/>
  <c r="V11" i="9"/>
  <c r="S11" i="9"/>
  <c r="Q11" i="9"/>
  <c r="K11" i="9"/>
  <c r="D11" i="9"/>
  <c r="V10" i="9"/>
  <c r="S10" i="9"/>
  <c r="Q10" i="9"/>
  <c r="K10" i="9"/>
  <c r="A10" i="9"/>
  <c r="A11" i="9" s="1"/>
  <c r="Q29" i="9" l="1"/>
  <c r="AP34" i="9"/>
  <c r="AP33" i="9"/>
  <c r="AP32" i="9"/>
  <c r="AP31" i="9"/>
  <c r="AP30" i="9"/>
  <c r="AP29" i="9"/>
  <c r="AP28" i="9"/>
  <c r="AP27" i="9"/>
  <c r="AP26" i="9"/>
  <c r="AP25" i="9"/>
  <c r="AP24" i="9"/>
  <c r="AP23" i="9"/>
  <c r="AP22" i="9"/>
  <c r="AP21" i="9"/>
  <c r="AP20" i="9"/>
  <c r="AP19" i="9"/>
  <c r="AP18" i="9"/>
  <c r="AP17" i="9"/>
  <c r="AP16" i="9"/>
  <c r="S29" i="9"/>
  <c r="E10" i="9"/>
  <c r="M10" i="9" s="1"/>
  <c r="E11" i="9"/>
  <c r="B11" i="9"/>
  <c r="A12" i="9"/>
  <c r="B10" i="9"/>
  <c r="AP36" i="9" l="1"/>
  <c r="F10" i="9"/>
  <c r="E12" i="9"/>
  <c r="A13" i="9"/>
  <c r="B12" i="9"/>
  <c r="M11" i="9"/>
  <c r="F11" i="9"/>
  <c r="B13" i="9" l="1"/>
  <c r="E13" i="9"/>
  <c r="A14" i="9"/>
  <c r="M12" i="9"/>
  <c r="F12" i="9"/>
  <c r="A15" i="9" l="1"/>
  <c r="B14" i="9"/>
  <c r="E14" i="9"/>
  <c r="F13" i="9"/>
  <c r="M13" i="9"/>
  <c r="E15" i="9" l="1"/>
  <c r="B15" i="9"/>
  <c r="A16" i="9"/>
  <c r="M14" i="9"/>
  <c r="F14" i="9"/>
  <c r="E16" i="9" l="1"/>
  <c r="A17" i="9"/>
  <c r="B16" i="9"/>
  <c r="M15" i="9"/>
  <c r="F15" i="9"/>
  <c r="E17" i="9" l="1"/>
  <c r="B17" i="9"/>
  <c r="A18" i="9"/>
  <c r="M16" i="9"/>
  <c r="F16" i="9"/>
  <c r="F17" i="9" l="1"/>
  <c r="M17" i="9"/>
  <c r="A19" i="9"/>
  <c r="B18" i="9"/>
  <c r="E18" i="9"/>
  <c r="E19" i="9" l="1"/>
  <c r="B19" i="9"/>
  <c r="A20" i="9"/>
  <c r="M18" i="9"/>
  <c r="F18" i="9"/>
  <c r="M19" i="9" l="1"/>
  <c r="F19" i="9"/>
  <c r="E20" i="9"/>
  <c r="A21" i="9"/>
  <c r="B20" i="9"/>
  <c r="E21" i="9" l="1"/>
  <c r="B21" i="9"/>
  <c r="A22" i="9"/>
  <c r="M20" i="9"/>
  <c r="F20" i="9"/>
  <c r="A23" i="9" l="1"/>
  <c r="B22" i="9"/>
  <c r="E22" i="9"/>
  <c r="F21" i="9"/>
  <c r="M21" i="9"/>
  <c r="M22" i="9" l="1"/>
  <c r="F22" i="9"/>
  <c r="E23" i="9"/>
  <c r="B23" i="9"/>
  <c r="A24" i="9"/>
  <c r="E24" i="9" l="1"/>
  <c r="A25" i="9"/>
  <c r="B24" i="9"/>
  <c r="M23" i="9"/>
  <c r="F23" i="9"/>
  <c r="E25" i="9" l="1"/>
  <c r="A26" i="9"/>
  <c r="B25" i="9"/>
  <c r="M24" i="9"/>
  <c r="F24" i="9"/>
  <c r="F25" i="9" l="1"/>
  <c r="M25" i="9"/>
  <c r="A27" i="9"/>
  <c r="B26" i="9"/>
  <c r="E26" i="9"/>
  <c r="M26" i="9" l="1"/>
  <c r="F26" i="9"/>
  <c r="E27" i="9"/>
  <c r="B27" i="9"/>
  <c r="M27" i="9" l="1"/>
  <c r="F27" i="9"/>
  <c r="N110" i="4" l="1"/>
  <c r="M110" i="4"/>
  <c r="L110" i="4"/>
  <c r="K110" i="4"/>
  <c r="B110" i="4"/>
  <c r="N109" i="4"/>
  <c r="M109" i="4"/>
  <c r="L109" i="4"/>
  <c r="K109" i="4"/>
  <c r="B109" i="4"/>
  <c r="N108" i="4"/>
  <c r="M108" i="4"/>
  <c r="L108" i="4"/>
  <c r="K108" i="4"/>
  <c r="B108" i="4"/>
  <c r="N107" i="4"/>
  <c r="M107" i="4"/>
  <c r="L107" i="4"/>
  <c r="K107" i="4"/>
  <c r="B107" i="4"/>
  <c r="N106" i="4"/>
  <c r="M106" i="4"/>
  <c r="B106" i="4"/>
  <c r="N105" i="4"/>
  <c r="M105" i="4"/>
  <c r="L105" i="4"/>
  <c r="K105" i="4"/>
  <c r="N104" i="4"/>
  <c r="M104" i="4"/>
  <c r="L104" i="4"/>
  <c r="K104" i="4"/>
  <c r="B104" i="4"/>
  <c r="O105" i="4" s="1"/>
  <c r="Q103" i="4"/>
  <c r="P103" i="4"/>
  <c r="O103" i="4"/>
  <c r="N103" i="4"/>
  <c r="M103" i="4"/>
  <c r="L103" i="4"/>
  <c r="K103" i="4"/>
  <c r="Q102" i="4"/>
  <c r="P102" i="4"/>
  <c r="O102" i="4"/>
  <c r="N102" i="4"/>
  <c r="M102" i="4"/>
  <c r="L102" i="4"/>
  <c r="K102" i="4"/>
  <c r="Q101" i="4"/>
  <c r="P101" i="4"/>
  <c r="O101" i="4"/>
  <c r="N101" i="4"/>
  <c r="M101" i="4"/>
  <c r="L101" i="4"/>
  <c r="K101" i="4"/>
  <c r="S100" i="4"/>
  <c r="S101" i="4" s="1"/>
  <c r="S102" i="4" s="1"/>
  <c r="S103" i="4" s="1"/>
  <c r="S104" i="4" s="1"/>
  <c r="S105" i="4" s="1"/>
  <c r="S106" i="4" s="1"/>
  <c r="S107" i="4" s="1"/>
  <c r="S108" i="4" s="1"/>
  <c r="S109" i="4" s="1"/>
  <c r="S110" i="4" s="1"/>
  <c r="Q100" i="4"/>
  <c r="P100" i="4"/>
  <c r="O100" i="4"/>
  <c r="N100" i="4"/>
  <c r="M100" i="4"/>
  <c r="L100" i="4"/>
  <c r="K100" i="4"/>
  <c r="K89" i="4"/>
  <c r="J89" i="4"/>
  <c r="I89" i="4"/>
  <c r="B89" i="4"/>
  <c r="K88" i="4"/>
  <c r="J88" i="4"/>
  <c r="I88" i="4"/>
  <c r="B88" i="4"/>
  <c r="K87" i="4"/>
  <c r="J87" i="4"/>
  <c r="I87" i="4"/>
  <c r="B87" i="4"/>
  <c r="K86" i="4"/>
  <c r="J86" i="4"/>
  <c r="I86" i="4"/>
  <c r="B86" i="4"/>
  <c r="K85" i="4"/>
  <c r="J85" i="4"/>
  <c r="I85" i="4"/>
  <c r="B85" i="4"/>
  <c r="K84" i="4"/>
  <c r="J84" i="4"/>
  <c r="I84" i="4"/>
  <c r="B84" i="4"/>
  <c r="K83" i="4"/>
  <c r="J83" i="4"/>
  <c r="I83" i="4"/>
  <c r="B83" i="4"/>
  <c r="K82" i="4"/>
  <c r="J82" i="4"/>
  <c r="I82" i="4"/>
  <c r="B82" i="4"/>
  <c r="K81" i="4"/>
  <c r="J81" i="4"/>
  <c r="I81" i="4"/>
  <c r="B81" i="4"/>
  <c r="K80" i="4"/>
  <c r="J80" i="4"/>
  <c r="I80" i="4"/>
  <c r="B80" i="4"/>
  <c r="M80" i="4" s="1"/>
  <c r="M79" i="4"/>
  <c r="L79" i="4"/>
  <c r="K79" i="4"/>
  <c r="J79" i="4"/>
  <c r="I79" i="4"/>
  <c r="O78" i="4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M78" i="4"/>
  <c r="L78" i="4"/>
  <c r="K78" i="4"/>
  <c r="J78" i="4"/>
  <c r="I78" i="4"/>
  <c r="K41" i="4"/>
  <c r="J41" i="4"/>
  <c r="I41" i="4"/>
  <c r="B41" i="4"/>
  <c r="K40" i="4"/>
  <c r="J40" i="4"/>
  <c r="I40" i="4"/>
  <c r="B40" i="4"/>
  <c r="K39" i="4"/>
  <c r="J39" i="4"/>
  <c r="I39" i="4"/>
  <c r="B39" i="4"/>
  <c r="K38" i="4"/>
  <c r="J38" i="4"/>
  <c r="I38" i="4"/>
  <c r="B38" i="4"/>
  <c r="K37" i="4"/>
  <c r="J37" i="4"/>
  <c r="I37" i="4"/>
  <c r="B37" i="4"/>
  <c r="I36" i="4"/>
  <c r="G36" i="4"/>
  <c r="J36" i="4" s="1"/>
  <c r="B36" i="4"/>
  <c r="K35" i="4"/>
  <c r="J35" i="4"/>
  <c r="I35" i="4"/>
  <c r="B35" i="4"/>
  <c r="K34" i="4"/>
  <c r="J34" i="4"/>
  <c r="I34" i="4"/>
  <c r="B34" i="4"/>
  <c r="K33" i="4"/>
  <c r="J33" i="4"/>
  <c r="I33" i="4"/>
  <c r="B33" i="4"/>
  <c r="M33" i="4" s="1"/>
  <c r="K32" i="4"/>
  <c r="J32" i="4"/>
  <c r="I32" i="4"/>
  <c r="K31" i="4"/>
  <c r="J31" i="4"/>
  <c r="I31" i="4"/>
  <c r="B31" i="4"/>
  <c r="L32" i="4" s="1"/>
  <c r="K30" i="4"/>
  <c r="J30" i="4"/>
  <c r="I30" i="4"/>
  <c r="B30" i="4"/>
  <c r="K29" i="4"/>
  <c r="J29" i="4"/>
  <c r="I29" i="4"/>
  <c r="B29" i="4"/>
  <c r="M29" i="4" s="1"/>
  <c r="M28" i="4"/>
  <c r="L28" i="4"/>
  <c r="K28" i="4"/>
  <c r="J28" i="4"/>
  <c r="I28" i="4"/>
  <c r="O27" i="4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M27" i="4"/>
  <c r="L27" i="4"/>
  <c r="K27" i="4"/>
  <c r="J27" i="4"/>
  <c r="I27" i="4"/>
  <c r="N17" i="4"/>
  <c r="M17" i="4"/>
  <c r="L17" i="4"/>
  <c r="K17" i="4"/>
  <c r="B17" i="4"/>
  <c r="N16" i="4"/>
  <c r="M16" i="4"/>
  <c r="L16" i="4"/>
  <c r="K16" i="4"/>
  <c r="B16" i="4"/>
  <c r="N15" i="4"/>
  <c r="M15" i="4"/>
  <c r="L15" i="4"/>
  <c r="K15" i="4"/>
  <c r="B15" i="4"/>
  <c r="O15" i="4" s="1"/>
  <c r="N14" i="4"/>
  <c r="M14" i="4"/>
  <c r="L14" i="4"/>
  <c r="K14" i="4"/>
  <c r="N13" i="4"/>
  <c r="M13" i="4"/>
  <c r="L13" i="4"/>
  <c r="K13" i="4"/>
  <c r="B13" i="4"/>
  <c r="P14" i="4" s="1"/>
  <c r="Q12" i="4"/>
  <c r="P12" i="4"/>
  <c r="O12" i="4"/>
  <c r="N12" i="4"/>
  <c r="M12" i="4"/>
  <c r="L12" i="4"/>
  <c r="K12" i="4"/>
  <c r="Q11" i="4"/>
  <c r="P11" i="4"/>
  <c r="O11" i="4"/>
  <c r="F11" i="4"/>
  <c r="K11" i="4" s="1"/>
  <c r="Q10" i="4"/>
  <c r="P10" i="4"/>
  <c r="O10" i="4"/>
  <c r="N10" i="4"/>
  <c r="M10" i="4"/>
  <c r="L10" i="4"/>
  <c r="K10" i="4"/>
  <c r="S9" i="4"/>
  <c r="S10" i="4" s="1"/>
  <c r="S11" i="4" s="1"/>
  <c r="S12" i="4" s="1"/>
  <c r="S13" i="4" s="1"/>
  <c r="S14" i="4" s="1"/>
  <c r="S15" i="4" s="1"/>
  <c r="S16" i="4" s="1"/>
  <c r="S17" i="4" s="1"/>
  <c r="Q9" i="4"/>
  <c r="P9" i="4"/>
  <c r="O9" i="4"/>
  <c r="N9" i="4"/>
  <c r="M9" i="4"/>
  <c r="L9" i="4"/>
  <c r="K9" i="4"/>
  <c r="M38" i="4" l="1"/>
  <c r="M41" i="4"/>
  <c r="P13" i="4"/>
  <c r="L82" i="4"/>
  <c r="M86" i="4"/>
  <c r="L39" i="4"/>
  <c r="L38" i="4"/>
  <c r="M34" i="4"/>
  <c r="M88" i="4"/>
  <c r="M85" i="4"/>
  <c r="Q110" i="4"/>
  <c r="L85" i="4"/>
  <c r="L33" i="4"/>
  <c r="N33" i="4" s="1"/>
  <c r="P33" i="4" s="1"/>
  <c r="M30" i="4"/>
  <c r="L36" i="4"/>
  <c r="M82" i="4"/>
  <c r="P107" i="4"/>
  <c r="R12" i="4"/>
  <c r="T12" i="4" s="1"/>
  <c r="M84" i="4"/>
  <c r="M89" i="4"/>
  <c r="R102" i="4"/>
  <c r="T102" i="4" s="1"/>
  <c r="N79" i="4"/>
  <c r="P79" i="4" s="1"/>
  <c r="M81" i="4"/>
  <c r="R101" i="4"/>
  <c r="T101" i="4" s="1"/>
  <c r="Q107" i="4"/>
  <c r="N27" i="4"/>
  <c r="P27" i="4" s="1"/>
  <c r="L37" i="4"/>
  <c r="N78" i="4"/>
  <c r="P78" i="4" s="1"/>
  <c r="L84" i="4"/>
  <c r="R10" i="4"/>
  <c r="T10" i="4" s="1"/>
  <c r="M37" i="4"/>
  <c r="L30" i="4"/>
  <c r="R11" i="4"/>
  <c r="T11" i="4" s="1"/>
  <c r="Q16" i="4"/>
  <c r="K36" i="4"/>
  <c r="L83" i="4"/>
  <c r="O106" i="4"/>
  <c r="O107" i="4"/>
  <c r="Q109" i="4"/>
  <c r="N28" i="4"/>
  <c r="P28" i="4" s="1"/>
  <c r="Q108" i="4"/>
  <c r="L29" i="4"/>
  <c r="N29" i="4" s="1"/>
  <c r="P29" i="4" s="1"/>
  <c r="M35" i="4"/>
  <c r="M36" i="4"/>
  <c r="L81" i="4"/>
  <c r="M83" i="4"/>
  <c r="P106" i="4"/>
  <c r="R9" i="4"/>
  <c r="T9" i="4" s="1"/>
  <c r="R100" i="4"/>
  <c r="T100" i="4" s="1"/>
  <c r="M40" i="4"/>
  <c r="M87" i="4"/>
  <c r="L89" i="4"/>
  <c r="R103" i="4"/>
  <c r="T103" i="4" s="1"/>
  <c r="Q106" i="4"/>
  <c r="P108" i="4"/>
  <c r="O110" i="4"/>
  <c r="P105" i="4"/>
  <c r="P109" i="4"/>
  <c r="O104" i="4"/>
  <c r="P110" i="4"/>
  <c r="Q105" i="4"/>
  <c r="P104" i="4"/>
  <c r="O108" i="4"/>
  <c r="O109" i="4"/>
  <c r="Q104" i="4"/>
  <c r="L86" i="4"/>
  <c r="L87" i="4"/>
  <c r="L80" i="4"/>
  <c r="N80" i="4" s="1"/>
  <c r="P80" i="4" s="1"/>
  <c r="L88" i="4"/>
  <c r="L31" i="4"/>
  <c r="M31" i="4"/>
  <c r="M32" i="4"/>
  <c r="N32" i="4" s="1"/>
  <c r="P32" i="4" s="1"/>
  <c r="M39" i="4"/>
  <c r="L40" i="4"/>
  <c r="L34" i="4"/>
  <c r="L41" i="4"/>
  <c r="L35" i="4"/>
  <c r="O13" i="4"/>
  <c r="O16" i="4"/>
  <c r="P15" i="4"/>
  <c r="Q17" i="4"/>
  <c r="Q15" i="4"/>
  <c r="M11" i="4"/>
  <c r="P16" i="4"/>
  <c r="N11" i="4"/>
  <c r="Q13" i="4"/>
  <c r="O14" i="4"/>
  <c r="L11" i="4"/>
  <c r="Q14" i="4"/>
  <c r="P17" i="4"/>
  <c r="O17" i="4"/>
  <c r="N38" i="4" l="1"/>
  <c r="P38" i="4" s="1"/>
  <c r="N41" i="4"/>
  <c r="P41" i="4" s="1"/>
  <c r="N86" i="4"/>
  <c r="P86" i="4" s="1"/>
  <c r="N39" i="4"/>
  <c r="P39" i="4" s="1"/>
  <c r="N88" i="4"/>
  <c r="P88" i="4" s="1"/>
  <c r="N85" i="4"/>
  <c r="P85" i="4" s="1"/>
  <c r="N82" i="4"/>
  <c r="P82" i="4" s="1"/>
  <c r="N34" i="4"/>
  <c r="P34" i="4" s="1"/>
  <c r="N36" i="4"/>
  <c r="P36" i="4" s="1"/>
  <c r="N31" i="4"/>
  <c r="P31" i="4" s="1"/>
  <c r="N30" i="4"/>
  <c r="P30" i="4" s="1"/>
  <c r="N81" i="4"/>
  <c r="P81" i="4" s="1"/>
  <c r="R15" i="4"/>
  <c r="T15" i="4" s="1"/>
  <c r="R14" i="4"/>
  <c r="T14" i="4" s="1"/>
  <c r="R13" i="4"/>
  <c r="T13" i="4" s="1"/>
  <c r="R107" i="4"/>
  <c r="T107" i="4" s="1"/>
  <c r="R110" i="4"/>
  <c r="T110" i="4" s="1"/>
  <c r="N84" i="4"/>
  <c r="P84" i="4" s="1"/>
  <c r="N89" i="4"/>
  <c r="P89" i="4" s="1"/>
  <c r="R105" i="4"/>
  <c r="T105" i="4" s="1"/>
  <c r="R108" i="4"/>
  <c r="T108" i="4" s="1"/>
  <c r="N35" i="4"/>
  <c r="P35" i="4" s="1"/>
  <c r="R104" i="4"/>
  <c r="T104" i="4" s="1"/>
  <c r="R106" i="4"/>
  <c r="T106" i="4" s="1"/>
  <c r="R16" i="4"/>
  <c r="T16" i="4" s="1"/>
  <c r="N83" i="4"/>
  <c r="P83" i="4" s="1"/>
  <c r="N37" i="4"/>
  <c r="P37" i="4" s="1"/>
  <c r="N40" i="4"/>
  <c r="P40" i="4" s="1"/>
  <c r="N87" i="4"/>
  <c r="P87" i="4" s="1"/>
  <c r="R109" i="4"/>
  <c r="T109" i="4" s="1"/>
  <c r="R17" i="4"/>
  <c r="T17" i="4" s="1"/>
  <c r="J85" i="2" l="1"/>
  <c r="D85" i="2"/>
  <c r="B85" i="2"/>
  <c r="J84" i="2"/>
  <c r="D84" i="2"/>
  <c r="B84" i="2"/>
  <c r="J83" i="2"/>
  <c r="D83" i="2"/>
  <c r="B83" i="2"/>
  <c r="J82" i="2"/>
  <c r="D82" i="2"/>
  <c r="B82" i="2"/>
  <c r="J81" i="2"/>
  <c r="D81" i="2"/>
  <c r="B81" i="2"/>
  <c r="J80" i="2"/>
  <c r="D80" i="2"/>
  <c r="B80" i="2"/>
  <c r="J79" i="2"/>
  <c r="D79" i="2"/>
  <c r="B79" i="2"/>
  <c r="J78" i="2"/>
  <c r="D78" i="2"/>
  <c r="B78" i="2"/>
  <c r="J77" i="2"/>
  <c r="D77" i="2"/>
  <c r="B77" i="2"/>
  <c r="J76" i="2"/>
  <c r="D76" i="2"/>
  <c r="B76" i="2"/>
  <c r="J75" i="2"/>
  <c r="D75" i="2"/>
  <c r="B75" i="2"/>
  <c r="J74" i="2"/>
  <c r="D74" i="2"/>
  <c r="B74" i="2"/>
  <c r="J73" i="2"/>
  <c r="D73" i="2"/>
  <c r="B73" i="2"/>
  <c r="J72" i="2"/>
  <c r="D72" i="2"/>
  <c r="B72" i="2"/>
  <c r="J71" i="2"/>
  <c r="D71" i="2"/>
  <c r="B71" i="2"/>
  <c r="J70" i="2"/>
  <c r="D70" i="2"/>
  <c r="B70" i="2"/>
  <c r="J69" i="2"/>
  <c r="D69" i="2"/>
  <c r="B69" i="2"/>
  <c r="J68" i="2"/>
  <c r="D68" i="2"/>
  <c r="E68" i="2" s="1"/>
  <c r="B68" i="2"/>
  <c r="K57" i="2"/>
  <c r="D57" i="2"/>
  <c r="B57" i="2"/>
  <c r="K56" i="2"/>
  <c r="D56" i="2"/>
  <c r="B56" i="2"/>
  <c r="K55" i="2"/>
  <c r="D55" i="2"/>
  <c r="B55" i="2"/>
  <c r="K54" i="2"/>
  <c r="D54" i="2"/>
  <c r="B54" i="2"/>
  <c r="K53" i="2"/>
  <c r="D53" i="2"/>
  <c r="B53" i="2"/>
  <c r="K52" i="2"/>
  <c r="D52" i="2"/>
  <c r="B52" i="2"/>
  <c r="K51" i="2"/>
  <c r="D51" i="2"/>
  <c r="B51" i="2"/>
  <c r="K50" i="2"/>
  <c r="D50" i="2"/>
  <c r="B50" i="2"/>
  <c r="K49" i="2"/>
  <c r="D49" i="2"/>
  <c r="B49" i="2"/>
  <c r="K48" i="2"/>
  <c r="D48" i="2"/>
  <c r="B48" i="2"/>
  <c r="K47" i="2"/>
  <c r="D47" i="2"/>
  <c r="B47" i="2"/>
  <c r="K46" i="2"/>
  <c r="D46" i="2"/>
  <c r="B46" i="2"/>
  <c r="K45" i="2"/>
  <c r="D45" i="2"/>
  <c r="B45" i="2"/>
  <c r="K44" i="2"/>
  <c r="D44" i="2"/>
  <c r="B44" i="2"/>
  <c r="K43" i="2"/>
  <c r="D43" i="2"/>
  <c r="B43" i="2"/>
  <c r="K42" i="2"/>
  <c r="D42" i="2"/>
  <c r="B42" i="2"/>
  <c r="K41" i="2"/>
  <c r="D41" i="2"/>
  <c r="E41" i="2" s="1"/>
  <c r="F41" i="2" s="1"/>
  <c r="B41" i="2"/>
  <c r="K40" i="2"/>
  <c r="D40" i="2"/>
  <c r="B40" i="2"/>
  <c r="K39" i="2"/>
  <c r="D39" i="2"/>
  <c r="E39" i="2" s="1"/>
  <c r="B39" i="2"/>
  <c r="K28" i="2"/>
  <c r="D28" i="2"/>
  <c r="B28" i="2"/>
  <c r="K27" i="2"/>
  <c r="D27" i="2"/>
  <c r="B27" i="2"/>
  <c r="K26" i="2"/>
  <c r="D26" i="2"/>
  <c r="B26" i="2"/>
  <c r="K25" i="2"/>
  <c r="D25" i="2"/>
  <c r="B25" i="2"/>
  <c r="K24" i="2"/>
  <c r="D24" i="2"/>
  <c r="B24" i="2"/>
  <c r="K23" i="2"/>
  <c r="D23" i="2"/>
  <c r="B23" i="2"/>
  <c r="K22" i="2"/>
  <c r="D22" i="2"/>
  <c r="B22" i="2"/>
  <c r="K21" i="2"/>
  <c r="D21" i="2"/>
  <c r="B21" i="2"/>
  <c r="K20" i="2"/>
  <c r="D20" i="2"/>
  <c r="B20" i="2"/>
  <c r="K19" i="2"/>
  <c r="D19" i="2"/>
  <c r="B19" i="2"/>
  <c r="K18" i="2"/>
  <c r="D18" i="2"/>
  <c r="B18" i="2"/>
  <c r="K17" i="2"/>
  <c r="D17" i="2"/>
  <c r="B17" i="2"/>
  <c r="K16" i="2"/>
  <c r="D16" i="2"/>
  <c r="B16" i="2"/>
  <c r="K15" i="2"/>
  <c r="D15" i="2"/>
  <c r="B15" i="2"/>
  <c r="K14" i="2"/>
  <c r="D14" i="2"/>
  <c r="B14" i="2"/>
  <c r="K13" i="2"/>
  <c r="D13" i="2"/>
  <c r="B13" i="2"/>
  <c r="K12" i="2"/>
  <c r="D12" i="2"/>
  <c r="B12" i="2"/>
  <c r="K11" i="2"/>
  <c r="D11" i="2"/>
  <c r="B11" i="2"/>
  <c r="K10" i="2"/>
  <c r="D10" i="2"/>
  <c r="B10" i="2"/>
  <c r="E55" i="2" l="1"/>
  <c r="M55" i="2" s="1"/>
  <c r="E81" i="2"/>
  <c r="F81" i="2" s="1"/>
  <c r="E47" i="2"/>
  <c r="E73" i="2"/>
  <c r="F73" i="2" s="1"/>
  <c r="E12" i="2"/>
  <c r="F12" i="2" s="1"/>
  <c r="E53" i="2"/>
  <c r="F53" i="2" s="1"/>
  <c r="E20" i="2"/>
  <c r="F20" i="2" s="1"/>
  <c r="E24" i="2"/>
  <c r="F24" i="2" s="1"/>
  <c r="E16" i="2"/>
  <c r="F16" i="2" s="1"/>
  <c r="E43" i="2"/>
  <c r="E51" i="2"/>
  <c r="M51" i="2" s="1"/>
  <c r="E28" i="2"/>
  <c r="F28" i="2" s="1"/>
  <c r="E49" i="2"/>
  <c r="F49" i="2" s="1"/>
  <c r="E57" i="2"/>
  <c r="F57" i="2" s="1"/>
  <c r="E13" i="2"/>
  <c r="M13" i="2" s="1"/>
  <c r="E21" i="2"/>
  <c r="M21" i="2" s="1"/>
  <c r="E44" i="2"/>
  <c r="F44" i="2" s="1"/>
  <c r="E52" i="2"/>
  <c r="F52" i="2" s="1"/>
  <c r="E70" i="2"/>
  <c r="L70" i="2" s="1"/>
  <c r="E78" i="2"/>
  <c r="F78" i="2" s="1"/>
  <c r="E72" i="2"/>
  <c r="F72" i="2" s="1"/>
  <c r="E42" i="2"/>
  <c r="M42" i="2" s="1"/>
  <c r="E56" i="2"/>
  <c r="M56" i="2" s="1"/>
  <c r="E74" i="2"/>
  <c r="F74" i="2" s="1"/>
  <c r="E82" i="2"/>
  <c r="F82" i="2" s="1"/>
  <c r="E40" i="2"/>
  <c r="F40" i="2" s="1"/>
  <c r="E45" i="2"/>
  <c r="F45" i="2" s="1"/>
  <c r="E17" i="2"/>
  <c r="M17" i="2" s="1"/>
  <c r="E25" i="2"/>
  <c r="M25" i="2" s="1"/>
  <c r="E11" i="2"/>
  <c r="M11" i="2" s="1"/>
  <c r="E19" i="2"/>
  <c r="F19" i="2" s="1"/>
  <c r="E27" i="2"/>
  <c r="F27" i="2" s="1"/>
  <c r="E54" i="2"/>
  <c r="M54" i="2" s="1"/>
  <c r="E85" i="2"/>
  <c r="F85" i="2" s="1"/>
  <c r="M45" i="2"/>
  <c r="L68" i="2"/>
  <c r="F68" i="2"/>
  <c r="E46" i="2"/>
  <c r="M46" i="2" s="1"/>
  <c r="E76" i="2"/>
  <c r="F76" i="2" s="1"/>
  <c r="E84" i="2"/>
  <c r="L84" i="2" s="1"/>
  <c r="E69" i="2"/>
  <c r="F69" i="2" s="1"/>
  <c r="E15" i="2"/>
  <c r="M15" i="2" s="1"/>
  <c r="E50" i="2"/>
  <c r="F50" i="2" s="1"/>
  <c r="E80" i="2"/>
  <c r="F80" i="2" s="1"/>
  <c r="E48" i="2"/>
  <c r="M48" i="2" s="1"/>
  <c r="E77" i="2"/>
  <c r="L77" i="2" s="1"/>
  <c r="E23" i="2"/>
  <c r="M23" i="2" s="1"/>
  <c r="L81" i="2"/>
  <c r="E71" i="2"/>
  <c r="E75" i="2"/>
  <c r="E79" i="2"/>
  <c r="E83" i="2"/>
  <c r="M41" i="2"/>
  <c r="M12" i="2"/>
  <c r="M47" i="2"/>
  <c r="F47" i="2"/>
  <c r="M43" i="2"/>
  <c r="F43" i="2"/>
  <c r="M39" i="2"/>
  <c r="F39" i="2"/>
  <c r="F15" i="2"/>
  <c r="E18" i="2"/>
  <c r="E22" i="2"/>
  <c r="E26" i="2"/>
  <c r="E14" i="2"/>
  <c r="E10" i="2"/>
  <c r="L85" i="2" l="1"/>
  <c r="M52" i="2"/>
  <c r="M40" i="2"/>
  <c r="F42" i="2"/>
  <c r="M20" i="2"/>
  <c r="F51" i="2"/>
  <c r="M53" i="2"/>
  <c r="L73" i="2"/>
  <c r="F70" i="2"/>
  <c r="M27" i="2"/>
  <c r="F55" i="2"/>
  <c r="M24" i="2"/>
  <c r="F11" i="2"/>
  <c r="M57" i="2"/>
  <c r="M28" i="2"/>
  <c r="L72" i="2"/>
  <c r="F25" i="2"/>
  <c r="F23" i="2"/>
  <c r="L74" i="2"/>
  <c r="F54" i="2"/>
  <c r="F21" i="2"/>
  <c r="M16" i="2"/>
  <c r="F56" i="2"/>
  <c r="M19" i="2"/>
  <c r="F46" i="2"/>
  <c r="F77" i="2"/>
  <c r="F13" i="2"/>
  <c r="M50" i="2"/>
  <c r="L78" i="2"/>
  <c r="L80" i="2"/>
  <c r="L76" i="2"/>
  <c r="L82" i="2"/>
  <c r="M49" i="2"/>
  <c r="L69" i="2"/>
  <c r="F48" i="2"/>
  <c r="M44" i="2"/>
  <c r="F17" i="2"/>
  <c r="F84" i="2"/>
  <c r="L75" i="2"/>
  <c r="F75" i="2"/>
  <c r="L71" i="2"/>
  <c r="F71" i="2"/>
  <c r="L83" i="2"/>
  <c r="F83" i="2"/>
  <c r="L79" i="2"/>
  <c r="F79" i="2"/>
  <c r="M26" i="2"/>
  <c r="F26" i="2"/>
  <c r="M10" i="2"/>
  <c r="F10" i="2"/>
  <c r="M18" i="2"/>
  <c r="F18" i="2"/>
  <c r="M14" i="2"/>
  <c r="F14" i="2"/>
  <c r="M22" i="2"/>
  <c r="F22" i="2"/>
  <c r="K82" i="1" l="1"/>
  <c r="D82" i="1"/>
  <c r="B82" i="1"/>
  <c r="K81" i="1"/>
  <c r="D81" i="1"/>
  <c r="B81" i="1"/>
  <c r="K80" i="1"/>
  <c r="D80" i="1"/>
  <c r="B80" i="1"/>
  <c r="K79" i="1"/>
  <c r="D79" i="1"/>
  <c r="B79" i="1"/>
  <c r="K78" i="1"/>
  <c r="D78" i="1"/>
  <c r="B78" i="1"/>
  <c r="K77" i="1"/>
  <c r="D77" i="1"/>
  <c r="B77" i="1"/>
  <c r="K76" i="1"/>
  <c r="D76" i="1"/>
  <c r="B76" i="1"/>
  <c r="K75" i="1"/>
  <c r="D75" i="1"/>
  <c r="B75" i="1"/>
  <c r="K74" i="1"/>
  <c r="D74" i="1"/>
  <c r="B74" i="1"/>
  <c r="K73" i="1"/>
  <c r="D73" i="1"/>
  <c r="B73" i="1"/>
  <c r="K72" i="1"/>
  <c r="D72" i="1"/>
  <c r="B72" i="1"/>
  <c r="K71" i="1"/>
  <c r="D71" i="1"/>
  <c r="B71" i="1"/>
  <c r="K70" i="1"/>
  <c r="D70" i="1"/>
  <c r="B70" i="1"/>
  <c r="K69" i="1"/>
  <c r="D69" i="1"/>
  <c r="B69" i="1"/>
  <c r="K68" i="1"/>
  <c r="D68" i="1"/>
  <c r="B68" i="1"/>
  <c r="K67" i="1"/>
  <c r="D67" i="1"/>
  <c r="B67" i="1"/>
  <c r="K66" i="1"/>
  <c r="D66" i="1"/>
  <c r="B66" i="1"/>
  <c r="K65" i="1"/>
  <c r="D65" i="1"/>
  <c r="E65" i="1" s="1"/>
  <c r="B65" i="1"/>
  <c r="K54" i="1"/>
  <c r="D54" i="1"/>
  <c r="B54" i="1"/>
  <c r="K53" i="1"/>
  <c r="D53" i="1"/>
  <c r="B53" i="1"/>
  <c r="K52" i="1"/>
  <c r="D52" i="1"/>
  <c r="B52" i="1"/>
  <c r="K51" i="1"/>
  <c r="D51" i="1"/>
  <c r="B51" i="1"/>
  <c r="K50" i="1"/>
  <c r="D50" i="1"/>
  <c r="B50" i="1"/>
  <c r="K49" i="1"/>
  <c r="D49" i="1"/>
  <c r="B49" i="1"/>
  <c r="K48" i="1"/>
  <c r="D48" i="1"/>
  <c r="B48" i="1"/>
  <c r="K47" i="1"/>
  <c r="D47" i="1"/>
  <c r="B47" i="1"/>
  <c r="K46" i="1"/>
  <c r="D46" i="1"/>
  <c r="B46" i="1"/>
  <c r="K45" i="1"/>
  <c r="D45" i="1"/>
  <c r="B45" i="1"/>
  <c r="K44" i="1"/>
  <c r="D44" i="1"/>
  <c r="B44" i="1"/>
  <c r="K43" i="1"/>
  <c r="D43" i="1"/>
  <c r="B43" i="1"/>
  <c r="K42" i="1"/>
  <c r="D42" i="1"/>
  <c r="B42" i="1"/>
  <c r="K41" i="1"/>
  <c r="D41" i="1"/>
  <c r="E41" i="1" s="1"/>
  <c r="B41" i="1"/>
  <c r="K40" i="1"/>
  <c r="D40" i="1"/>
  <c r="B40" i="1"/>
  <c r="K39" i="1"/>
  <c r="D39" i="1"/>
  <c r="B39" i="1"/>
  <c r="K38" i="1"/>
  <c r="D38" i="1"/>
  <c r="B38" i="1"/>
  <c r="K37" i="1"/>
  <c r="D37" i="1"/>
  <c r="E37" i="1" s="1"/>
  <c r="B37" i="1"/>
  <c r="K26" i="1"/>
  <c r="D26" i="1"/>
  <c r="B26" i="1"/>
  <c r="K25" i="1"/>
  <c r="D25" i="1"/>
  <c r="B25" i="1"/>
  <c r="K24" i="1"/>
  <c r="D24" i="1"/>
  <c r="B24" i="1"/>
  <c r="K23" i="1"/>
  <c r="D23" i="1"/>
  <c r="B23" i="1"/>
  <c r="K22" i="1"/>
  <c r="D22" i="1"/>
  <c r="B22" i="1"/>
  <c r="K21" i="1"/>
  <c r="D21" i="1"/>
  <c r="B21" i="1"/>
  <c r="K20" i="1"/>
  <c r="D20" i="1"/>
  <c r="B20" i="1"/>
  <c r="K19" i="1"/>
  <c r="D19" i="1"/>
  <c r="B19" i="1"/>
  <c r="K18" i="1"/>
  <c r="D18" i="1"/>
  <c r="B18" i="1"/>
  <c r="K17" i="1"/>
  <c r="D17" i="1"/>
  <c r="B17" i="1"/>
  <c r="K16" i="1"/>
  <c r="D16" i="1"/>
  <c r="B16" i="1"/>
  <c r="K15" i="1"/>
  <c r="D15" i="1"/>
  <c r="B15" i="1"/>
  <c r="K14" i="1"/>
  <c r="D14" i="1"/>
  <c r="B14" i="1"/>
  <c r="K13" i="1"/>
  <c r="D13" i="1"/>
  <c r="B13" i="1"/>
  <c r="K12" i="1"/>
  <c r="D12" i="1"/>
  <c r="B12" i="1"/>
  <c r="K11" i="1"/>
  <c r="D11" i="1"/>
  <c r="B11" i="1"/>
  <c r="K10" i="1"/>
  <c r="D10" i="1"/>
  <c r="B10" i="1"/>
  <c r="K9" i="1"/>
  <c r="D9" i="1"/>
  <c r="E9" i="1" s="1"/>
  <c r="E49" i="1" l="1"/>
  <c r="E26" i="1"/>
  <c r="F26" i="1" s="1"/>
  <c r="E70" i="1"/>
  <c r="F70" i="1" s="1"/>
  <c r="E51" i="1"/>
  <c r="F51" i="1" s="1"/>
  <c r="E24" i="1"/>
  <c r="E74" i="1"/>
  <c r="F74" i="1" s="1"/>
  <c r="E69" i="1"/>
  <c r="F69" i="1" s="1"/>
  <c r="E46" i="1"/>
  <c r="M46" i="1" s="1"/>
  <c r="E80" i="1"/>
  <c r="F80" i="1" s="1"/>
  <c r="E43" i="1"/>
  <c r="F43" i="1" s="1"/>
  <c r="E75" i="1"/>
  <c r="M75" i="1" s="1"/>
  <c r="E42" i="1"/>
  <c r="M42" i="1" s="1"/>
  <c r="E44" i="1"/>
  <c r="F44" i="1" s="1"/>
  <c r="E39" i="1"/>
  <c r="F39" i="1" s="1"/>
  <c r="E22" i="1"/>
  <c r="F22" i="1" s="1"/>
  <c r="E40" i="1"/>
  <c r="F40" i="1" s="1"/>
  <c r="E50" i="1"/>
  <c r="F50" i="1" s="1"/>
  <c r="E68" i="1"/>
  <c r="F68" i="1" s="1"/>
  <c r="E73" i="1"/>
  <c r="M73" i="1" s="1"/>
  <c r="E47" i="1"/>
  <c r="F47" i="1" s="1"/>
  <c r="E53" i="1"/>
  <c r="M53" i="1" s="1"/>
  <c r="E38" i="1"/>
  <c r="M38" i="1" s="1"/>
  <c r="E66" i="1"/>
  <c r="F66" i="1" s="1"/>
  <c r="E78" i="1"/>
  <c r="F78" i="1" s="1"/>
  <c r="E82" i="1"/>
  <c r="F82" i="1" s="1"/>
  <c r="E10" i="1"/>
  <c r="F10" i="1" s="1"/>
  <c r="E18" i="1"/>
  <c r="F18" i="1" s="1"/>
  <c r="E45" i="1"/>
  <c r="F45" i="1" s="1"/>
  <c r="E13" i="1"/>
  <c r="F13" i="1" s="1"/>
  <c r="E71" i="1"/>
  <c r="M71" i="1" s="1"/>
  <c r="E76" i="1"/>
  <c r="M76" i="1" s="1"/>
  <c r="E81" i="1"/>
  <c r="F81" i="1" s="1"/>
  <c r="E54" i="1"/>
  <c r="F54" i="1" s="1"/>
  <c r="E52" i="1"/>
  <c r="F52" i="1" s="1"/>
  <c r="E79" i="1"/>
  <c r="M79" i="1" s="1"/>
  <c r="E48" i="1"/>
  <c r="F48" i="1" s="1"/>
  <c r="E67" i="1"/>
  <c r="M67" i="1" s="1"/>
  <c r="E72" i="1"/>
  <c r="F72" i="1" s="1"/>
  <c r="E77" i="1"/>
  <c r="F77" i="1" s="1"/>
  <c r="F65" i="1"/>
  <c r="M65" i="1"/>
  <c r="F75" i="1"/>
  <c r="M70" i="1"/>
  <c r="F41" i="1"/>
  <c r="M41" i="1"/>
  <c r="M44" i="1"/>
  <c r="M37" i="1"/>
  <c r="F37" i="1"/>
  <c r="F49" i="1"/>
  <c r="M49" i="1"/>
  <c r="E17" i="1"/>
  <c r="M17" i="1" s="1"/>
  <c r="E12" i="1"/>
  <c r="M12" i="1" s="1"/>
  <c r="E20" i="1"/>
  <c r="F20" i="1" s="1"/>
  <c r="E25" i="1"/>
  <c r="M25" i="1" s="1"/>
  <c r="E15" i="1"/>
  <c r="M15" i="1" s="1"/>
  <c r="E16" i="1"/>
  <c r="M16" i="1" s="1"/>
  <c r="E11" i="1"/>
  <c r="M11" i="1" s="1"/>
  <c r="E14" i="1"/>
  <c r="E21" i="1"/>
  <c r="F21" i="1" s="1"/>
  <c r="E23" i="1"/>
  <c r="M23" i="1" s="1"/>
  <c r="E19" i="1"/>
  <c r="M19" i="1" s="1"/>
  <c r="M24" i="1"/>
  <c r="F24" i="1"/>
  <c r="M9" i="1"/>
  <c r="F9" i="1"/>
  <c r="M51" i="1" l="1"/>
  <c r="F53" i="1"/>
  <c r="M22" i="1"/>
  <c r="M69" i="1"/>
  <c r="F46" i="1"/>
  <c r="M80" i="1"/>
  <c r="M74" i="1"/>
  <c r="F38" i="1"/>
  <c r="M48" i="1"/>
  <c r="M26" i="1"/>
  <c r="M77" i="1"/>
  <c r="M40" i="1"/>
  <c r="F73" i="1"/>
  <c r="M68" i="1"/>
  <c r="M43" i="1"/>
  <c r="F42" i="1"/>
  <c r="M72" i="1"/>
  <c r="F76" i="1"/>
  <c r="M45" i="1"/>
  <c r="M39" i="1"/>
  <c r="M47" i="1"/>
  <c r="M10" i="1"/>
  <c r="F11" i="1"/>
  <c r="F12" i="1"/>
  <c r="M54" i="1"/>
  <c r="M52" i="1"/>
  <c r="M78" i="1"/>
  <c r="M81" i="1"/>
  <c r="F79" i="1"/>
  <c r="M66" i="1"/>
  <c r="M82" i="1"/>
  <c r="M50" i="1"/>
  <c r="F67" i="1"/>
  <c r="F71" i="1"/>
  <c r="M13" i="1"/>
  <c r="M20" i="1"/>
  <c r="M18" i="1"/>
  <c r="F25" i="1"/>
  <c r="F15" i="1"/>
  <c r="F17" i="1"/>
  <c r="F23" i="1"/>
  <c r="F19" i="1"/>
  <c r="M21" i="1"/>
  <c r="F14" i="1"/>
  <c r="M14" i="1"/>
  <c r="F16" i="1"/>
</calcChain>
</file>

<file path=xl/sharedStrings.xml><?xml version="1.0" encoding="utf-8"?>
<sst xmlns="http://schemas.openxmlformats.org/spreadsheetml/2006/main" count="436" uniqueCount="169">
  <si>
    <t>Feed Conductivity (mS/cm)</t>
  </si>
  <si>
    <t>Temperature</t>
  </si>
  <si>
    <t>Conductivity (mS/cm)</t>
  </si>
  <si>
    <t>Permeate Volume (mL)</t>
  </si>
  <si>
    <t>Recovery Ratio (%)</t>
  </si>
  <si>
    <t>Time (mm:ss)</t>
  </si>
  <si>
    <t>Time (s)</t>
  </si>
  <si>
    <t>Permeate Flow (mL/s)</t>
  </si>
  <si>
    <t>Flux (kg m-2 h-1)</t>
  </si>
  <si>
    <t>Pressure (bar)</t>
  </si>
  <si>
    <t>Feed</t>
  </si>
  <si>
    <t>Permeate</t>
  </si>
  <si>
    <t>Rejection (%)</t>
  </si>
  <si>
    <t>Cross-Flow (L/min)</t>
  </si>
  <si>
    <t>Product Recovery per Pass (%)</t>
  </si>
  <si>
    <r>
      <t>Flux (kg m</t>
    </r>
    <r>
      <rPr>
        <i/>
        <vertAlign val="superscript"/>
        <sz val="12"/>
        <color theme="1"/>
        <rFont val="Arial"/>
        <family val="2"/>
      </rPr>
      <t>-2</t>
    </r>
    <r>
      <rPr>
        <i/>
        <sz val="12"/>
        <color theme="1"/>
        <rFont val="Arial"/>
        <family val="2"/>
      </rPr>
      <t xml:space="preserve"> h</t>
    </r>
    <r>
      <rPr>
        <i/>
        <vertAlign val="superscript"/>
        <sz val="12"/>
        <color theme="1"/>
        <rFont val="Arial"/>
        <family val="2"/>
      </rPr>
      <t>-1</t>
    </r>
    <r>
      <rPr>
        <i/>
        <sz val="12"/>
        <color theme="1"/>
        <rFont val="Arial"/>
        <family val="2"/>
      </rPr>
      <t>)</t>
    </r>
  </si>
  <si>
    <t>Time (hh:mm:ss)</t>
  </si>
  <si>
    <t>Energy (80% Efficient Pumping)</t>
  </si>
  <si>
    <t>TMP (Bar)</t>
  </si>
  <si>
    <t>Qf (m3/s)</t>
  </si>
  <si>
    <t>TMP (MPa)</t>
  </si>
  <si>
    <t>Pumping Power (W)</t>
  </si>
  <si>
    <t>Pumping Energy (J)</t>
  </si>
  <si>
    <t>Pumping Energy (kWh)</t>
  </si>
  <si>
    <t>Pumping Energy (kWh/m3)</t>
  </si>
  <si>
    <t>80% Efficient (kWh/m3)</t>
  </si>
  <si>
    <t>Feed Velocity (m/s)</t>
  </si>
  <si>
    <t>Pressure</t>
  </si>
  <si>
    <t>Theoretical Minimum (kWh/m3)</t>
  </si>
  <si>
    <t>Rejection</t>
  </si>
  <si>
    <t>Flux</t>
  </si>
  <si>
    <t>Element 1</t>
  </si>
  <si>
    <t>Element 2</t>
  </si>
  <si>
    <t>Element 3</t>
  </si>
  <si>
    <t>Permeate 1</t>
  </si>
  <si>
    <t>Permeate 2</t>
  </si>
  <si>
    <t>Permeate 3</t>
  </si>
  <si>
    <t>Feed temperature ©</t>
  </si>
  <si>
    <t>Combined</t>
  </si>
  <si>
    <t>Recovery Ratio</t>
  </si>
  <si>
    <t>Average</t>
  </si>
  <si>
    <t>Rej Stdev</t>
  </si>
  <si>
    <t>Recovery per recycle</t>
  </si>
  <si>
    <t>Single Element</t>
  </si>
  <si>
    <t>Experiment 1</t>
  </si>
  <si>
    <t>Membrane Area</t>
  </si>
  <si>
    <t>Elements</t>
  </si>
  <si>
    <t>kWh</t>
  </si>
  <si>
    <t>kWh/m3</t>
  </si>
  <si>
    <t>80% Efficiency (kWh/m3)</t>
  </si>
  <si>
    <t>Cross-flow velocity</t>
  </si>
  <si>
    <t>Membrane Cost @ $100 per element</t>
  </si>
  <si>
    <t>Series</t>
  </si>
  <si>
    <t>Parallel</t>
  </si>
  <si>
    <t>Retentate</t>
  </si>
  <si>
    <t>Conductivity</t>
  </si>
  <si>
    <t>COD</t>
  </si>
  <si>
    <t>NH4-N</t>
  </si>
  <si>
    <t>TN</t>
  </si>
  <si>
    <t>TP</t>
  </si>
  <si>
    <t>pH</t>
  </si>
  <si>
    <r>
      <t>Feed Temperature (</t>
    </r>
    <r>
      <rPr>
        <i/>
        <sz val="12"/>
        <color theme="1"/>
        <rFont val="Times New Roman"/>
        <family val="1"/>
      </rPr>
      <t>°</t>
    </r>
    <r>
      <rPr>
        <i/>
        <sz val="12"/>
        <color theme="1"/>
        <rFont val="Arial"/>
        <family val="2"/>
      </rPr>
      <t>C)</t>
    </r>
  </si>
  <si>
    <t>Feed / Retentate Conductivity (mS/cm)</t>
  </si>
  <si>
    <t>Permeate Conductivity (mS/cm)</t>
  </si>
  <si>
    <t>COD (mg/L)</t>
  </si>
  <si>
    <t>NH4-N (mg/L)</t>
  </si>
  <si>
    <t>TN (mg/L)</t>
  </si>
  <si>
    <t>TN (Rej %)</t>
  </si>
  <si>
    <t>TP (mg/L)</t>
  </si>
  <si>
    <t>TP (Rej %)</t>
  </si>
  <si>
    <t>E.Coli (CFU/100mL; LOD= 0.01/mL)</t>
  </si>
  <si>
    <t>E.Coli (Log10CFU/mL)</t>
  </si>
  <si>
    <t>ISO</t>
  </si>
  <si>
    <t>TN (% Reduction)</t>
  </si>
  <si>
    <t>TP (% Reduction)</t>
  </si>
  <si>
    <t>COD Category A (mg/L)</t>
  </si>
  <si>
    <t>COD Category B (mg/L)</t>
  </si>
  <si>
    <t>pH min</t>
  </si>
  <si>
    <t>phMax</t>
  </si>
  <si>
    <t>mg/L</t>
  </si>
  <si>
    <t>TN (Rejection %)</t>
  </si>
  <si>
    <t>TP (Rejection %)</t>
  </si>
  <si>
    <t>Composition of Synthetic Toilet Wastewater</t>
  </si>
  <si>
    <t>Major components of synthetic urine composition from Putnam 1971</t>
  </si>
  <si>
    <t>Assume total volume (L/day):</t>
  </si>
  <si>
    <t>Urine (L/day)</t>
  </si>
  <si>
    <t>Chemical group</t>
  </si>
  <si>
    <t>Compound</t>
  </si>
  <si>
    <r>
      <t>Typical concentration in Urine (mg L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)</t>
    </r>
  </si>
  <si>
    <r>
      <t>Concentration in Green Stream (mg L</t>
    </r>
    <r>
      <rPr>
        <vertAlign val="superscript"/>
        <sz val="10"/>
        <color theme="1"/>
        <rFont val="Times New Roman"/>
        <family val="1"/>
      </rPr>
      <t>-1</t>
    </r>
    <r>
      <rPr>
        <sz val="10"/>
        <color theme="1"/>
        <rFont val="Times New Roman"/>
        <family val="1"/>
      </rPr>
      <t>)</t>
    </r>
  </si>
  <si>
    <t>Inorganic salts</t>
  </si>
  <si>
    <t>Sodium chloride</t>
  </si>
  <si>
    <t>Potassium chloride</t>
  </si>
  <si>
    <t>Potassium bicarbonate</t>
  </si>
  <si>
    <t>Potassium sulphate</t>
  </si>
  <si>
    <t>Magnesium sulphate</t>
  </si>
  <si>
    <t>Organic ammonium salts</t>
  </si>
  <si>
    <t>Ammonium hippurate</t>
  </si>
  <si>
    <t>Ammonium formate</t>
  </si>
  <si>
    <t>Ammonium Citrate</t>
  </si>
  <si>
    <t>Ammonium Lactate</t>
  </si>
  <si>
    <t>Organic compounds</t>
  </si>
  <si>
    <t>Urea</t>
  </si>
  <si>
    <t>Creatinine</t>
  </si>
  <si>
    <t>Creatine</t>
  </si>
  <si>
    <t>Glycine</t>
  </si>
  <si>
    <t>OPEX / CAPEX assumptions</t>
  </si>
  <si>
    <t>Range studied</t>
  </si>
  <si>
    <t>Relative Cost Fraction</t>
  </si>
  <si>
    <r>
      <t>Power cost ($ kWh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  <r>
      <rPr>
        <vertAlign val="superscript"/>
        <sz val="11"/>
        <color theme="1"/>
        <rFont val="Arial"/>
        <family val="2"/>
      </rPr>
      <t>a</t>
    </r>
  </si>
  <si>
    <r>
      <t>Calculated Energy Requirement (kWh day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</si>
  <si>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t>Interest rate (%)</t>
  </si>
  <si>
    <t>Lifetime (years)</t>
  </si>
  <si>
    <r>
      <t>Capacity (L day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</si>
  <si>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t>Feed Pressure (bar)</t>
  </si>
  <si>
    <r>
      <t>RO element cost ($ element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</si>
  <si>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t>25 - 200</t>
  </si>
  <si>
    <r>
      <t>Membrane Area per element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</si>
  <si>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Number of elements</t>
  </si>
  <si>
    <t>RO element Replacement rate (years)</t>
  </si>
  <si>
    <t>1 - 5</t>
  </si>
  <si>
    <r>
      <t>Tubing cost</t>
    </r>
    <r>
      <rPr>
        <vertAlign val="superscript"/>
        <sz val="11"/>
        <color theme="1"/>
        <rFont val="Arial"/>
        <family val="2"/>
      </rPr>
      <t>#</t>
    </r>
    <r>
      <rPr>
        <sz val="11"/>
        <color theme="1"/>
        <rFont val="Arial"/>
        <family val="2"/>
      </rPr>
      <t xml:space="preserve"> (% of total equipment)</t>
    </r>
  </si>
  <si>
    <t>RO housing ($)</t>
  </si>
  <si>
    <t>Pump Cost ($)</t>
  </si>
  <si>
    <t>50 - 1000</t>
  </si>
  <si>
    <t>Pump efficiency (%)</t>
  </si>
  <si>
    <r>
      <t>Operation time (h day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</si>
  <si>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t>Available Revenue</t>
  </si>
  <si>
    <t>$/y</t>
  </si>
  <si>
    <t>System Purchase Price ($)</t>
  </si>
  <si>
    <r>
      <t>Operational Income ($ day</t>
    </r>
    <r>
      <rPr>
        <vertAlign val="superscript"/>
        <sz val="11"/>
        <color theme="1"/>
        <rFont val="Arial"/>
        <family val="2"/>
      </rPr>
      <t>‑1</t>
    </r>
    <r>
      <rPr>
        <sz val="11"/>
        <color theme="1"/>
        <rFont val="Arial"/>
        <family val="2"/>
      </rPr>
      <t>)</t>
    </r>
  </si>
  <si>
    <t>Membrane Cost</t>
  </si>
  <si>
    <t>OPEX / day</t>
  </si>
  <si>
    <t>OPEX/y</t>
  </si>
  <si>
    <t>OPEX / year</t>
  </si>
  <si>
    <t>Membrane Lifetime</t>
  </si>
  <si>
    <t>CAPEX</t>
  </si>
  <si>
    <t>NPV</t>
  </si>
  <si>
    <t>Rt</t>
  </si>
  <si>
    <t>NPV ($)</t>
  </si>
  <si>
    <t>Just Operational</t>
  </si>
  <si>
    <t>Positive Displacement Pumps</t>
  </si>
  <si>
    <t>1GBP = 1.37USD</t>
  </si>
  <si>
    <t>Name</t>
  </si>
  <si>
    <t>Price (GBP)</t>
  </si>
  <si>
    <t>Pressure (Bar)</t>
  </si>
  <si>
    <t>Flow (L/min)</t>
  </si>
  <si>
    <t>Flow (m3/h)</t>
  </si>
  <si>
    <t>Capacity</t>
  </si>
  <si>
    <t>Price USD</t>
  </si>
  <si>
    <t>kPa</t>
  </si>
  <si>
    <t>Hydracell MT08</t>
  </si>
  <si>
    <t>Hydracell M3S</t>
  </si>
  <si>
    <t>Cat 35 Frame 35PFR Plunger Pump (no motor)</t>
  </si>
  <si>
    <t>Cat 4 Frame 4FR Piston Pump (no motor)</t>
  </si>
  <si>
    <t>Cat 10 Frame 10PFR Piston Pump</t>
  </si>
  <si>
    <t>Cat 5 Frame 5PFRS Plunger Pump</t>
  </si>
  <si>
    <t>Cat 2SF10SEEL</t>
  </si>
  <si>
    <t>Danfoss APP0.6 Pump</t>
  </si>
  <si>
    <t>Eldex 3HM Piston Metering Pump, 1/4" Stainless Steel Head, 750 psi; 0.04 to 80 mL/min range</t>
  </si>
  <si>
    <t>LEWA ecosmart® Diaphragm Metering Pump Basic Model 1</t>
  </si>
  <si>
    <t>Cat 25 Frame 25PFR Plunger Pump</t>
  </si>
  <si>
    <t>Cat 60 Frame 60PFR Piston Pump</t>
  </si>
  <si>
    <t>Diaphragm</t>
  </si>
  <si>
    <t>Plunger</t>
  </si>
  <si>
    <t>Piston</t>
  </si>
  <si>
    <t xml:space="preserve">Plunger </t>
  </si>
  <si>
    <t>ARRANGED BY TYPE</t>
  </si>
  <si>
    <t>Pumping Energy and Membrane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</si>
</sst>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_ ;[Red]\-[$$-409]#,##0.00\ "/>
    <numFmt numFmtId="169" formatCode="0.000"/>
  </numFmts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i/>
      <vertAlign val="superscript"/>
      <sz val="12"/>
      <color theme="1"/>
      <name val="Arial"/>
      <family val="2"/>
    </font>
    <font>
      <u/>
      <sz val="11"/>
      <color theme="10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Times New Roman"/>
      <family val="1"/>
    </font>
    <font>
      <b/>
      <sz val="20"/>
      <color theme="1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0" fillId="0" borderId="4" xfId="0" applyBorder="1"/>
    <xf numFmtId="45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45" fontId="0" fillId="0" borderId="7" xfId="0" applyNumberFormat="1" applyBorder="1"/>
    <xf numFmtId="0" fontId="0" fillId="0" borderId="8" xfId="0" applyBorder="1"/>
    <xf numFmtId="21" fontId="0" fillId="0" borderId="0" xfId="0" applyNumberFormat="1"/>
    <xf numFmtId="21" fontId="0" fillId="0" borderId="7" xfId="0" applyNumberFormat="1" applyBorder="1"/>
    <xf numFmtId="0" fontId="0" fillId="0" borderId="2" xfId="0" applyBorder="1"/>
    <xf numFmtId="2" fontId="0" fillId="0" borderId="0" xfId="0" applyNumberFormat="1"/>
    <xf numFmtId="0" fontId="3" fillId="0" borderId="2" xfId="0" applyFont="1" applyBorder="1" applyAlignment="1">
      <alignment horizontal="center"/>
    </xf>
    <xf numFmtId="21" fontId="0" fillId="0" borderId="4" xfId="0" applyNumberFormat="1" applyBorder="1"/>
    <xf numFmtId="21" fontId="5" fillId="0" borderId="4" xfId="1" applyNumberFormat="1" applyBorder="1"/>
    <xf numFmtId="21" fontId="0" fillId="0" borderId="6" xfId="0" applyNumberFormat="1" applyBorder="1"/>
    <xf numFmtId="0" fontId="0" fillId="0" borderId="1" xfId="0" applyBorder="1"/>
    <xf numFmtId="0" fontId="0" fillId="0" borderId="3" xfId="0" applyBorder="1"/>
    <xf numFmtId="0" fontId="6" fillId="0" borderId="2" xfId="0" applyFont="1" applyBorder="1"/>
    <xf numFmtId="0" fontId="6" fillId="0" borderId="3" xfId="0" applyFont="1" applyBorder="1"/>
    <xf numFmtId="2" fontId="0" fillId="0" borderId="7" xfId="0" applyNumberFormat="1" applyBorder="1"/>
    <xf numFmtId="0" fontId="6" fillId="0" borderId="9" xfId="0" applyFont="1" applyBorder="1"/>
    <xf numFmtId="0" fontId="6" fillId="0" borderId="13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8" fillId="0" borderId="0" xfId="0" applyFont="1"/>
    <xf numFmtId="0" fontId="9" fillId="0" borderId="23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0" xfId="0" applyFont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0" fontId="0" fillId="0" borderId="5" xfId="0" applyNumberFormat="1" applyBorder="1" applyAlignment="1">
      <alignment vertical="center"/>
    </xf>
    <xf numFmtId="49" fontId="0" fillId="0" borderId="27" xfId="0" applyNumberForma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7" xfId="0" applyBorder="1"/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8" xfId="0" applyBorder="1"/>
    <xf numFmtId="10" fontId="0" fillId="0" borderId="0" xfId="0" applyNumberFormat="1"/>
    <xf numFmtId="0" fontId="0" fillId="0" borderId="24" xfId="0" applyBorder="1"/>
    <xf numFmtId="164" fontId="0" fillId="0" borderId="20" xfId="0" applyNumberFormat="1" applyBorder="1"/>
    <xf numFmtId="165" fontId="0" fillId="0" borderId="20" xfId="0" applyNumberFormat="1" applyBorder="1"/>
    <xf numFmtId="165" fontId="0" fillId="0" borderId="0" xfId="0" applyNumberFormat="1"/>
    <xf numFmtId="165" fontId="0" fillId="0" borderId="5" xfId="0" applyNumberFormat="1" applyBorder="1"/>
    <xf numFmtId="165" fontId="0" fillId="0" borderId="8" xfId="0" applyNumberForma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2" borderId="2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justify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1" fontId="0" fillId="0" borderId="4" xfId="0" applyNumberFormat="1" applyBorder="1"/>
    <xf numFmtId="11" fontId="0" fillId="0" borderId="0" xfId="0" applyNumberFormat="1" applyBorder="1"/>
    <xf numFmtId="1" fontId="0" fillId="0" borderId="0" xfId="0" applyNumberFormat="1" applyBorder="1"/>
    <xf numFmtId="169" fontId="0" fillId="0" borderId="5" xfId="0" applyNumberFormat="1" applyBorder="1"/>
    <xf numFmtId="1" fontId="0" fillId="0" borderId="6" xfId="0" applyNumberFormat="1" applyBorder="1"/>
    <xf numFmtId="11" fontId="0" fillId="0" borderId="7" xfId="0" applyNumberFormat="1" applyBorder="1"/>
    <xf numFmtId="1" fontId="0" fillId="0" borderId="7" xfId="0" applyNumberFormat="1" applyBorder="1"/>
    <xf numFmtId="169" fontId="0" fillId="0" borderId="8" xfId="0" applyNumberFormat="1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0" xfId="0" applyNumberFormat="1" applyBorder="1"/>
    <xf numFmtId="165" fontId="0" fillId="0" borderId="15" xfId="0" applyNumberFormat="1" applyBorder="1"/>
    <xf numFmtId="0" fontId="0" fillId="0" borderId="16" xfId="0" applyBorder="1" applyAlignment="1">
      <alignment horizontal="center" textRotation="90" wrapText="1"/>
    </xf>
    <xf numFmtId="165" fontId="0" fillId="0" borderId="17" xfId="0" applyNumberFormat="1" applyBorder="1"/>
    <xf numFmtId="165" fontId="0" fillId="0" borderId="18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10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3.xml"/><Relationship Id="rId1" Type="http://schemas.microsoft.com/office/2011/relationships/chartStyle" Target="style13.xml"/><Relationship Id="rId4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5.xml"/><Relationship Id="rId1" Type="http://schemas.microsoft.com/office/2011/relationships/chartStyle" Target="style15.xml"/><Relationship Id="rId4" Type="http://schemas.openxmlformats.org/officeDocument/2006/relationships/chartUserShapes" Target="../drawings/drawing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30 Bar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'Figure 3'!$D$10:$D$26</c:f>
              <c:numCache>
                <c:formatCode>General</c:formatCode>
                <c:ptCount val="17"/>
                <c:pt idx="0">
                  <c:v>237</c:v>
                </c:pt>
                <c:pt idx="1">
                  <c:v>353</c:v>
                </c:pt>
                <c:pt idx="2">
                  <c:v>470</c:v>
                </c:pt>
                <c:pt idx="3">
                  <c:v>584</c:v>
                </c:pt>
                <c:pt idx="4">
                  <c:v>700</c:v>
                </c:pt>
                <c:pt idx="5">
                  <c:v>816</c:v>
                </c:pt>
                <c:pt idx="6">
                  <c:v>936</c:v>
                </c:pt>
                <c:pt idx="7">
                  <c:v>1061</c:v>
                </c:pt>
                <c:pt idx="8">
                  <c:v>1185</c:v>
                </c:pt>
                <c:pt idx="9">
                  <c:v>1310</c:v>
                </c:pt>
                <c:pt idx="10">
                  <c:v>1437</c:v>
                </c:pt>
                <c:pt idx="11">
                  <c:v>1571</c:v>
                </c:pt>
                <c:pt idx="12">
                  <c:v>1709</c:v>
                </c:pt>
                <c:pt idx="13">
                  <c:v>1855</c:v>
                </c:pt>
                <c:pt idx="14">
                  <c:v>2014</c:v>
                </c:pt>
                <c:pt idx="15">
                  <c:v>2190</c:v>
                </c:pt>
                <c:pt idx="16">
                  <c:v>2400</c:v>
                </c:pt>
              </c:numCache>
            </c:numRef>
          </c:xVal>
          <c:yVal>
            <c:numRef>
              <c:f>'Figure 3'!$M$10:$M$26</c:f>
              <c:numCache>
                <c:formatCode>General</c:formatCode>
                <c:ptCount val="17"/>
                <c:pt idx="0">
                  <c:v>8.695652173913043</c:v>
                </c:pt>
                <c:pt idx="1">
                  <c:v>8.6206896551724146</c:v>
                </c:pt>
                <c:pt idx="2">
                  <c:v>8.5470085470085468</c:v>
                </c:pt>
                <c:pt idx="3">
                  <c:v>8.7719298245614059</c:v>
                </c:pt>
                <c:pt idx="4">
                  <c:v>8.6206896551724146</c:v>
                </c:pt>
                <c:pt idx="5">
                  <c:v>8.6206896551724146</c:v>
                </c:pt>
                <c:pt idx="6">
                  <c:v>8.3333333333333357</c:v>
                </c:pt>
                <c:pt idx="7">
                  <c:v>8</c:v>
                </c:pt>
                <c:pt idx="8">
                  <c:v>8.064516129032258</c:v>
                </c:pt>
                <c:pt idx="9">
                  <c:v>8</c:v>
                </c:pt>
                <c:pt idx="10">
                  <c:v>7.8740157480314963</c:v>
                </c:pt>
                <c:pt idx="11">
                  <c:v>7.4626865671641793</c:v>
                </c:pt>
                <c:pt idx="12">
                  <c:v>7.2463768115942031</c:v>
                </c:pt>
                <c:pt idx="13">
                  <c:v>6.8493150684931505</c:v>
                </c:pt>
                <c:pt idx="14">
                  <c:v>6.2893081761006293</c:v>
                </c:pt>
                <c:pt idx="15">
                  <c:v>5.6818181818181808</c:v>
                </c:pt>
                <c:pt idx="16">
                  <c:v>4.7619047619047619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2D-40FF-8905-156F90205283}"/>
            </c:ext>
          </c:extLst>
        </c:ser>
        <c:ser>
          <c:idx val="2"/>
          <c:order val="1"/>
          <c:tx>
            <c:v>20 Bar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'Figure 3'!$D$38:$D$54</c:f>
              <c:numCache>
                <c:formatCode>General</c:formatCode>
                <c:ptCount val="17"/>
                <c:pt idx="0">
                  <c:v>376</c:v>
                </c:pt>
                <c:pt idx="1">
                  <c:v>559</c:v>
                </c:pt>
                <c:pt idx="2">
                  <c:v>744</c:v>
                </c:pt>
                <c:pt idx="3">
                  <c:v>932</c:v>
                </c:pt>
                <c:pt idx="4">
                  <c:v>1120</c:v>
                </c:pt>
                <c:pt idx="5">
                  <c:v>1310</c:v>
                </c:pt>
                <c:pt idx="6">
                  <c:v>1507</c:v>
                </c:pt>
                <c:pt idx="7">
                  <c:v>1705</c:v>
                </c:pt>
                <c:pt idx="8">
                  <c:v>1910</c:v>
                </c:pt>
                <c:pt idx="9">
                  <c:v>2122</c:v>
                </c:pt>
                <c:pt idx="10">
                  <c:v>2343</c:v>
                </c:pt>
                <c:pt idx="11">
                  <c:v>2575</c:v>
                </c:pt>
                <c:pt idx="12">
                  <c:v>2823</c:v>
                </c:pt>
                <c:pt idx="13">
                  <c:v>3090</c:v>
                </c:pt>
                <c:pt idx="14">
                  <c:v>3400</c:v>
                </c:pt>
                <c:pt idx="15">
                  <c:v>3762</c:v>
                </c:pt>
                <c:pt idx="16">
                  <c:v>4268</c:v>
                </c:pt>
              </c:numCache>
            </c:numRef>
          </c:xVal>
          <c:yVal>
            <c:numRef>
              <c:f>'Figure 3'!$M$38:$M$54</c:f>
              <c:numCache>
                <c:formatCode>General</c:formatCode>
                <c:ptCount val="17"/>
                <c:pt idx="0">
                  <c:v>5.2631578947368416</c:v>
                </c:pt>
                <c:pt idx="1">
                  <c:v>5.4644808743169406</c:v>
                </c:pt>
                <c:pt idx="2">
                  <c:v>5.4054054054054061</c:v>
                </c:pt>
                <c:pt idx="3">
                  <c:v>5.3191489361702127</c:v>
                </c:pt>
                <c:pt idx="4">
                  <c:v>5.3191489361702127</c:v>
                </c:pt>
                <c:pt idx="5">
                  <c:v>5.2631578947368416</c:v>
                </c:pt>
                <c:pt idx="6">
                  <c:v>5.0761421319796964</c:v>
                </c:pt>
                <c:pt idx="7">
                  <c:v>5.0505050505050493</c:v>
                </c:pt>
                <c:pt idx="8">
                  <c:v>4.8780487804878048</c:v>
                </c:pt>
                <c:pt idx="9">
                  <c:v>4.716981132075472</c:v>
                </c:pt>
                <c:pt idx="10">
                  <c:v>4.5248868778280542</c:v>
                </c:pt>
                <c:pt idx="11">
                  <c:v>4.3103448275862073</c:v>
                </c:pt>
                <c:pt idx="12">
                  <c:v>4.032258064516129</c:v>
                </c:pt>
                <c:pt idx="13">
                  <c:v>3.7453183520599249</c:v>
                </c:pt>
                <c:pt idx="14">
                  <c:v>3.2258064516129035</c:v>
                </c:pt>
                <c:pt idx="15">
                  <c:v>2.7624309392265189</c:v>
                </c:pt>
                <c:pt idx="16">
                  <c:v>1.9762845849802371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2D-40FF-8905-156F90205283}"/>
            </c:ext>
          </c:extLst>
        </c:ser>
        <c:ser>
          <c:idx val="0"/>
          <c:order val="2"/>
          <c:tx>
            <c:v>10 Bar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'Figure 3'!$D$66:$D$82</c:f>
              <c:numCache>
                <c:formatCode>General</c:formatCode>
                <c:ptCount val="17"/>
                <c:pt idx="0">
                  <c:v>814</c:v>
                </c:pt>
                <c:pt idx="1">
                  <c:v>1219</c:v>
                </c:pt>
                <c:pt idx="2">
                  <c:v>1632</c:v>
                </c:pt>
                <c:pt idx="3">
                  <c:v>2053</c:v>
                </c:pt>
                <c:pt idx="4">
                  <c:v>2489</c:v>
                </c:pt>
                <c:pt idx="5">
                  <c:v>2926</c:v>
                </c:pt>
                <c:pt idx="6">
                  <c:v>3385</c:v>
                </c:pt>
                <c:pt idx="7">
                  <c:v>3851</c:v>
                </c:pt>
                <c:pt idx="8">
                  <c:v>4342</c:v>
                </c:pt>
                <c:pt idx="9">
                  <c:v>4865</c:v>
                </c:pt>
                <c:pt idx="10">
                  <c:v>5420</c:v>
                </c:pt>
                <c:pt idx="11">
                  <c:v>6024</c:v>
                </c:pt>
                <c:pt idx="12">
                  <c:v>6720</c:v>
                </c:pt>
                <c:pt idx="13">
                  <c:v>7535</c:v>
                </c:pt>
                <c:pt idx="14">
                  <c:v>8631</c:v>
                </c:pt>
                <c:pt idx="15">
                  <c:v>10317</c:v>
                </c:pt>
                <c:pt idx="16">
                  <c:v>12112</c:v>
                </c:pt>
              </c:numCache>
            </c:numRef>
          </c:xVal>
          <c:yVal>
            <c:numRef>
              <c:f>'Figure 3'!$M$66:$M$82</c:f>
              <c:numCache>
                <c:formatCode>General</c:formatCode>
                <c:ptCount val="17"/>
                <c:pt idx="0">
                  <c:v>2.4213075060532687</c:v>
                </c:pt>
                <c:pt idx="1">
                  <c:v>2.4691358024691357</c:v>
                </c:pt>
                <c:pt idx="2">
                  <c:v>2.4213075060532687</c:v>
                </c:pt>
                <c:pt idx="3">
                  <c:v>2.3752969121140137</c:v>
                </c:pt>
                <c:pt idx="4">
                  <c:v>2.2935779816513762</c:v>
                </c:pt>
                <c:pt idx="5">
                  <c:v>2.2883295194508015</c:v>
                </c:pt>
                <c:pt idx="6">
                  <c:v>2.1786492374727664</c:v>
                </c:pt>
                <c:pt idx="7">
                  <c:v>2.1459227467811157</c:v>
                </c:pt>
                <c:pt idx="8">
                  <c:v>2.0366598778004072</c:v>
                </c:pt>
                <c:pt idx="9">
                  <c:v>1.9120458891013383</c:v>
                </c:pt>
                <c:pt idx="10">
                  <c:v>1.8018018018018018</c:v>
                </c:pt>
                <c:pt idx="11">
                  <c:v>1.6556291390728477</c:v>
                </c:pt>
                <c:pt idx="12">
                  <c:v>1.4367816091954022</c:v>
                </c:pt>
                <c:pt idx="13">
                  <c:v>1.2269938650306749</c:v>
                </c:pt>
                <c:pt idx="14">
                  <c:v>0.9124087591240877</c:v>
                </c:pt>
                <c:pt idx="15">
                  <c:v>0.59311981020166082</c:v>
                </c:pt>
                <c:pt idx="16">
                  <c:v>0.33426183844011143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2D-40FF-8905-156F90205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369039"/>
        <c:axId val="1365370287"/>
      </c:scatterChart>
      <c:valAx>
        <c:axId val="1365369039"/>
        <c:scaling>
          <c:orientation val="minMax"/>
          <c:max val="15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70287"/>
        <c:crosses val="autoZero"/>
        <c:crossBetween val="midCat"/>
        <c:majorUnit val="5000"/>
      </c:valAx>
      <c:valAx>
        <c:axId val="1365370287"/>
        <c:scaling>
          <c:orientation val="minMax"/>
          <c:max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Product Recovery per pass (r,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69039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tr"/>
      <c:layout>
        <c:manualLayout>
          <c:xMode val="edge"/>
          <c:yMode val="edge"/>
          <c:x val="0.61533215071059433"/>
          <c:y val="0.15005355257693345"/>
          <c:w val="0.24496700503495786"/>
          <c:h val="0.2103570624713111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30951281552769"/>
          <c:y val="4.0757405324334459E-2"/>
          <c:w val="0.79371536891221928"/>
          <c:h val="0.78590670957796938"/>
        </c:manualLayout>
      </c:layout>
      <c:scatterChart>
        <c:scatterStyle val="lineMarker"/>
        <c:varyColors val="0"/>
        <c:ser>
          <c:idx val="0"/>
          <c:order val="0"/>
          <c:tx>
            <c:v>Real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x"/>
            <c:size val="8"/>
            <c:spPr>
              <a:noFill/>
              <a:ln w="1587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6'!$B$10:$B$27</c:f>
              <c:numCache>
                <c:formatCode>General</c:formatCode>
                <c:ptCount val="18"/>
                <c:pt idx="0">
                  <c:v>4.9940663176265279</c:v>
                </c:pt>
                <c:pt idx="1">
                  <c:v>9.9888307155322895</c:v>
                </c:pt>
                <c:pt idx="2">
                  <c:v>15.04083769633508</c:v>
                </c:pt>
                <c:pt idx="3">
                  <c:v>20.11972076788831</c:v>
                </c:pt>
                <c:pt idx="4">
                  <c:v>25.169284467713794</c:v>
                </c:pt>
                <c:pt idx="5">
                  <c:v>30.075392670157076</c:v>
                </c:pt>
                <c:pt idx="6">
                  <c:v>35.175567190226886</c:v>
                </c:pt>
                <c:pt idx="7">
                  <c:v>40.344153577661444</c:v>
                </c:pt>
                <c:pt idx="8">
                  <c:v>45.529144851657946</c:v>
                </c:pt>
                <c:pt idx="9">
                  <c:v>50.643280977312401</c:v>
                </c:pt>
                <c:pt idx="10">
                  <c:v>55.5692844677138</c:v>
                </c:pt>
                <c:pt idx="11">
                  <c:v>60.547643979057611</c:v>
                </c:pt>
                <c:pt idx="12">
                  <c:v>65.53263525305411</c:v>
                </c:pt>
                <c:pt idx="13">
                  <c:v>70.568237347294954</c:v>
                </c:pt>
                <c:pt idx="14">
                  <c:v>75.65654450261782</c:v>
                </c:pt>
                <c:pt idx="15">
                  <c:v>80.690052356020956</c:v>
                </c:pt>
                <c:pt idx="16">
                  <c:v>85.960558464223396</c:v>
                </c:pt>
                <c:pt idx="17">
                  <c:v>91.352879581151853</c:v>
                </c:pt>
              </c:numCache>
            </c:numRef>
          </c:xVal>
          <c:yVal>
            <c:numRef>
              <c:f>'Figure 6'!$N$10:$N$27</c:f>
              <c:numCache>
                <c:formatCode>General</c:formatCode>
                <c:ptCount val="18"/>
                <c:pt idx="0">
                  <c:v>71</c:v>
                </c:pt>
                <c:pt idx="1">
                  <c:v>79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71</c:v>
                </c:pt>
                <c:pt idx="6">
                  <c:v>87</c:v>
                </c:pt>
                <c:pt idx="7">
                  <c:v>68</c:v>
                </c:pt>
                <c:pt idx="8">
                  <c:v>80</c:v>
                </c:pt>
                <c:pt idx="9">
                  <c:v>73</c:v>
                </c:pt>
                <c:pt idx="10">
                  <c:v>76</c:v>
                </c:pt>
                <c:pt idx="11">
                  <c:v>82</c:v>
                </c:pt>
                <c:pt idx="12">
                  <c:v>86</c:v>
                </c:pt>
                <c:pt idx="13">
                  <c:v>81</c:v>
                </c:pt>
                <c:pt idx="14">
                  <c:v>86</c:v>
                </c:pt>
                <c:pt idx="15">
                  <c:v>111</c:v>
                </c:pt>
                <c:pt idx="16">
                  <c:v>141</c:v>
                </c:pt>
                <c:pt idx="17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4B-442E-899E-7B93964B475C}"/>
            </c:ext>
          </c:extLst>
        </c:ser>
        <c:ser>
          <c:idx val="2"/>
          <c:order val="1"/>
          <c:tx>
            <c:v>ISO COD B</c:v>
          </c:tx>
          <c:spPr>
            <a:ln w="2222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6'!$O$42:$O$63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'Figure 6'!$S$42:$S$63</c:f>
              <c:numCache>
                <c:formatCode>General</c:formatCode>
                <c:ptCount val="22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4B-442E-899E-7B93964B475C}"/>
            </c:ext>
          </c:extLst>
        </c:ser>
        <c:ser>
          <c:idx val="1"/>
          <c:order val="2"/>
          <c:tx>
            <c:v>ISO COD A</c:v>
          </c:tx>
          <c:spPr>
            <a:ln w="2222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6'!$O$42:$O$63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'Figure 6'!$R$42:$R$63</c:f>
              <c:numCache>
                <c:formatCode>General</c:formatCode>
                <c:ptCount val="2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74B-442E-899E-7B93964B475C}"/>
            </c:ext>
          </c:extLst>
        </c:ser>
        <c:ser>
          <c:idx val="3"/>
          <c:order val="3"/>
          <c:tx>
            <c:v>Synthetic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6'!$Z$16:$Z$34</c:f>
              <c:numCache>
                <c:formatCode>General</c:formatCode>
                <c:ptCount val="1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55.000000000000007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</c:numCache>
            </c:numRef>
          </c:xVal>
          <c:yVal>
            <c:numRef>
              <c:f>'Figure 6'!$AL$16:$AL$34</c:f>
              <c:numCache>
                <c:formatCode>General</c:formatCode>
                <c:ptCount val="19"/>
                <c:pt idx="0">
                  <c:v>73</c:v>
                </c:pt>
                <c:pt idx="1">
                  <c:v>62</c:v>
                </c:pt>
                <c:pt idx="2">
                  <c:v>65</c:v>
                </c:pt>
                <c:pt idx="3">
                  <c:v>68</c:v>
                </c:pt>
                <c:pt idx="4">
                  <c:v>78</c:v>
                </c:pt>
                <c:pt idx="5">
                  <c:v>82</c:v>
                </c:pt>
                <c:pt idx="6">
                  <c:v>70</c:v>
                </c:pt>
                <c:pt idx="7">
                  <c:v>68</c:v>
                </c:pt>
                <c:pt idx="8">
                  <c:v>95</c:v>
                </c:pt>
                <c:pt idx="9">
                  <c:v>84</c:v>
                </c:pt>
                <c:pt idx="10">
                  <c:v>90</c:v>
                </c:pt>
                <c:pt idx="11">
                  <c:v>92</c:v>
                </c:pt>
                <c:pt idx="12">
                  <c:v>97</c:v>
                </c:pt>
                <c:pt idx="13">
                  <c:v>110</c:v>
                </c:pt>
                <c:pt idx="14">
                  <c:v>109</c:v>
                </c:pt>
                <c:pt idx="15">
                  <c:v>115</c:v>
                </c:pt>
                <c:pt idx="16">
                  <c:v>149</c:v>
                </c:pt>
                <c:pt idx="17">
                  <c:v>223</c:v>
                </c:pt>
                <c:pt idx="18">
                  <c:v>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C81-4B4F-A5FA-9FF0A6714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541168"/>
        <c:axId val="877544776"/>
      </c:scatterChart>
      <c:valAx>
        <c:axId val="87754116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Recovery Ratio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GB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544776"/>
        <c:crosses val="autoZero"/>
        <c:crossBetween val="midCat"/>
      </c:valAx>
      <c:valAx>
        <c:axId val="877544776"/>
        <c:scaling>
          <c:orientation val="minMax"/>
          <c:max val="3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COD (mg L</a:t>
                </a:r>
                <a:r>
                  <a:rPr lang="en-GB" sz="1200" b="1" i="0" u="none" strike="noStrike" kern="1200" baseline="3000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-1</a:t>
                </a: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541168"/>
        <c:crosses val="autoZero"/>
        <c:crossBetween val="midCat"/>
      </c:valAx>
      <c:spPr>
        <a:noFill/>
        <a:ln w="22225">
          <a:solidFill>
            <a:sysClr val="windowText" lastClr="000000"/>
          </a:solidFill>
        </a:ln>
        <a:effectLst/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8454157350701536"/>
          <c:y val="5.3984397783610381E-2"/>
          <c:w val="0.20689381419915104"/>
          <c:h val="0.14359298837645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NH4-N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x"/>
            <c:size val="8"/>
            <c:spPr>
              <a:noFill/>
              <a:ln w="222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6'!$B$10:$B$27</c:f>
              <c:numCache>
                <c:formatCode>General</c:formatCode>
                <c:ptCount val="18"/>
                <c:pt idx="0">
                  <c:v>4.9940663176265279</c:v>
                </c:pt>
                <c:pt idx="1">
                  <c:v>9.9888307155322895</c:v>
                </c:pt>
                <c:pt idx="2">
                  <c:v>15.04083769633508</c:v>
                </c:pt>
                <c:pt idx="3">
                  <c:v>20.11972076788831</c:v>
                </c:pt>
                <c:pt idx="4">
                  <c:v>25.169284467713794</c:v>
                </c:pt>
                <c:pt idx="5">
                  <c:v>30.075392670157076</c:v>
                </c:pt>
                <c:pt idx="6">
                  <c:v>35.175567190226886</c:v>
                </c:pt>
                <c:pt idx="7">
                  <c:v>40.344153577661444</c:v>
                </c:pt>
                <c:pt idx="8">
                  <c:v>45.529144851657946</c:v>
                </c:pt>
                <c:pt idx="9">
                  <c:v>50.643280977312401</c:v>
                </c:pt>
                <c:pt idx="10">
                  <c:v>55.5692844677138</c:v>
                </c:pt>
                <c:pt idx="11">
                  <c:v>60.547643979057611</c:v>
                </c:pt>
                <c:pt idx="12">
                  <c:v>65.53263525305411</c:v>
                </c:pt>
                <c:pt idx="13">
                  <c:v>70.568237347294954</c:v>
                </c:pt>
                <c:pt idx="14">
                  <c:v>75.65654450261782</c:v>
                </c:pt>
                <c:pt idx="15">
                  <c:v>80.690052356020956</c:v>
                </c:pt>
                <c:pt idx="16">
                  <c:v>85.960558464223396</c:v>
                </c:pt>
                <c:pt idx="17">
                  <c:v>91.352879581151853</c:v>
                </c:pt>
              </c:numCache>
            </c:numRef>
          </c:xVal>
          <c:yVal>
            <c:numRef>
              <c:f>'Figure 6'!$O$10:$O$27</c:f>
              <c:numCache>
                <c:formatCode>General</c:formatCode>
                <c:ptCount val="18"/>
                <c:pt idx="0">
                  <c:v>10.8</c:v>
                </c:pt>
                <c:pt idx="1">
                  <c:v>8.8000000000000007</c:v>
                </c:pt>
                <c:pt idx="2">
                  <c:v>9.1999999999999993</c:v>
                </c:pt>
                <c:pt idx="3">
                  <c:v>8.6999999999999993</c:v>
                </c:pt>
                <c:pt idx="4">
                  <c:v>8.6999999999999993</c:v>
                </c:pt>
                <c:pt idx="5">
                  <c:v>9.9</c:v>
                </c:pt>
                <c:pt idx="6">
                  <c:v>10</c:v>
                </c:pt>
                <c:pt idx="7">
                  <c:v>9.5</c:v>
                </c:pt>
                <c:pt idx="8">
                  <c:v>9.6999999999999993</c:v>
                </c:pt>
                <c:pt idx="9">
                  <c:v>8.8000000000000007</c:v>
                </c:pt>
                <c:pt idx="10">
                  <c:v>7.4</c:v>
                </c:pt>
                <c:pt idx="11">
                  <c:v>10.1</c:v>
                </c:pt>
                <c:pt idx="12">
                  <c:v>11</c:v>
                </c:pt>
                <c:pt idx="13">
                  <c:v>12.4</c:v>
                </c:pt>
                <c:pt idx="14">
                  <c:v>12.6</c:v>
                </c:pt>
                <c:pt idx="15">
                  <c:v>16.8</c:v>
                </c:pt>
                <c:pt idx="16">
                  <c:v>26.9</c:v>
                </c:pt>
                <c:pt idx="17">
                  <c:v>38.799999999999997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AE-4B19-95F4-1675CB20DA5D}"/>
            </c:ext>
          </c:extLst>
        </c:ser>
        <c:ser>
          <c:idx val="0"/>
          <c:order val="1"/>
          <c:tx>
            <c:v>Feed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('[3]18-Nov-2020 30Bar Synth Flush'!$O$10,'[3]18-Nov-2020 30Bar Synth Flush'!$O$30)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'Figure 6'!$I$4</c:f>
              <c:numCache>
                <c:formatCode>General</c:formatCode>
                <c:ptCount val="1"/>
                <c:pt idx="0">
                  <c:v>147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AE-4B19-95F4-1675CB20DA5D}"/>
            </c:ext>
          </c:extLst>
        </c:ser>
        <c:ser>
          <c:idx val="2"/>
          <c:order val="2"/>
          <c:tx>
            <c:v>Retentate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100</c:v>
              </c:pt>
            </c:numLit>
          </c:xVal>
          <c:yVal>
            <c:numRef>
              <c:f>'Figure 6'!$J$4</c:f>
              <c:numCache>
                <c:formatCode>General</c:formatCode>
                <c:ptCount val="1"/>
                <c:pt idx="0">
                  <c:v>560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AE-4B19-95F4-1675CB20D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541168"/>
        <c:axId val="877544776"/>
      </c:scatterChart>
      <c:valAx>
        <c:axId val="87754116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Recovery Ratio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US"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544776"/>
        <c:crosses val="autoZero"/>
        <c:crossBetween val="midCat"/>
      </c:valAx>
      <c:valAx>
        <c:axId val="877544776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NH4-N (mg L</a:t>
                </a:r>
                <a:r>
                  <a:rPr lang="en-GB" sz="1400" baseline="30000"/>
                  <a:t>-1</a:t>
                </a:r>
                <a:r>
                  <a:rPr lang="en-GB" sz="1400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541168"/>
        <c:crosses val="autoZero"/>
        <c:crossBetween val="midCat"/>
      </c:valAx>
      <c:spPr>
        <a:noFill/>
        <a:ln w="2222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 rtl="0">
        <a:defRPr lang="en-US" sz="1200" b="1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68833641165224"/>
          <c:y val="3.8931609274163559E-2"/>
          <c:w val="0.80656269239493217"/>
          <c:h val="0.78779004767709404"/>
        </c:manualLayout>
      </c:layout>
      <c:scatterChart>
        <c:scatterStyle val="lineMarker"/>
        <c:varyColors val="0"/>
        <c:ser>
          <c:idx val="0"/>
          <c:order val="0"/>
          <c:tx>
            <c:v>pH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bg1"/>
              </a:solidFill>
              <a:ln w="222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6'!$B$10:$B$27</c:f>
              <c:numCache>
                <c:formatCode>General</c:formatCode>
                <c:ptCount val="18"/>
                <c:pt idx="0">
                  <c:v>4.9940663176265279</c:v>
                </c:pt>
                <c:pt idx="1">
                  <c:v>9.9888307155322895</c:v>
                </c:pt>
                <c:pt idx="2">
                  <c:v>15.04083769633508</c:v>
                </c:pt>
                <c:pt idx="3">
                  <c:v>20.11972076788831</c:v>
                </c:pt>
                <c:pt idx="4">
                  <c:v>25.169284467713794</c:v>
                </c:pt>
                <c:pt idx="5">
                  <c:v>30.075392670157076</c:v>
                </c:pt>
                <c:pt idx="6">
                  <c:v>35.175567190226886</c:v>
                </c:pt>
                <c:pt idx="7">
                  <c:v>40.344153577661444</c:v>
                </c:pt>
                <c:pt idx="8">
                  <c:v>45.529144851657946</c:v>
                </c:pt>
                <c:pt idx="9">
                  <c:v>50.643280977312401</c:v>
                </c:pt>
                <c:pt idx="10">
                  <c:v>55.5692844677138</c:v>
                </c:pt>
                <c:pt idx="11">
                  <c:v>60.547643979057611</c:v>
                </c:pt>
                <c:pt idx="12">
                  <c:v>65.53263525305411</c:v>
                </c:pt>
                <c:pt idx="13">
                  <c:v>70.568237347294954</c:v>
                </c:pt>
                <c:pt idx="14">
                  <c:v>75.65654450261782</c:v>
                </c:pt>
                <c:pt idx="15">
                  <c:v>80.690052356020956</c:v>
                </c:pt>
                <c:pt idx="16">
                  <c:v>85.960558464223396</c:v>
                </c:pt>
                <c:pt idx="17">
                  <c:v>91.352879581151853</c:v>
                </c:pt>
              </c:numCache>
            </c:numRef>
          </c:xVal>
          <c:yVal>
            <c:numRef>
              <c:f>'Figure 6'!$T$10:$T$27</c:f>
              <c:numCache>
                <c:formatCode>General</c:formatCode>
                <c:ptCount val="18"/>
                <c:pt idx="0">
                  <c:v>8.51</c:v>
                </c:pt>
                <c:pt idx="1">
                  <c:v>8.6300000000000008</c:v>
                </c:pt>
                <c:pt idx="2">
                  <c:v>8.66</c:v>
                </c:pt>
                <c:pt idx="3">
                  <c:v>8.68</c:v>
                </c:pt>
                <c:pt idx="4">
                  <c:v>8.67</c:v>
                </c:pt>
                <c:pt idx="5">
                  <c:v>8.5</c:v>
                </c:pt>
                <c:pt idx="6">
                  <c:v>8.6300000000000008</c:v>
                </c:pt>
                <c:pt idx="7">
                  <c:v>8.6999999999999993</c:v>
                </c:pt>
                <c:pt idx="8">
                  <c:v>8.67</c:v>
                </c:pt>
                <c:pt idx="9">
                  <c:v>8.6999999999999993</c:v>
                </c:pt>
                <c:pt idx="10">
                  <c:v>8.68</c:v>
                </c:pt>
                <c:pt idx="11">
                  <c:v>8.6999999999999993</c:v>
                </c:pt>
                <c:pt idx="12">
                  <c:v>8.75</c:v>
                </c:pt>
                <c:pt idx="13">
                  <c:v>8.7100000000000009</c:v>
                </c:pt>
                <c:pt idx="14">
                  <c:v>8.75</c:v>
                </c:pt>
                <c:pt idx="15">
                  <c:v>8.7899999999999991</c:v>
                </c:pt>
                <c:pt idx="16">
                  <c:v>8.81</c:v>
                </c:pt>
                <c:pt idx="17">
                  <c:v>8.85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3C-498D-B8FA-6439C3CB4E22}"/>
            </c:ext>
          </c:extLst>
        </c:ser>
        <c:ser>
          <c:idx val="1"/>
          <c:order val="1"/>
          <c:tx>
            <c:strRef>
              <c:f>'Figure 6'!$T$41</c:f>
              <c:strCache>
                <c:ptCount val="1"/>
                <c:pt idx="0">
                  <c:v>pH min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6'!$O$42:$O$63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'Figure 6'!$T$42:$T$63</c:f>
              <c:numCache>
                <c:formatCode>General</c:formatCode>
                <c:ptCount val="2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3C-498D-B8FA-6439C3CB4E22}"/>
            </c:ext>
          </c:extLst>
        </c:ser>
        <c:ser>
          <c:idx val="2"/>
          <c:order val="2"/>
          <c:tx>
            <c:strRef>
              <c:f>'Figure 6'!$U$41</c:f>
              <c:strCache>
                <c:ptCount val="1"/>
                <c:pt idx="0">
                  <c:v>phMax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6'!$O$42:$O$63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'Figure 6'!$U$42:$U$63</c:f>
              <c:numCache>
                <c:formatCode>General</c:formatCode>
                <c:ptCount val="2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3C-498D-B8FA-6439C3CB4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541168"/>
        <c:axId val="877544776"/>
      </c:scatterChart>
      <c:valAx>
        <c:axId val="87754116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Recovery Ratio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GB"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544776"/>
        <c:crosses val="autoZero"/>
        <c:crossBetween val="midCat"/>
      </c:valAx>
      <c:valAx>
        <c:axId val="877544776"/>
        <c:scaling>
          <c:orientation val="minMax"/>
          <c:max val="10"/>
          <c:min val="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pH</a:t>
                </a:r>
              </a:p>
            </c:rich>
          </c:tx>
          <c:layout>
            <c:manualLayout>
              <c:xMode val="edge"/>
              <c:yMode val="edge"/>
              <c:x val="2.8871391076115485E-2"/>
              <c:y val="0.41060150239840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541168"/>
        <c:crosses val="autoZero"/>
        <c:crossBetween val="midCat"/>
      </c:valAx>
      <c:spPr>
        <a:noFill/>
        <a:ln w="2222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384379656531826"/>
          <c:y val="4.0838433963150234E-2"/>
          <c:w val="0.8044071762870515"/>
          <c:h val="0.77739625240681898"/>
        </c:manualLayout>
      </c:layout>
      <c:scatterChart>
        <c:scatterStyle val="lineMarker"/>
        <c:varyColors val="0"/>
        <c:ser>
          <c:idx val="1"/>
          <c:order val="0"/>
          <c:tx>
            <c:v>TN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x"/>
            <c:size val="8"/>
            <c:spPr>
              <a:noFill/>
              <a:ln w="222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6'!$B$10:$B$27</c:f>
              <c:numCache>
                <c:formatCode>General</c:formatCode>
                <c:ptCount val="18"/>
                <c:pt idx="0">
                  <c:v>4.9940663176265279</c:v>
                </c:pt>
                <c:pt idx="1">
                  <c:v>9.9888307155322895</c:v>
                </c:pt>
                <c:pt idx="2">
                  <c:v>15.04083769633508</c:v>
                </c:pt>
                <c:pt idx="3">
                  <c:v>20.11972076788831</c:v>
                </c:pt>
                <c:pt idx="4">
                  <c:v>25.169284467713794</c:v>
                </c:pt>
                <c:pt idx="5">
                  <c:v>30.075392670157076</c:v>
                </c:pt>
                <c:pt idx="6">
                  <c:v>35.175567190226886</c:v>
                </c:pt>
                <c:pt idx="7">
                  <c:v>40.344153577661444</c:v>
                </c:pt>
                <c:pt idx="8">
                  <c:v>45.529144851657946</c:v>
                </c:pt>
                <c:pt idx="9">
                  <c:v>50.643280977312401</c:v>
                </c:pt>
                <c:pt idx="10">
                  <c:v>55.5692844677138</c:v>
                </c:pt>
                <c:pt idx="11">
                  <c:v>60.547643979057611</c:v>
                </c:pt>
                <c:pt idx="12">
                  <c:v>65.53263525305411</c:v>
                </c:pt>
                <c:pt idx="13">
                  <c:v>70.568237347294954</c:v>
                </c:pt>
                <c:pt idx="14">
                  <c:v>75.65654450261782</c:v>
                </c:pt>
                <c:pt idx="15">
                  <c:v>80.690052356020956</c:v>
                </c:pt>
                <c:pt idx="16">
                  <c:v>85.960558464223396</c:v>
                </c:pt>
                <c:pt idx="17">
                  <c:v>91.352879581151853</c:v>
                </c:pt>
              </c:numCache>
            </c:numRef>
          </c:xVal>
          <c:yVal>
            <c:numRef>
              <c:f>'Figure 6'!$Q$10:$Q$27</c:f>
              <c:numCache>
                <c:formatCode>General</c:formatCode>
                <c:ptCount val="18"/>
                <c:pt idx="0">
                  <c:v>73.15789473684211</c:v>
                </c:pt>
                <c:pt idx="1">
                  <c:v>75.26315789473685</c:v>
                </c:pt>
                <c:pt idx="2">
                  <c:v>74.73684210526315</c:v>
                </c:pt>
                <c:pt idx="3">
                  <c:v>74.210526315789465</c:v>
                </c:pt>
                <c:pt idx="4">
                  <c:v>74.73684210526315</c:v>
                </c:pt>
                <c:pt idx="5">
                  <c:v>74.210526315789465</c:v>
                </c:pt>
                <c:pt idx="6">
                  <c:v>73.684210526315795</c:v>
                </c:pt>
                <c:pt idx="7">
                  <c:v>73.15789473684211</c:v>
                </c:pt>
                <c:pt idx="8">
                  <c:v>72.10526315789474</c:v>
                </c:pt>
                <c:pt idx="9">
                  <c:v>71.05263157894737</c:v>
                </c:pt>
                <c:pt idx="10">
                  <c:v>70.526315789473685</c:v>
                </c:pt>
                <c:pt idx="11">
                  <c:v>61.05263157894737</c:v>
                </c:pt>
                <c:pt idx="12">
                  <c:v>66.31578947368422</c:v>
                </c:pt>
                <c:pt idx="13">
                  <c:v>65.26315789473685</c:v>
                </c:pt>
                <c:pt idx="14">
                  <c:v>61.578947368421055</c:v>
                </c:pt>
                <c:pt idx="15">
                  <c:v>60</c:v>
                </c:pt>
                <c:pt idx="16">
                  <c:v>63.157894736842103</c:v>
                </c:pt>
                <c:pt idx="17">
                  <c:v>63.684210526315788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BC-43F2-96E9-8A20823C83EC}"/>
            </c:ext>
          </c:extLst>
        </c:ser>
        <c:ser>
          <c:idx val="0"/>
          <c:order val="1"/>
          <c:tx>
            <c:v>Feed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xVal>
          <c:yVal>
            <c:numRef>
              <c:f>'Figure 6'!$I$5</c:f>
              <c:numCache>
                <c:formatCode>General</c:formatCode>
                <c:ptCount val="1"/>
                <c:pt idx="0">
                  <c:v>1900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BC-43F2-96E9-8A20823C83EC}"/>
            </c:ext>
          </c:extLst>
        </c:ser>
        <c:ser>
          <c:idx val="2"/>
          <c:order val="2"/>
          <c:tx>
            <c:v>Retentate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100</c:v>
              </c:pt>
            </c:numLit>
          </c:xVal>
          <c:yVal>
            <c:numRef>
              <c:f>'Figure 6'!$J$5</c:f>
              <c:numCache>
                <c:formatCode>General</c:formatCode>
                <c:ptCount val="1"/>
                <c:pt idx="0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BC-43F2-96E9-8A20823C83EC}"/>
            </c:ext>
          </c:extLst>
        </c:ser>
        <c:ser>
          <c:idx val="3"/>
          <c:order val="3"/>
          <c:tx>
            <c:v>ISO</c:v>
          </c:tx>
          <c:spPr>
            <a:ln w="2222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6'!$O$42:$O$63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'Figure 6'!$P$42:$P$63</c:f>
              <c:numCache>
                <c:formatCode>General</c:formatCode>
                <c:ptCount val="22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BC-43F2-96E9-8A20823C8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541168"/>
        <c:axId val="877544776"/>
      </c:scatterChart>
      <c:valAx>
        <c:axId val="87754116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Recovery Ratio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GB"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544776"/>
        <c:crosses val="autoZero"/>
        <c:crossBetween val="midCat"/>
      </c:valAx>
      <c:valAx>
        <c:axId val="87754477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TN Rejection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541168"/>
        <c:crosses val="autoZero"/>
        <c:crossBetween val="midCat"/>
      </c:valAx>
      <c:spPr>
        <a:noFill/>
        <a:ln w="2222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v>TP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x"/>
            <c:size val="8"/>
            <c:spPr>
              <a:noFill/>
              <a:ln w="19050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6'!$B$10:$B$27</c:f>
              <c:numCache>
                <c:formatCode>General</c:formatCode>
                <c:ptCount val="18"/>
                <c:pt idx="0">
                  <c:v>4.9940663176265279</c:v>
                </c:pt>
                <c:pt idx="1">
                  <c:v>9.9888307155322895</c:v>
                </c:pt>
                <c:pt idx="2">
                  <c:v>15.04083769633508</c:v>
                </c:pt>
                <c:pt idx="3">
                  <c:v>20.11972076788831</c:v>
                </c:pt>
                <c:pt idx="4">
                  <c:v>25.169284467713794</c:v>
                </c:pt>
                <c:pt idx="5">
                  <c:v>30.075392670157076</c:v>
                </c:pt>
                <c:pt idx="6">
                  <c:v>35.175567190226886</c:v>
                </c:pt>
                <c:pt idx="7">
                  <c:v>40.344153577661444</c:v>
                </c:pt>
                <c:pt idx="8">
                  <c:v>45.529144851657946</c:v>
                </c:pt>
                <c:pt idx="9">
                  <c:v>50.643280977312401</c:v>
                </c:pt>
                <c:pt idx="10">
                  <c:v>55.5692844677138</c:v>
                </c:pt>
                <c:pt idx="11">
                  <c:v>60.547643979057611</c:v>
                </c:pt>
                <c:pt idx="12">
                  <c:v>65.53263525305411</c:v>
                </c:pt>
                <c:pt idx="13">
                  <c:v>70.568237347294954</c:v>
                </c:pt>
                <c:pt idx="14">
                  <c:v>75.65654450261782</c:v>
                </c:pt>
                <c:pt idx="15">
                  <c:v>80.690052356020956</c:v>
                </c:pt>
                <c:pt idx="16">
                  <c:v>85.960558464223396</c:v>
                </c:pt>
                <c:pt idx="17">
                  <c:v>91.352879581151853</c:v>
                </c:pt>
              </c:numCache>
            </c:numRef>
          </c:xVal>
          <c:yVal>
            <c:numRef>
              <c:f>'Figure 6'!$S$10:$S$27</c:f>
              <c:numCache>
                <c:formatCode>General</c:formatCode>
                <c:ptCount val="18"/>
                <c:pt idx="0">
                  <c:v>99.89411764705882</c:v>
                </c:pt>
                <c:pt idx="1">
                  <c:v>99.917647058823533</c:v>
                </c:pt>
                <c:pt idx="2">
                  <c:v>99.929411764705875</c:v>
                </c:pt>
                <c:pt idx="3">
                  <c:v>99.917647058823533</c:v>
                </c:pt>
                <c:pt idx="4">
                  <c:v>99.917647058823533</c:v>
                </c:pt>
                <c:pt idx="5">
                  <c:v>99.917647058823533</c:v>
                </c:pt>
                <c:pt idx="6">
                  <c:v>99.89411764705882</c:v>
                </c:pt>
                <c:pt idx="7">
                  <c:v>99.811764705882354</c:v>
                </c:pt>
                <c:pt idx="8">
                  <c:v>99.89411764705882</c:v>
                </c:pt>
                <c:pt idx="9">
                  <c:v>99.82352941176471</c:v>
                </c:pt>
                <c:pt idx="10">
                  <c:v>99.835294117647052</c:v>
                </c:pt>
                <c:pt idx="11">
                  <c:v>99.764705882352942</c:v>
                </c:pt>
                <c:pt idx="12">
                  <c:v>99.647058823529406</c:v>
                </c:pt>
                <c:pt idx="13">
                  <c:v>99.529411764705884</c:v>
                </c:pt>
                <c:pt idx="14">
                  <c:v>99.294117647058826</c:v>
                </c:pt>
                <c:pt idx="15">
                  <c:v>98.588235294117638</c:v>
                </c:pt>
                <c:pt idx="16">
                  <c:v>96.470588235294116</c:v>
                </c:pt>
                <c:pt idx="17">
                  <c:v>96.588235294117638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B0-40E0-AF46-30EA89885D50}"/>
            </c:ext>
          </c:extLst>
        </c:ser>
        <c:ser>
          <c:idx val="0"/>
          <c:order val="1"/>
          <c:tx>
            <c:v>Feed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100</c:v>
              </c:pt>
            </c:numLit>
          </c:xVal>
          <c:yVal>
            <c:numRef>
              <c:f>'Figure 6'!$I$5</c:f>
              <c:numCache>
                <c:formatCode>General</c:formatCode>
                <c:ptCount val="1"/>
                <c:pt idx="0">
                  <c:v>1900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B0-40E0-AF46-30EA89885D50}"/>
            </c:ext>
          </c:extLst>
        </c:ser>
        <c:ser>
          <c:idx val="2"/>
          <c:order val="2"/>
          <c:tx>
            <c:v>Retentate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100</c:v>
              </c:pt>
            </c:numLit>
          </c:xVal>
          <c:yVal>
            <c:numRef>
              <c:f>'Figure 6'!$J$5</c:f>
              <c:numCache>
                <c:formatCode>General</c:formatCode>
                <c:ptCount val="1"/>
                <c:pt idx="0">
                  <c:v>4000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B0-40E0-AF46-30EA89885D50}"/>
            </c:ext>
          </c:extLst>
        </c:ser>
        <c:ser>
          <c:idx val="3"/>
          <c:order val="3"/>
          <c:tx>
            <c:v>ISO</c:v>
          </c:tx>
          <c:spPr>
            <a:ln w="2222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'Figure 6'!$O$42:$O$63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</c:numCache>
            </c:numRef>
          </c:xVal>
          <c:yVal>
            <c:numRef>
              <c:f>'Figure 6'!$Q$42:$Q$63</c:f>
              <c:numCache>
                <c:formatCode>General</c:formatCode>
                <c:ptCount val="2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B0-40E0-AF46-30EA89885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541168"/>
        <c:axId val="877544776"/>
      </c:scatterChart>
      <c:valAx>
        <c:axId val="87754116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Recovery Ratio (%)</a:t>
                </a:r>
              </a:p>
            </c:rich>
          </c:tx>
          <c:layout>
            <c:manualLayout>
              <c:xMode val="edge"/>
              <c:yMode val="edge"/>
              <c:x val="0.41370682252681379"/>
              <c:y val="0.90380291005291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GB"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544776"/>
        <c:crosses val="autoZero"/>
        <c:crossBetween val="midCat"/>
      </c:valAx>
      <c:valAx>
        <c:axId val="87754477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TP Rejection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541168"/>
        <c:crosses val="autoZero"/>
        <c:crossBetween val="midCat"/>
      </c:valAx>
      <c:spPr>
        <a:noFill/>
        <a:ln w="2222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92055889294788"/>
          <c:y val="5.2388082209487701E-2"/>
          <c:w val="0.81290899966476993"/>
          <c:h val="0.77140198845275543"/>
        </c:manualLayout>
      </c:layout>
      <c:scatterChart>
        <c:scatterStyle val="lineMarker"/>
        <c:varyColors val="0"/>
        <c:ser>
          <c:idx val="1"/>
          <c:order val="0"/>
          <c:tx>
            <c:v>Real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x"/>
            <c:size val="8"/>
            <c:spPr>
              <a:noFill/>
              <a:ln w="19050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6'!$B$10:$B$27</c:f>
              <c:numCache>
                <c:formatCode>General</c:formatCode>
                <c:ptCount val="18"/>
                <c:pt idx="0">
                  <c:v>4.9940663176265279</c:v>
                </c:pt>
                <c:pt idx="1">
                  <c:v>9.9888307155322895</c:v>
                </c:pt>
                <c:pt idx="2">
                  <c:v>15.04083769633508</c:v>
                </c:pt>
                <c:pt idx="3">
                  <c:v>20.11972076788831</c:v>
                </c:pt>
                <c:pt idx="4">
                  <c:v>25.169284467713794</c:v>
                </c:pt>
                <c:pt idx="5">
                  <c:v>30.075392670157076</c:v>
                </c:pt>
                <c:pt idx="6">
                  <c:v>35.175567190226886</c:v>
                </c:pt>
                <c:pt idx="7">
                  <c:v>40.344153577661444</c:v>
                </c:pt>
                <c:pt idx="8">
                  <c:v>45.529144851657946</c:v>
                </c:pt>
                <c:pt idx="9">
                  <c:v>50.643280977312401</c:v>
                </c:pt>
                <c:pt idx="10">
                  <c:v>55.5692844677138</c:v>
                </c:pt>
                <c:pt idx="11">
                  <c:v>60.547643979057611</c:v>
                </c:pt>
                <c:pt idx="12">
                  <c:v>65.53263525305411</c:v>
                </c:pt>
                <c:pt idx="13">
                  <c:v>70.568237347294954</c:v>
                </c:pt>
                <c:pt idx="14">
                  <c:v>75.65654450261782</c:v>
                </c:pt>
                <c:pt idx="15">
                  <c:v>80.690052356020956</c:v>
                </c:pt>
                <c:pt idx="16">
                  <c:v>85.960558464223396</c:v>
                </c:pt>
                <c:pt idx="17">
                  <c:v>91.352879581151853</c:v>
                </c:pt>
              </c:numCache>
            </c:numRef>
          </c:xVal>
          <c:yVal>
            <c:numRef>
              <c:f>'Figure 6'!$F$10:$F$27</c:f>
              <c:numCache>
                <c:formatCode>General</c:formatCode>
                <c:ptCount val="18"/>
                <c:pt idx="0">
                  <c:v>53.321739130434786</c:v>
                </c:pt>
                <c:pt idx="1">
                  <c:v>53.96794133053956</c:v>
                </c:pt>
                <c:pt idx="2">
                  <c:v>54.836055143160124</c:v>
                </c:pt>
                <c:pt idx="3">
                  <c:v>54.026243165842239</c:v>
                </c:pt>
                <c:pt idx="4">
                  <c:v>52.989589712186167</c:v>
                </c:pt>
                <c:pt idx="5">
                  <c:v>51.872508361204027</c:v>
                </c:pt>
                <c:pt idx="6">
                  <c:v>50.72008947294843</c:v>
                </c:pt>
                <c:pt idx="7">
                  <c:v>49.162287334593586</c:v>
                </c:pt>
                <c:pt idx="8">
                  <c:v>47.702925639983754</c:v>
                </c:pt>
                <c:pt idx="9">
                  <c:v>46.158960763520689</c:v>
                </c:pt>
                <c:pt idx="10">
                  <c:v>44.419251336898405</c:v>
                </c:pt>
                <c:pt idx="11">
                  <c:v>42.358298853693292</c:v>
                </c:pt>
                <c:pt idx="12">
                  <c:v>40.758825303021176</c:v>
                </c:pt>
                <c:pt idx="13">
                  <c:v>37.672919254658389</c:v>
                </c:pt>
                <c:pt idx="14">
                  <c:v>33.26179028132993</c:v>
                </c:pt>
                <c:pt idx="15">
                  <c:v>26.586499696514718</c:v>
                </c:pt>
                <c:pt idx="16">
                  <c:v>18.012945956928082</c:v>
                </c:pt>
                <c:pt idx="17">
                  <c:v>12.608743827532221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64-47B7-8B2A-EB8E2312BC7C}"/>
            </c:ext>
          </c:extLst>
        </c:ser>
        <c:ser>
          <c:idx val="0"/>
          <c:order val="1"/>
          <c:tx>
            <c:v>Synthetic</c:v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ysClr val="window" lastClr="FFFFFF"/>
              </a:solidFill>
              <a:ln w="19050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6'!$Z$16:$Z$34</c:f>
              <c:numCache>
                <c:formatCode>General</c:formatCode>
                <c:ptCount val="1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55.000000000000007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</c:numCache>
            </c:numRef>
          </c:xVal>
          <c:yVal>
            <c:numRef>
              <c:f>'Figure 6'!$AD$16:$AD$34</c:f>
              <c:numCache>
                <c:formatCode>General</c:formatCode>
                <c:ptCount val="19"/>
                <c:pt idx="0">
                  <c:v>47.430830039525688</c:v>
                </c:pt>
                <c:pt idx="1">
                  <c:v>46.308206843323894</c:v>
                </c:pt>
                <c:pt idx="2">
                  <c:v>48.60923575479341</c:v>
                </c:pt>
                <c:pt idx="3">
                  <c:v>48.012803414243798</c:v>
                </c:pt>
                <c:pt idx="4">
                  <c:v>46.308206843323894</c:v>
                </c:pt>
                <c:pt idx="5">
                  <c:v>47.430830039525688</c:v>
                </c:pt>
                <c:pt idx="6">
                  <c:v>46.035805626598467</c:v>
                </c:pt>
                <c:pt idx="7">
                  <c:v>43.966780654616514</c:v>
                </c:pt>
                <c:pt idx="8">
                  <c:v>42.533081285444233</c:v>
                </c:pt>
                <c:pt idx="9">
                  <c:v>40.549673349853563</c:v>
                </c:pt>
                <c:pt idx="10">
                  <c:v>38.743004735256136</c:v>
                </c:pt>
                <c:pt idx="11">
                  <c:v>36.231884057971008</c:v>
                </c:pt>
                <c:pt idx="12">
                  <c:v>33.444816053511701</c:v>
                </c:pt>
                <c:pt idx="13">
                  <c:v>30.451700219928945</c:v>
                </c:pt>
                <c:pt idx="14">
                  <c:v>26.086956521739129</c:v>
                </c:pt>
                <c:pt idx="15">
                  <c:v>22.618748429253582</c:v>
                </c:pt>
                <c:pt idx="16">
                  <c:v>15.906680805938496</c:v>
                </c:pt>
                <c:pt idx="17">
                  <c:v>8.4423807513718856</c:v>
                </c:pt>
                <c:pt idx="18">
                  <c:v>2.2176500301846809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92-48DE-975C-5C108FE4F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541168"/>
        <c:axId val="877544776"/>
      </c:scatterChart>
      <c:valAx>
        <c:axId val="87754116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Recovery Ratio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GB"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544776"/>
        <c:crosses val="autoZero"/>
        <c:crossBetween val="midCat"/>
      </c:valAx>
      <c:valAx>
        <c:axId val="877544776"/>
        <c:scaling>
          <c:orientation val="minMax"/>
          <c:max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Flux (kg m</a:t>
                </a:r>
                <a:r>
                  <a:rPr lang="en-GB" sz="1400" b="1" i="0" u="none" strike="noStrike" kern="1200" baseline="3000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-2</a:t>
                </a:r>
                <a:r>
                  <a: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 h</a:t>
                </a:r>
                <a:r>
                  <a:rPr lang="en-GB" sz="1400" b="1" i="0" u="none" strike="noStrike" kern="1200" baseline="3000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-1</a:t>
                </a:r>
                <a:r>
                  <a:rPr lang="en-GB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7541168"/>
        <c:crosses val="autoZero"/>
        <c:crossBetween val="midCat"/>
      </c:valAx>
      <c:spPr>
        <a:noFill/>
        <a:ln w="22225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70739704893437294"/>
          <c:y val="5.5825864966176912E-2"/>
          <c:w val="0.20689381419915104"/>
          <c:h val="0.143592988376452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</c:marker>
          <c:xVal>
            <c:numRef>
              <c:f>'Figure 7'!$E$39:$E$49</c:f>
              <c:numCache>
                <c:formatCode>General</c:formatCode>
                <c:ptCount val="11"/>
                <c:pt idx="0">
                  <c:v>3.2416666666666663E-2</c:v>
                </c:pt>
                <c:pt idx="1">
                  <c:v>11.700000000000001</c:v>
                </c:pt>
                <c:pt idx="2">
                  <c:v>1.3</c:v>
                </c:pt>
                <c:pt idx="3">
                  <c:v>38</c:v>
                </c:pt>
                <c:pt idx="4">
                  <c:v>15</c:v>
                </c:pt>
                <c:pt idx="5">
                  <c:v>3.8</c:v>
                </c:pt>
                <c:pt idx="6">
                  <c:v>15</c:v>
                </c:pt>
                <c:pt idx="7">
                  <c:v>23</c:v>
                </c:pt>
                <c:pt idx="8">
                  <c:v>13</c:v>
                </c:pt>
                <c:pt idx="9">
                  <c:v>0.08</c:v>
                </c:pt>
                <c:pt idx="10">
                  <c:v>227</c:v>
                </c:pt>
              </c:numCache>
            </c:numRef>
          </c:xVal>
          <c:yVal>
            <c:numRef>
              <c:f>'Figure 7'!$H$39:$H$49</c:f>
              <c:numCache>
                <c:formatCode>General</c:formatCode>
                <c:ptCount val="11"/>
                <c:pt idx="0">
                  <c:v>6850.0000000000009</c:v>
                </c:pt>
                <c:pt idx="1">
                  <c:v>3756.5400000000004</c:v>
                </c:pt>
                <c:pt idx="2">
                  <c:v>2019.0238000000002</c:v>
                </c:pt>
                <c:pt idx="3">
                  <c:v>5885.8487999999998</c:v>
                </c:pt>
                <c:pt idx="4">
                  <c:v>1002.7715000000002</c:v>
                </c:pt>
                <c:pt idx="5">
                  <c:v>1227.52</c:v>
                </c:pt>
                <c:pt idx="6">
                  <c:v>930.10670000000005</c:v>
                </c:pt>
                <c:pt idx="7">
                  <c:v>1511.4251000000002</c:v>
                </c:pt>
                <c:pt idx="8">
                  <c:v>1327.3793000000001</c:v>
                </c:pt>
                <c:pt idx="9">
                  <c:v>4217.3942999999999</c:v>
                </c:pt>
                <c:pt idx="10">
                  <c:v>13036.070599999999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26-4206-8EDF-3DB14CD76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4825584"/>
        <c:axId val="864831816"/>
      </c:scatterChart>
      <c:valAx>
        <c:axId val="864825584"/>
        <c:scaling>
          <c:logBase val="10"/>
          <c:orientation val="minMax"/>
          <c:max val="1000"/>
          <c:min val="1.0000000000000002E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Flow (L min</a:t>
                </a:r>
                <a:r>
                  <a:rPr lang="en-GB" sz="1200" b="1" i="0" u="none" strike="noStrike" kern="1200" baseline="3000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-1</a:t>
                </a: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GB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831816"/>
        <c:crosses val="autoZero"/>
        <c:crossBetween val="midCat"/>
      </c:valAx>
      <c:valAx>
        <c:axId val="864831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Price (US$)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825584"/>
        <c:crossesAt val="1.0000000000000002E-3"/>
        <c:crossBetween val="midCat"/>
        <c:majorUnit val="2000"/>
      </c:valAx>
      <c:spPr>
        <a:noFill/>
        <a:ln w="190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16172809656784"/>
          <c:y val="3.109394600648677E-2"/>
          <c:w val="0.82133874668125184"/>
          <c:h val="0.84339023280618297"/>
        </c:manualLayout>
      </c:layout>
      <c:scatterChart>
        <c:scatterStyle val="lineMarker"/>
        <c:varyColors val="0"/>
        <c:ser>
          <c:idx val="0"/>
          <c:order val="0"/>
          <c:tx>
            <c:v>Diaphragm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7'!$E$39:$E$41</c:f>
              <c:numCache>
                <c:formatCode>General</c:formatCode>
                <c:ptCount val="3"/>
                <c:pt idx="0">
                  <c:v>3.2416666666666663E-2</c:v>
                </c:pt>
                <c:pt idx="1">
                  <c:v>11.700000000000001</c:v>
                </c:pt>
                <c:pt idx="2">
                  <c:v>1.3</c:v>
                </c:pt>
              </c:numCache>
            </c:numRef>
          </c:xVal>
          <c:yVal>
            <c:numRef>
              <c:f>'Figure 7'!$H$39:$H$41</c:f>
              <c:numCache>
                <c:formatCode>General</c:formatCode>
                <c:ptCount val="3"/>
                <c:pt idx="0">
                  <c:v>6850.0000000000009</c:v>
                </c:pt>
                <c:pt idx="1">
                  <c:v>3756.5400000000004</c:v>
                </c:pt>
                <c:pt idx="2">
                  <c:v>2019.0238000000002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A4-4A9B-9D67-4D8DA586CA4B}"/>
            </c:ext>
          </c:extLst>
        </c:ser>
        <c:ser>
          <c:idx val="1"/>
          <c:order val="1"/>
          <c:tx>
            <c:v>Plunger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'Figure 7'!$E$42:$E$44</c:f>
              <c:numCache>
                <c:formatCode>General</c:formatCode>
                <c:ptCount val="3"/>
                <c:pt idx="0">
                  <c:v>38</c:v>
                </c:pt>
                <c:pt idx="1">
                  <c:v>15</c:v>
                </c:pt>
                <c:pt idx="2">
                  <c:v>3.8</c:v>
                </c:pt>
              </c:numCache>
            </c:numRef>
          </c:xVal>
          <c:yVal>
            <c:numRef>
              <c:f>'Figure 7'!$H$42:$H$44</c:f>
              <c:numCache>
                <c:formatCode>General</c:formatCode>
                <c:ptCount val="3"/>
                <c:pt idx="0">
                  <c:v>5885.8487999999998</c:v>
                </c:pt>
                <c:pt idx="1">
                  <c:v>1002.7715000000002</c:v>
                </c:pt>
                <c:pt idx="2">
                  <c:v>1227.52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A4-4A9B-9D67-4D8DA586CA4B}"/>
            </c:ext>
          </c:extLst>
        </c:ser>
        <c:ser>
          <c:idx val="2"/>
          <c:order val="2"/>
          <c:tx>
            <c:v>Piston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'Figure 7'!$E$45:$E$49</c:f>
              <c:numCache>
                <c:formatCode>General</c:formatCode>
                <c:ptCount val="5"/>
                <c:pt idx="0">
                  <c:v>15</c:v>
                </c:pt>
                <c:pt idx="1">
                  <c:v>23</c:v>
                </c:pt>
                <c:pt idx="2">
                  <c:v>13</c:v>
                </c:pt>
                <c:pt idx="3">
                  <c:v>0.08</c:v>
                </c:pt>
                <c:pt idx="4">
                  <c:v>227</c:v>
                </c:pt>
              </c:numCache>
            </c:numRef>
          </c:xVal>
          <c:yVal>
            <c:numRef>
              <c:f>'Figure 7'!$H$45:$H$49</c:f>
              <c:numCache>
                <c:formatCode>General</c:formatCode>
                <c:ptCount val="5"/>
                <c:pt idx="0">
                  <c:v>930.10670000000005</c:v>
                </c:pt>
                <c:pt idx="1">
                  <c:v>1511.4251000000002</c:v>
                </c:pt>
                <c:pt idx="2">
                  <c:v>1327.3793000000001</c:v>
                </c:pt>
                <c:pt idx="3">
                  <c:v>4217.3942999999999</c:v>
                </c:pt>
                <c:pt idx="4">
                  <c:v>13036.070599999999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A4-4A9B-9D67-4D8DA586C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148959"/>
        <c:axId val="1046138975"/>
      </c:scatterChart>
      <c:valAx>
        <c:axId val="10461489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Pump capacity</a:t>
                </a:r>
                <a:r>
                  <a:rPr lang="en-US" baseline="0"/>
                  <a:t> (L min</a:t>
                </a:r>
                <a:r>
                  <a:rPr lang="en-US" baseline="30000"/>
                  <a:t>-1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250529953463069"/>
              <c:y val="0.93440579624985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138975"/>
        <c:crossesAt val="0"/>
        <c:crossBetween val="midCat"/>
      </c:valAx>
      <c:valAx>
        <c:axId val="1046138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Pump</a:t>
                </a:r>
                <a:r>
                  <a:rPr lang="en-GB" baseline="0"/>
                  <a:t> price (USD, $)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148959"/>
        <c:crossesAt val="1.0000000000000002E-2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1910317471105911"/>
          <c:y val="3.8360403095060669E-2"/>
          <c:w val="0.14767552842229123"/>
          <c:h val="0.106356430548544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46861585018833"/>
          <c:y val="3.7617114957606647E-2"/>
          <c:w val="0.7117242766389732"/>
          <c:h val="0.78478646720807865"/>
        </c:manualLayout>
      </c:layout>
      <c:scatterChart>
        <c:scatterStyle val="lineMarker"/>
        <c:varyColors val="0"/>
        <c:ser>
          <c:idx val="4"/>
          <c:order val="0"/>
          <c:tx>
            <c:strRef>
              <c:f>'Figure 8'!$I$47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8'!$J$42:$M$42</c:f>
              <c:numCache>
                <c:formatCode>General</c:formatCode>
                <c:ptCount val="4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25</c:v>
                </c:pt>
              </c:numCache>
            </c:numRef>
          </c:xVal>
          <c:yVal>
            <c:numRef>
              <c:f>'Figure 8'!$J$47:$M$47</c:f>
              <c:numCache>
                <c:formatCode>[$$-409]#,##0.00_ ;[Red]\-[$$-409]#,##0.00\ </c:formatCode>
                <c:ptCount val="4"/>
                <c:pt idx="0">
                  <c:v>-94.572795265650257</c:v>
                </c:pt>
                <c:pt idx="1">
                  <c:v>99.672184489169354</c:v>
                </c:pt>
                <c:pt idx="2">
                  <c:v>196.79467436657922</c:v>
                </c:pt>
                <c:pt idx="3">
                  <c:v>245.3559193052842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BF-4523-95CA-EE7DA752B929}"/>
            </c:ext>
          </c:extLst>
        </c:ser>
        <c:ser>
          <c:idx val="3"/>
          <c:order val="1"/>
          <c:tx>
            <c:strRef>
              <c:f>'Figure 8'!$I$46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>
                  <a:lumMod val="65000"/>
                </a:schemeClr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8'!$J$42:$M$42</c:f>
              <c:numCache>
                <c:formatCode>General</c:formatCode>
                <c:ptCount val="4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25</c:v>
                </c:pt>
              </c:numCache>
            </c:numRef>
          </c:xVal>
          <c:yVal>
            <c:numRef>
              <c:f>'Figure 8'!$J$46:$M$46</c:f>
              <c:numCache>
                <c:formatCode>[$$-409]#,##0.00_ ;[Red]\-[$$-409]#,##0.00\ </c:formatCode>
                <c:ptCount val="4"/>
                <c:pt idx="0">
                  <c:v>-191.69528514306012</c:v>
                </c:pt>
                <c:pt idx="1">
                  <c:v>51.110939550464423</c:v>
                </c:pt>
                <c:pt idx="2">
                  <c:v>172.51405189722675</c:v>
                </c:pt>
                <c:pt idx="3">
                  <c:v>233.21560807060791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BF-4523-95CA-EE7DA752B929}"/>
            </c:ext>
          </c:extLst>
        </c:ser>
        <c:ser>
          <c:idx val="2"/>
          <c:order val="2"/>
          <c:tx>
            <c:strRef>
              <c:f>'Figure 8'!$I$45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>
                  <a:lumMod val="85000"/>
                </a:schemeClr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8'!$J$42:$M$42</c:f>
              <c:numCache>
                <c:formatCode>General</c:formatCode>
                <c:ptCount val="4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25</c:v>
                </c:pt>
              </c:numCache>
            </c:numRef>
          </c:xVal>
          <c:yVal>
            <c:numRef>
              <c:f>'Figure 8'!$J$45:$M$45</c:f>
              <c:numCache>
                <c:formatCode>[$$-409]#,##0.00_ ;[Red]\-[$$-409]#,##0.00\ </c:formatCode>
                <c:ptCount val="4"/>
                <c:pt idx="0">
                  <c:v>-353.56610160540981</c:v>
                </c:pt>
                <c:pt idx="1">
                  <c:v>-29.824468680710424</c:v>
                </c:pt>
                <c:pt idx="2">
                  <c:v>132.04634778163927</c:v>
                </c:pt>
                <c:pt idx="3">
                  <c:v>212.98175601281417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BF-4523-95CA-EE7DA752B929}"/>
            </c:ext>
          </c:extLst>
        </c:ser>
        <c:ser>
          <c:idx val="1"/>
          <c:order val="3"/>
          <c:tx>
            <c:strRef>
              <c:f>'Figure 8'!$I$44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8'!$J$42:$M$42</c:f>
              <c:numCache>
                <c:formatCode>General</c:formatCode>
                <c:ptCount val="4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25</c:v>
                </c:pt>
              </c:numCache>
            </c:numRef>
          </c:xVal>
          <c:yVal>
            <c:numRef>
              <c:f>'Figure 8'!$J$44:$M$44</c:f>
              <c:numCache>
                <c:formatCode>[$$-409]#,##0.00_ ;[Red]\-[$$-409]#,##0.00\ </c:formatCode>
                <c:ptCount val="4"/>
                <c:pt idx="0">
                  <c:v>-677.30773453010943</c:v>
                </c:pt>
                <c:pt idx="1">
                  <c:v>-191.69528514306012</c:v>
                </c:pt>
                <c:pt idx="2">
                  <c:v>51.110939550464423</c:v>
                </c:pt>
                <c:pt idx="3">
                  <c:v>172.51405189722675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BF-4523-95CA-EE7DA752B929}"/>
            </c:ext>
          </c:extLst>
        </c:ser>
        <c:ser>
          <c:idx val="0"/>
          <c:order val="4"/>
          <c:tx>
            <c:strRef>
              <c:f>'Figure 8'!$I$43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>
                  <a:lumMod val="7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'Figure 8'!$J$42:$M$42</c:f>
              <c:numCache>
                <c:formatCode>General</c:formatCode>
                <c:ptCount val="4"/>
                <c:pt idx="0">
                  <c:v>200</c:v>
                </c:pt>
                <c:pt idx="1">
                  <c:v>100</c:v>
                </c:pt>
                <c:pt idx="2">
                  <c:v>50</c:v>
                </c:pt>
                <c:pt idx="3">
                  <c:v>25</c:v>
                </c:pt>
              </c:numCache>
            </c:numRef>
          </c:xVal>
          <c:yVal>
            <c:numRef>
              <c:f>'Figure 8'!$J$43:$M$43</c:f>
              <c:numCache>
                <c:formatCode>[$$-409]#,##0.00_ ;[Red]\-[$$-409]#,##0.00\ </c:formatCode>
                <c:ptCount val="4"/>
                <c:pt idx="0">
                  <c:v>-1648.5326333042076</c:v>
                </c:pt>
                <c:pt idx="1">
                  <c:v>-677.30773453010943</c:v>
                </c:pt>
                <c:pt idx="2">
                  <c:v>-191.69528514306012</c:v>
                </c:pt>
                <c:pt idx="3">
                  <c:v>51.110939550464423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DBF-4523-95CA-EE7DA752B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4960607"/>
        <c:axId val="2044961439"/>
      </c:scatterChart>
      <c:valAx>
        <c:axId val="20449606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Membrane Element Cost (US$)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GB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low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4961439"/>
        <c:crossesAt val="0"/>
        <c:crossBetween val="midCat"/>
      </c:valAx>
      <c:valAx>
        <c:axId val="2044961439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Net Present Value (US$)</a:t>
                </a:r>
              </a:p>
            </c:rich>
          </c:tx>
          <c:layout>
            <c:manualLayout>
              <c:xMode val="edge"/>
              <c:yMode val="edge"/>
              <c:x val="3.8623589098537595E-2"/>
              <c:y val="0.221824713667117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.00_ ;[Red]\-[$$-409]#,##0.00\ " sourceLinked="1"/>
        <c:majorTickMark val="in"/>
        <c:minorTickMark val="none"/>
        <c:tickLblPos val="low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4960607"/>
        <c:crosses val="autoZero"/>
        <c:crossBetween val="midCat"/>
        <c:majorUnit val="125"/>
      </c:valAx>
      <c:spPr>
        <a:noFill/>
        <a:ln w="19050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7492448262619078"/>
          <c:y val="0.16194785298034103"/>
          <c:w val="0.13774966155873436"/>
          <c:h val="0.2183219667421006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'Figure 8'!$B$38:$B$42</c:f>
              <c:numCache>
                <c:formatCode>General</c:formatCode>
                <c:ptCount val="5"/>
                <c:pt idx="0">
                  <c:v>1000</c:v>
                </c:pt>
                <c:pt idx="1">
                  <c:v>500</c:v>
                </c:pt>
                <c:pt idx="2">
                  <c:v>250</c:v>
                </c:pt>
                <c:pt idx="3">
                  <c:v>100</c:v>
                </c:pt>
                <c:pt idx="4">
                  <c:v>50</c:v>
                </c:pt>
              </c:numCache>
            </c:numRef>
          </c:xVal>
          <c:yVal>
            <c:numRef>
              <c:f>'Figure 8'!$C$38:$C$42</c:f>
              <c:numCache>
                <c:formatCode>[$$-409]#,##0.00_ ;[Red]\-[$$-409]#,##0.00\ </c:formatCode>
                <c:ptCount val="5"/>
                <c:pt idx="0">
                  <c:v>-854.82446868071042</c:v>
                </c:pt>
                <c:pt idx="1">
                  <c:v>-304.82446868071054</c:v>
                </c:pt>
                <c:pt idx="2">
                  <c:v>-29.824468680710424</c:v>
                </c:pt>
                <c:pt idx="3">
                  <c:v>135.17553131928952</c:v>
                </c:pt>
                <c:pt idx="4">
                  <c:v>190.17553131928958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8B-4E4B-B096-8F8DABD5B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493919"/>
        <c:axId val="173485599"/>
      </c:scatterChart>
      <c:valAx>
        <c:axId val="173493919"/>
        <c:scaling>
          <c:orientation val="minMax"/>
          <c:max val="1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Pump Cost (US$)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GB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low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85599"/>
        <c:crosses val="autoZero"/>
        <c:crossBetween val="midCat"/>
      </c:valAx>
      <c:valAx>
        <c:axId val="17348559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Net Present Value (US$)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GB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$-409]#,##0.00_ ;[Red]\-[$$-409]#,##0.00\ " sourceLinked="1"/>
        <c:majorTickMark val="in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93919"/>
        <c:crosses val="autoZero"/>
        <c:crossBetween val="midCat"/>
      </c:valAx>
      <c:spPr>
        <a:noFill/>
        <a:ln w="19050"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30 Bar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'Figure 3'!$B$9:$B$26</c:f>
              <c:numCache>
                <c:formatCode>General</c:formatCode>
                <c:ptCount val="1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55.000000000000007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</c:numCache>
            </c:numRef>
          </c:xVal>
          <c:yVal>
            <c:numRef>
              <c:f>'Figure 3'!$K$10:$K$26</c:f>
              <c:numCache>
                <c:formatCode>General</c:formatCode>
                <c:ptCount val="17"/>
                <c:pt idx="0">
                  <c:v>99.273570324574962</c:v>
                </c:pt>
                <c:pt idx="1">
                  <c:v>99.344927536231893</c:v>
                </c:pt>
                <c:pt idx="2">
                  <c:v>99.333795013850406</c:v>
                </c:pt>
                <c:pt idx="3">
                  <c:v>99.333333333333329</c:v>
                </c:pt>
                <c:pt idx="4">
                  <c:v>99.315920398009951</c:v>
                </c:pt>
                <c:pt idx="5">
                  <c:v>99.311840562719809</c:v>
                </c:pt>
                <c:pt idx="6">
                  <c:v>99.296255506607935</c:v>
                </c:pt>
                <c:pt idx="7">
                  <c:v>99.270769230769233</c:v>
                </c:pt>
                <c:pt idx="8">
                  <c:v>99.279620853080559</c:v>
                </c:pt>
                <c:pt idx="9">
                  <c:v>99.228146853146853</c:v>
                </c:pt>
                <c:pt idx="10">
                  <c:v>99.212749003984072</c:v>
                </c:pt>
                <c:pt idx="11">
                  <c:v>99.182741116751274</c:v>
                </c:pt>
                <c:pt idx="12">
                  <c:v>99.153147306943552</c:v>
                </c:pt>
                <c:pt idx="13">
                  <c:v>99.109959700633283</c:v>
                </c:pt>
                <c:pt idx="14">
                  <c:v>98.987635239567226</c:v>
                </c:pt>
                <c:pt idx="15">
                  <c:v>99.031128404669261</c:v>
                </c:pt>
                <c:pt idx="16">
                  <c:v>98.836538461538453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01-4F17-8784-5C7236CABF94}"/>
            </c:ext>
          </c:extLst>
        </c:ser>
        <c:ser>
          <c:idx val="2"/>
          <c:order val="1"/>
          <c:tx>
            <c:v>20 Bar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'Figure 3'!$B$37:$B$54</c:f>
              <c:numCache>
                <c:formatCode>General</c:formatCode>
                <c:ptCount val="1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55.000000000000007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</c:numCache>
            </c:numRef>
          </c:xVal>
          <c:yVal>
            <c:numRef>
              <c:f>'Figure 3'!$K$38:$K$54</c:f>
              <c:numCache>
                <c:formatCode>General</c:formatCode>
                <c:ptCount val="17"/>
                <c:pt idx="0">
                  <c:v>99.080515297906601</c:v>
                </c:pt>
                <c:pt idx="1">
                  <c:v>99.102918586789556</c:v>
                </c:pt>
                <c:pt idx="2">
                  <c:v>99.084425036390101</c:v>
                </c:pt>
                <c:pt idx="3">
                  <c:v>99.068965517241381</c:v>
                </c:pt>
                <c:pt idx="4">
                  <c:v>99.085825747724314</c:v>
                </c:pt>
                <c:pt idx="5">
                  <c:v>99.05018359853122</c:v>
                </c:pt>
                <c:pt idx="6">
                  <c:v>99.019384264538203</c:v>
                </c:pt>
                <c:pt idx="7">
                  <c:v>99.007470651013875</c:v>
                </c:pt>
                <c:pt idx="8">
                  <c:v>98.988118811881193</c:v>
                </c:pt>
                <c:pt idx="9">
                  <c:v>98.949863263445764</c:v>
                </c:pt>
                <c:pt idx="10">
                  <c:v>98.914380714879471</c:v>
                </c:pt>
                <c:pt idx="11">
                  <c:v>98.827300150829572</c:v>
                </c:pt>
                <c:pt idx="12">
                  <c:v>98.779054054054043</c:v>
                </c:pt>
                <c:pt idx="13">
                  <c:v>98.699763593380624</c:v>
                </c:pt>
                <c:pt idx="14">
                  <c:v>98.469440164355419</c:v>
                </c:pt>
                <c:pt idx="15">
                  <c:v>98.292682926829272</c:v>
                </c:pt>
                <c:pt idx="16">
                  <c:v>97.73026315789474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01-4F17-8784-5C7236CABF94}"/>
            </c:ext>
          </c:extLst>
        </c:ser>
        <c:ser>
          <c:idx val="0"/>
          <c:order val="2"/>
          <c:tx>
            <c:v>10 Bar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8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'Figure 3'!$B$65:$B$82</c:f>
              <c:numCache>
                <c:formatCode>General</c:formatCode>
                <c:ptCount val="1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55.000000000000007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88</c:v>
                </c:pt>
              </c:numCache>
            </c:numRef>
          </c:xVal>
          <c:yVal>
            <c:numRef>
              <c:f>'Figure 3'!$K$66:$K$82</c:f>
              <c:numCache>
                <c:formatCode>General</c:formatCode>
                <c:ptCount val="17"/>
                <c:pt idx="0">
                  <c:v>98.346534653465341</c:v>
                </c:pt>
                <c:pt idx="1">
                  <c:v>98.339587242026269</c:v>
                </c:pt>
                <c:pt idx="2">
                  <c:v>98.293072824156297</c:v>
                </c:pt>
                <c:pt idx="3">
                  <c:v>98.264656616415408</c:v>
                </c:pt>
                <c:pt idx="4">
                  <c:v>98.194620253164558</c:v>
                </c:pt>
                <c:pt idx="5">
                  <c:v>98.166915052160959</c:v>
                </c:pt>
                <c:pt idx="6">
                  <c:v>98.044817927170868</c:v>
                </c:pt>
                <c:pt idx="7">
                  <c:v>98.040712468193377</c:v>
                </c:pt>
                <c:pt idx="8">
                  <c:v>97.898081534772189</c:v>
                </c:pt>
                <c:pt idx="9">
                  <c:v>97.686746987951807</c:v>
                </c:pt>
                <c:pt idx="10">
                  <c:v>97.36723163841809</c:v>
                </c:pt>
                <c:pt idx="11">
                  <c:v>97.008368200836827</c:v>
                </c:pt>
                <c:pt idx="12">
                  <c:v>96.461388074291293</c:v>
                </c:pt>
                <c:pt idx="13">
                  <c:v>96.401202103681442</c:v>
                </c:pt>
                <c:pt idx="14">
                  <c:v>95.591939546599505</c:v>
                </c:pt>
                <c:pt idx="15">
                  <c:v>92.973118279569889</c:v>
                </c:pt>
                <c:pt idx="16">
                  <c:v>88.623853211009177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01-4F17-8784-5C7236CAB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369039"/>
        <c:axId val="1365370287"/>
      </c:scatterChart>
      <c:valAx>
        <c:axId val="1365369039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Recovery Ratio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70287"/>
        <c:crosses val="autoZero"/>
        <c:crossBetween val="midCat"/>
        <c:majorUnit val="20"/>
      </c:valAx>
      <c:valAx>
        <c:axId val="1365370287"/>
        <c:scaling>
          <c:orientation val="minMax"/>
          <c:max val="100"/>
          <c:min val="8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Conductivity Rejection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69039"/>
        <c:crosses val="autoZero"/>
        <c:crossBetween val="midCat"/>
        <c:majorUnit val="5"/>
      </c:valAx>
      <c:spPr>
        <a:noFill/>
        <a:ln w="19050">
          <a:solidFill>
            <a:schemeClr val="tx1"/>
          </a:solidFill>
        </a:ln>
        <a:effectLst/>
      </c:spPr>
    </c:plotArea>
    <c:legend>
      <c:legendPos val="tr"/>
      <c:layout>
        <c:manualLayout>
          <c:xMode val="edge"/>
          <c:yMode val="edge"/>
          <c:x val="0.22644329090163909"/>
          <c:y val="0.54394412809138382"/>
          <c:w val="0.24496700503495786"/>
          <c:h val="0.2103570624713111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'[1]Energy and Collated Analysis'!$B$28:$B$30</c:f>
              <c:numCache>
                <c:formatCode>General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cat>
          <c:val>
            <c:numRef>
              <c:f>'[1]Energy and Collated Analysis'!$I$28:$I$30</c:f>
              <c:numCache>
                <c:formatCode>General</c:formatCode>
                <c:ptCount val="3"/>
                <c:pt idx="0">
                  <c:v>21.027777777777779</c:v>
                </c:pt>
                <c:pt idx="1">
                  <c:v>14.819444444444443</c:v>
                </c:pt>
                <c:pt idx="2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DB-420E-BA7D-5DFBF2469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3664480"/>
        <c:axId val="293663648"/>
      </c:barChart>
      <c:lineChart>
        <c:grouping val="standard"/>
        <c:varyColors val="0"/>
        <c:ser>
          <c:idx val="1"/>
          <c:order val="1"/>
          <c:tx>
            <c:v>Theoretical Minimum</c:v>
          </c:tx>
          <c:spPr>
            <a:ln w="381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('[1]Energy and Collated Analysis'!$M$43,'[1]Energy and Collated Analysis'!$M$45,'[1]Energy and Collated Analysis'!$M$47,'[1]Energy and Collated Analysis'!$M$49,'[1]Energy and Collated Analysis'!$M$51)</c:f>
              <c:numCache>
                <c:formatCode>General</c:formatCode>
                <c:ptCount val="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</c:numCache>
            </c:numRef>
          </c:cat>
          <c:val>
            <c:numRef>
              <c:f>('[1]Energy and Collated Analysis'!$N$45,'[1]Energy and Collated Analysis'!$N$47,'[1]Energy and Collated Analysis'!$N$49)</c:f>
              <c:numCache>
                <c:formatCode>General</c:formatCode>
                <c:ptCount val="3"/>
                <c:pt idx="0">
                  <c:v>0.17294940102127251</c:v>
                </c:pt>
                <c:pt idx="1">
                  <c:v>0.17294940102127251</c:v>
                </c:pt>
                <c:pt idx="2">
                  <c:v>0.17294940102127251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DB-420E-BA7D-5DFBF2469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664480"/>
        <c:axId val="293663648"/>
      </c:lineChart>
      <c:catAx>
        <c:axId val="293664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GB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Transmembrane Pressure (bar)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GB"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587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63648"/>
        <c:crossesAt val="0.1"/>
        <c:auto val="1"/>
        <c:lblAlgn val="ctr"/>
        <c:lblOffset val="100"/>
        <c:noMultiLvlLbl val="0"/>
      </c:catAx>
      <c:valAx>
        <c:axId val="293663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Pumping Energy (kWh m</a:t>
                </a:r>
                <a:r>
                  <a:rPr lang="en-GB" sz="1100" b="1" i="0" u="none" strike="noStrike" kern="1200" baseline="3000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-3</a:t>
                </a:r>
                <a:r>
                  <a:rPr lang="en-GB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64480"/>
        <c:crosses val="autoZero"/>
        <c:crossBetween val="between"/>
      </c:valAx>
      <c:spPr>
        <a:noFill/>
        <a:ln w="19050">
          <a:solidFill>
            <a:sysClr val="windowText" lastClr="000000"/>
          </a:solidFill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183877995642701"/>
          <c:y val="7.9922908984180197E-2"/>
          <c:w val="0.53765427090376383"/>
          <c:h val="0.1087740740740740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0.028 m/s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'Figure 4'!$D$39:$D$57</c:f>
              <c:numCache>
                <c:formatCode>General</c:formatCode>
                <c:ptCount val="19"/>
                <c:pt idx="0">
                  <c:v>135</c:v>
                </c:pt>
                <c:pt idx="1">
                  <c:v>265</c:v>
                </c:pt>
                <c:pt idx="2">
                  <c:v>394</c:v>
                </c:pt>
                <c:pt idx="3">
                  <c:v>523</c:v>
                </c:pt>
                <c:pt idx="4">
                  <c:v>654</c:v>
                </c:pt>
                <c:pt idx="5">
                  <c:v>783</c:v>
                </c:pt>
                <c:pt idx="6">
                  <c:v>915</c:v>
                </c:pt>
                <c:pt idx="7">
                  <c:v>1050</c:v>
                </c:pt>
                <c:pt idx="8">
                  <c:v>1184</c:v>
                </c:pt>
                <c:pt idx="9">
                  <c:v>1325</c:v>
                </c:pt>
                <c:pt idx="10">
                  <c:v>1467</c:v>
                </c:pt>
                <c:pt idx="11">
                  <c:v>1613</c:v>
                </c:pt>
                <c:pt idx="12">
                  <c:v>1767</c:v>
                </c:pt>
                <c:pt idx="13">
                  <c:v>1926</c:v>
                </c:pt>
                <c:pt idx="14">
                  <c:v>2098</c:v>
                </c:pt>
                <c:pt idx="15">
                  <c:v>2286</c:v>
                </c:pt>
                <c:pt idx="16">
                  <c:v>2494</c:v>
                </c:pt>
                <c:pt idx="17">
                  <c:v>2749</c:v>
                </c:pt>
                <c:pt idx="18">
                  <c:v>3088</c:v>
                </c:pt>
              </c:numCache>
            </c:numRef>
          </c:xVal>
          <c:yVal>
            <c:numRef>
              <c:f>'Figure 4'!$M$39:$M$57</c:f>
              <c:numCache>
                <c:formatCode>General</c:formatCode>
                <c:ptCount val="19"/>
                <c:pt idx="0">
                  <c:v>22.222222222222225</c:v>
                </c:pt>
                <c:pt idx="1">
                  <c:v>23.076923076923077</c:v>
                </c:pt>
                <c:pt idx="2">
                  <c:v>23.255813953488371</c:v>
                </c:pt>
                <c:pt idx="3">
                  <c:v>23.255813953488371</c:v>
                </c:pt>
                <c:pt idx="4">
                  <c:v>22.900763358778629</c:v>
                </c:pt>
                <c:pt idx="5">
                  <c:v>23.255813953488371</c:v>
                </c:pt>
                <c:pt idx="6">
                  <c:v>22.72727272727273</c:v>
                </c:pt>
                <c:pt idx="7">
                  <c:v>22.222222222222225</c:v>
                </c:pt>
                <c:pt idx="8">
                  <c:v>22.388059701492537</c:v>
                </c:pt>
                <c:pt idx="9">
                  <c:v>21.276595744680851</c:v>
                </c:pt>
                <c:pt idx="10">
                  <c:v>21.12676056338028</c:v>
                </c:pt>
                <c:pt idx="11">
                  <c:v>20.547945205479451</c:v>
                </c:pt>
                <c:pt idx="12">
                  <c:v>19.480519480519483</c:v>
                </c:pt>
                <c:pt idx="13">
                  <c:v>18.867924528301888</c:v>
                </c:pt>
                <c:pt idx="14">
                  <c:v>17.441860465116278</c:v>
                </c:pt>
                <c:pt idx="15">
                  <c:v>15.957446808510639</c:v>
                </c:pt>
                <c:pt idx="16">
                  <c:v>14.423076923076922</c:v>
                </c:pt>
                <c:pt idx="17">
                  <c:v>7.0588235294117645</c:v>
                </c:pt>
                <c:pt idx="18">
                  <c:v>5.3097345132743365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1D-455C-B5F5-21C892B13C71}"/>
            </c:ext>
          </c:extLst>
        </c:ser>
        <c:ser>
          <c:idx val="2"/>
          <c:order val="1"/>
          <c:tx>
            <c:v>0.084 m/s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'Figure 4'!$D$68:$D$85</c:f>
              <c:numCache>
                <c:formatCode>General</c:formatCode>
                <c:ptCount val="18"/>
                <c:pt idx="0">
                  <c:v>126</c:v>
                </c:pt>
                <c:pt idx="1">
                  <c:v>239</c:v>
                </c:pt>
                <c:pt idx="2">
                  <c:v>352</c:v>
                </c:pt>
                <c:pt idx="3">
                  <c:v>466</c:v>
                </c:pt>
                <c:pt idx="4">
                  <c:v>579</c:v>
                </c:pt>
                <c:pt idx="5">
                  <c:v>694</c:v>
                </c:pt>
                <c:pt idx="6">
                  <c:v>808</c:v>
                </c:pt>
                <c:pt idx="7">
                  <c:v>923</c:v>
                </c:pt>
                <c:pt idx="8">
                  <c:v>1037</c:v>
                </c:pt>
                <c:pt idx="9">
                  <c:v>1151</c:v>
                </c:pt>
                <c:pt idx="10">
                  <c:v>1279</c:v>
                </c:pt>
                <c:pt idx="11">
                  <c:v>1399</c:v>
                </c:pt>
                <c:pt idx="12">
                  <c:v>1531</c:v>
                </c:pt>
                <c:pt idx="13">
                  <c:v>1664</c:v>
                </c:pt>
                <c:pt idx="14">
                  <c:v>1806</c:v>
                </c:pt>
                <c:pt idx="15">
                  <c:v>1958</c:v>
                </c:pt>
                <c:pt idx="16">
                  <c:v>2126</c:v>
                </c:pt>
                <c:pt idx="17">
                  <c:v>2325</c:v>
                </c:pt>
              </c:numCache>
            </c:numRef>
          </c:xVal>
          <c:yVal>
            <c:numRef>
              <c:f>'Figure 4'!$L$68:$L$85</c:f>
              <c:numCache>
                <c:formatCode>General</c:formatCode>
                <c:ptCount val="18"/>
                <c:pt idx="0">
                  <c:v>7.9365079365079367</c:v>
                </c:pt>
                <c:pt idx="1">
                  <c:v>8.8495575221238951</c:v>
                </c:pt>
                <c:pt idx="2">
                  <c:v>8.8495575221238951</c:v>
                </c:pt>
                <c:pt idx="3">
                  <c:v>8.7719298245614059</c:v>
                </c:pt>
                <c:pt idx="4">
                  <c:v>8.8495575221238951</c:v>
                </c:pt>
                <c:pt idx="5">
                  <c:v>8.695652173913043</c:v>
                </c:pt>
                <c:pt idx="6">
                  <c:v>8.7719298245614059</c:v>
                </c:pt>
                <c:pt idx="7">
                  <c:v>8.695652173913043</c:v>
                </c:pt>
                <c:pt idx="8">
                  <c:v>8.7719298245614059</c:v>
                </c:pt>
                <c:pt idx="9">
                  <c:v>8.7719298245614059</c:v>
                </c:pt>
                <c:pt idx="10">
                  <c:v>7.8125</c:v>
                </c:pt>
                <c:pt idx="11">
                  <c:v>8.3333333333333357</c:v>
                </c:pt>
                <c:pt idx="12">
                  <c:v>7.575757575757577</c:v>
                </c:pt>
                <c:pt idx="13">
                  <c:v>7.518796992481203</c:v>
                </c:pt>
                <c:pt idx="14">
                  <c:v>7.0422535211267601</c:v>
                </c:pt>
                <c:pt idx="15">
                  <c:v>6.5789473684210513</c:v>
                </c:pt>
                <c:pt idx="16">
                  <c:v>5.9523809523809526</c:v>
                </c:pt>
                <c:pt idx="17">
                  <c:v>5.025125628140704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1D-455C-B5F5-21C892B13C71}"/>
            </c:ext>
          </c:extLst>
        </c:ser>
        <c:ser>
          <c:idx val="0"/>
          <c:order val="2"/>
          <c:tx>
            <c:v>0.14 m/s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8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'Figure 4'!$D$10:$D$28</c:f>
              <c:numCache>
                <c:formatCode>General</c:formatCode>
                <c:ptCount val="19"/>
                <c:pt idx="0">
                  <c:v>123</c:v>
                </c:pt>
                <c:pt idx="1">
                  <c:v>242</c:v>
                </c:pt>
                <c:pt idx="2">
                  <c:v>356</c:v>
                </c:pt>
                <c:pt idx="3">
                  <c:v>472</c:v>
                </c:pt>
                <c:pt idx="4">
                  <c:v>587</c:v>
                </c:pt>
                <c:pt idx="5">
                  <c:v>702</c:v>
                </c:pt>
                <c:pt idx="6">
                  <c:v>818</c:v>
                </c:pt>
                <c:pt idx="7">
                  <c:v>936</c:v>
                </c:pt>
                <c:pt idx="8">
                  <c:v>1056</c:v>
                </c:pt>
                <c:pt idx="9">
                  <c:v>1177</c:v>
                </c:pt>
                <c:pt idx="10">
                  <c:v>1300</c:v>
                </c:pt>
                <c:pt idx="11">
                  <c:v>1426</c:v>
                </c:pt>
                <c:pt idx="12">
                  <c:v>1558</c:v>
                </c:pt>
                <c:pt idx="13">
                  <c:v>1697</c:v>
                </c:pt>
                <c:pt idx="14">
                  <c:v>1842</c:v>
                </c:pt>
                <c:pt idx="15">
                  <c:v>2001</c:v>
                </c:pt>
                <c:pt idx="16">
                  <c:v>2180</c:v>
                </c:pt>
                <c:pt idx="17">
                  <c:v>2410</c:v>
                </c:pt>
                <c:pt idx="18">
                  <c:v>2801</c:v>
                </c:pt>
              </c:numCache>
            </c:numRef>
          </c:xVal>
          <c:yVal>
            <c:numRef>
              <c:f>'Figure 4'!$M$10:$M$28</c:f>
              <c:numCache>
                <c:formatCode>General</c:formatCode>
                <c:ptCount val="19"/>
                <c:pt idx="0">
                  <c:v>4.8780487804878057</c:v>
                </c:pt>
                <c:pt idx="1">
                  <c:v>5.0420168067226889</c:v>
                </c:pt>
                <c:pt idx="2">
                  <c:v>5.2631578947368434</c:v>
                </c:pt>
                <c:pt idx="3">
                  <c:v>5.1724137931034484</c:v>
                </c:pt>
                <c:pt idx="4">
                  <c:v>5.2173913043478262</c:v>
                </c:pt>
                <c:pt idx="5">
                  <c:v>5.2173913043478262</c:v>
                </c:pt>
                <c:pt idx="6">
                  <c:v>5.1724137931034484</c:v>
                </c:pt>
                <c:pt idx="7">
                  <c:v>5.0847457627118651</c:v>
                </c:pt>
                <c:pt idx="8">
                  <c:v>5.0000000000000018</c:v>
                </c:pt>
                <c:pt idx="9">
                  <c:v>4.9586776859504127</c:v>
                </c:pt>
                <c:pt idx="10">
                  <c:v>4.8780487804878057</c:v>
                </c:pt>
                <c:pt idx="11">
                  <c:v>4.7619047619047619</c:v>
                </c:pt>
                <c:pt idx="12">
                  <c:v>4.5454545454545459</c:v>
                </c:pt>
                <c:pt idx="13">
                  <c:v>4.3165467625899279</c:v>
                </c:pt>
                <c:pt idx="14">
                  <c:v>4.137931034482758</c:v>
                </c:pt>
                <c:pt idx="15">
                  <c:v>3.7735849056603774</c:v>
                </c:pt>
                <c:pt idx="16">
                  <c:v>3.3519553072625698</c:v>
                </c:pt>
                <c:pt idx="17">
                  <c:v>1.5652173913043481</c:v>
                </c:pt>
                <c:pt idx="18">
                  <c:v>0.92071611253196939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1D-455C-B5F5-21C892B13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369039"/>
        <c:axId val="1365370287"/>
      </c:scatterChart>
      <c:valAx>
        <c:axId val="1365369039"/>
        <c:scaling>
          <c:orientation val="minMax"/>
          <c:max val="15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70287"/>
        <c:crosses val="autoZero"/>
        <c:crossBetween val="midCat"/>
        <c:majorUnit val="5000"/>
      </c:valAx>
      <c:valAx>
        <c:axId val="1365370287"/>
        <c:scaling>
          <c:orientation val="minMax"/>
          <c:max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Product Recovery per pass (r,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69039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tr"/>
      <c:layout>
        <c:manualLayout>
          <c:xMode val="edge"/>
          <c:yMode val="edge"/>
          <c:x val="0.61865598711921788"/>
          <c:y val="0.5214360952048438"/>
          <c:w val="0.24496700503495786"/>
          <c:h val="0.2103570624713111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0.028 m/s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'Figure 4'!$B$40:$B$57</c:f>
              <c:numCache>
                <c:formatCode>General</c:formatCode>
                <c:ptCount val="18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55.000000000000007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</c:numCache>
            </c:numRef>
          </c:xVal>
          <c:yVal>
            <c:numRef>
              <c:f>'Figure 4'!$K$40:$K$57</c:f>
              <c:numCache>
                <c:formatCode>General</c:formatCode>
                <c:ptCount val="18"/>
                <c:pt idx="0">
                  <c:v>99.083969465648863</c:v>
                </c:pt>
                <c:pt idx="1">
                  <c:v>99.130882352941171</c:v>
                </c:pt>
                <c:pt idx="2">
                  <c:v>99.141061452513966</c:v>
                </c:pt>
                <c:pt idx="3">
                  <c:v>99.142281879194627</c:v>
                </c:pt>
                <c:pt idx="4">
                  <c:v>99.118020304568532</c:v>
                </c:pt>
                <c:pt idx="5">
                  <c:v>99.103365384615387</c:v>
                </c:pt>
                <c:pt idx="6">
                  <c:v>99.078409090909091</c:v>
                </c:pt>
                <c:pt idx="7">
                  <c:v>99.051891891891898</c:v>
                </c:pt>
                <c:pt idx="8">
                  <c:v>99.008238928939235</c:v>
                </c:pt>
                <c:pt idx="9">
                  <c:v>99.073728813559327</c:v>
                </c:pt>
                <c:pt idx="10">
                  <c:v>98.976782752902153</c:v>
                </c:pt>
                <c:pt idx="11">
                  <c:v>99.026499302649924</c:v>
                </c:pt>
                <c:pt idx="12">
                  <c:v>98.962868117797697</c:v>
                </c:pt>
                <c:pt idx="13">
                  <c:v>98.920090039392235</c:v>
                </c:pt>
                <c:pt idx="14">
                  <c:v>98.930555555555557</c:v>
                </c:pt>
                <c:pt idx="15">
                  <c:v>98.870229007633597</c:v>
                </c:pt>
                <c:pt idx="16">
                  <c:v>98.619631901840492</c:v>
                </c:pt>
                <c:pt idx="17">
                  <c:v>98.191037735849051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40-448C-A869-26039503BC93}"/>
            </c:ext>
          </c:extLst>
        </c:ser>
        <c:ser>
          <c:idx val="2"/>
          <c:order val="1"/>
          <c:tx>
            <c:v>0.084 m/s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'Figure 4'!$B$69:$B$85</c:f>
              <c:numCache>
                <c:formatCode>General</c:formatCode>
                <c:ptCount val="1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55.000000000000007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</c:numCache>
            </c:numRef>
          </c:xVal>
          <c:yVal>
            <c:numRef>
              <c:f>'Figure 4'!$J$69:$J$85</c:f>
              <c:numCache>
                <c:formatCode>General</c:formatCode>
                <c:ptCount val="17"/>
                <c:pt idx="0">
                  <c:v>99.207261724659617</c:v>
                </c:pt>
                <c:pt idx="1">
                  <c:v>99.317851959361391</c:v>
                </c:pt>
                <c:pt idx="2">
                  <c:v>99.297260273972597</c:v>
                </c:pt>
                <c:pt idx="3">
                  <c:v>99.302083333333329</c:v>
                </c:pt>
                <c:pt idx="4">
                  <c:v>99.292742927429273</c:v>
                </c:pt>
                <c:pt idx="5">
                  <c:v>99.286210892236383</c:v>
                </c:pt>
                <c:pt idx="6">
                  <c:v>99.28478260869565</c:v>
                </c:pt>
                <c:pt idx="7">
                  <c:v>99.275757575757567</c:v>
                </c:pt>
                <c:pt idx="8">
                  <c:v>99.255140186915895</c:v>
                </c:pt>
                <c:pt idx="9">
                  <c:v>99.225241016652049</c:v>
                </c:pt>
                <c:pt idx="10">
                  <c:v>99.18684843624699</c:v>
                </c:pt>
                <c:pt idx="11">
                  <c:v>99.178441369264377</c:v>
                </c:pt>
                <c:pt idx="12">
                  <c:v>99.140052356020945</c:v>
                </c:pt>
                <c:pt idx="13">
                  <c:v>99.067551963048501</c:v>
                </c:pt>
                <c:pt idx="14">
                  <c:v>99.005580923389147</c:v>
                </c:pt>
                <c:pt idx="15">
                  <c:v>98.983739837398375</c:v>
                </c:pt>
                <c:pt idx="16">
                  <c:v>98.829431438127088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40-448C-A869-26039503BC93}"/>
            </c:ext>
          </c:extLst>
        </c:ser>
        <c:ser>
          <c:idx val="0"/>
          <c:order val="2"/>
          <c:tx>
            <c:v>0.14 m/s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x"/>
            <c:size val="8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'Figure 4'!$B$11:$B$28</c:f>
              <c:numCache>
                <c:formatCode>General</c:formatCode>
                <c:ptCount val="18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55.000000000000007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</c:numCache>
            </c:numRef>
          </c:xVal>
          <c:yVal>
            <c:numRef>
              <c:f>'Figure 4'!$K$11:$K$28</c:f>
              <c:numCache>
                <c:formatCode>General</c:formatCode>
                <c:ptCount val="18"/>
                <c:pt idx="0">
                  <c:v>99.343283582089555</c:v>
                </c:pt>
                <c:pt idx="1">
                  <c:v>99.402560455192031</c:v>
                </c:pt>
                <c:pt idx="2">
                  <c:v>99.399460188933872</c:v>
                </c:pt>
                <c:pt idx="3">
                  <c:v>99.399234693877546</c:v>
                </c:pt>
                <c:pt idx="4">
                  <c:v>99.380894800483674</c:v>
                </c:pt>
                <c:pt idx="5">
                  <c:v>99.381653454133641</c:v>
                </c:pt>
                <c:pt idx="6">
                  <c:v>99.370680628272254</c:v>
                </c:pt>
                <c:pt idx="7">
                  <c:v>99.356581532416499</c:v>
                </c:pt>
                <c:pt idx="8">
                  <c:v>99.339075249320047</c:v>
                </c:pt>
                <c:pt idx="9">
                  <c:v>99.311666666666667</c:v>
                </c:pt>
                <c:pt idx="10">
                  <c:v>99.32677760968231</c:v>
                </c:pt>
                <c:pt idx="11">
                  <c:v>99.274710293115191</c:v>
                </c:pt>
                <c:pt idx="12">
                  <c:v>99.241545893719803</c:v>
                </c:pt>
                <c:pt idx="13">
                  <c:v>99.171045576407508</c:v>
                </c:pt>
                <c:pt idx="14">
                  <c:v>99.175965665236049</c:v>
                </c:pt>
                <c:pt idx="15">
                  <c:v>99.091872791519435</c:v>
                </c:pt>
                <c:pt idx="16">
                  <c:v>98.755102040816325</c:v>
                </c:pt>
                <c:pt idx="17">
                  <c:v>97.995780590717303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40-448C-A869-26039503B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369039"/>
        <c:axId val="1365370287"/>
      </c:scatterChart>
      <c:valAx>
        <c:axId val="1365369039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Recovery Ratio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70287"/>
        <c:crosses val="autoZero"/>
        <c:crossBetween val="midCat"/>
        <c:majorUnit val="20"/>
      </c:valAx>
      <c:valAx>
        <c:axId val="1365370287"/>
        <c:scaling>
          <c:orientation val="minMax"/>
          <c:min val="9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Conductivity Rejection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69039"/>
        <c:crosses val="autoZero"/>
        <c:crossBetween val="midCat"/>
        <c:majorUnit val="1"/>
      </c:valAx>
      <c:spPr>
        <a:noFill/>
        <a:ln w="19050">
          <a:solidFill>
            <a:schemeClr val="tx1"/>
          </a:solidFill>
        </a:ln>
        <a:effectLst/>
      </c:spPr>
    </c:plotArea>
    <c:legend>
      <c:legendPos val="tr"/>
      <c:layout>
        <c:manualLayout>
          <c:xMode val="edge"/>
          <c:yMode val="edge"/>
          <c:x val="0.61865598711921788"/>
          <c:y val="0.5214360952048438"/>
          <c:w val="0.24496700503495786"/>
          <c:h val="0.2103570624713111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'[1]Energy and Collated Analysis'!$J$35:$J$37</c:f>
              <c:numCache>
                <c:formatCode>General</c:formatCode>
                <c:ptCount val="3"/>
                <c:pt idx="0">
                  <c:v>2.8000000000000001E-2</c:v>
                </c:pt>
                <c:pt idx="1">
                  <c:v>8.4000000000000005E-2</c:v>
                </c:pt>
                <c:pt idx="2">
                  <c:v>0.14000000000000001</c:v>
                </c:pt>
              </c:numCache>
            </c:numRef>
          </c:cat>
          <c:val>
            <c:numRef>
              <c:f>'[1]Energy and Collated Analysis'!$I$35:$I$37</c:f>
              <c:numCache>
                <c:formatCode>General</c:formatCode>
                <c:ptCount val="3"/>
                <c:pt idx="0">
                  <c:v>4.7725694444444446</c:v>
                </c:pt>
                <c:pt idx="1">
                  <c:v>12.5</c:v>
                </c:pt>
                <c:pt idx="2">
                  <c:v>20.920138888888889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F-495C-A05C-5A7948664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3664480"/>
        <c:axId val="293663648"/>
      </c:barChart>
      <c:lineChart>
        <c:grouping val="standard"/>
        <c:varyColors val="0"/>
        <c:ser>
          <c:idx val="1"/>
          <c:order val="1"/>
          <c:tx>
            <c:v>Theoretical Minimum</c:v>
          </c:tx>
          <c:spPr>
            <a:ln w="381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('[1]Energy and Collated Analysis'!$N$45,'[1]Energy and Collated Analysis'!$N$47,'[1]Energy and Collated Analysis'!$N$49)</c:f>
              <c:numCache>
                <c:formatCode>General</c:formatCode>
                <c:ptCount val="3"/>
                <c:pt idx="0">
                  <c:v>0.17294940102127251</c:v>
                </c:pt>
                <c:pt idx="1">
                  <c:v>0.17294940102127251</c:v>
                </c:pt>
                <c:pt idx="2">
                  <c:v>0.17294940102127251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F-495C-A05C-5A7948664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664480"/>
        <c:axId val="293663648"/>
      </c:lineChart>
      <c:catAx>
        <c:axId val="293664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Cross-Flow Velocity (m s</a:t>
                </a:r>
                <a:r>
                  <a:rPr lang="en-GB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GB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63648"/>
        <c:crosses val="autoZero"/>
        <c:auto val="1"/>
        <c:lblAlgn val="ctr"/>
        <c:lblOffset val="100"/>
        <c:noMultiLvlLbl val="0"/>
      </c:catAx>
      <c:valAx>
        <c:axId val="293663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Pumping Energy (kWh m</a:t>
                </a:r>
                <a:r>
                  <a:rPr lang="en-GB" baseline="30000">
                    <a:solidFill>
                      <a:sysClr val="windowText" lastClr="000000"/>
                    </a:solidFill>
                  </a:rPr>
                  <a:t>-3</a:t>
                </a:r>
                <a:r>
                  <a:rPr lang="en-GB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664480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5366110715025703"/>
          <c:y val="8.1411699983091598E-2"/>
          <c:w val="0.30725332071227052"/>
          <c:h val="0.1085613073143684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3 Elements - Series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</c:marker>
          <c:xVal>
            <c:numRef>
              <c:f>'Figure 5'!$B$9:$B$17</c:f>
              <c:numCache>
                <c:formatCode>General</c:formatCode>
                <c:ptCount val="9"/>
                <c:pt idx="0">
                  <c:v>60</c:v>
                </c:pt>
                <c:pt idx="1">
                  <c:v>120</c:v>
                </c:pt>
                <c:pt idx="2">
                  <c:v>240</c:v>
                </c:pt>
                <c:pt idx="3">
                  <c:v>360</c:v>
                </c:pt>
                <c:pt idx="4">
                  <c:v>480</c:v>
                </c:pt>
                <c:pt idx="5">
                  <c:v>600</c:v>
                </c:pt>
                <c:pt idx="6">
                  <c:v>770</c:v>
                </c:pt>
                <c:pt idx="7">
                  <c:v>900</c:v>
                </c:pt>
                <c:pt idx="8">
                  <c:v>1080</c:v>
                </c:pt>
              </c:numCache>
            </c:numRef>
          </c:xVal>
          <c:yVal>
            <c:numRef>
              <c:f>'Figure 5'!$T$9:$T$17</c:f>
              <c:numCache>
                <c:formatCode>General</c:formatCode>
                <c:ptCount val="9"/>
                <c:pt idx="0">
                  <c:v>63.59999999999998</c:v>
                </c:pt>
                <c:pt idx="1">
                  <c:v>64.199999999999989</c:v>
                </c:pt>
                <c:pt idx="2">
                  <c:v>62</c:v>
                </c:pt>
                <c:pt idx="3">
                  <c:v>59.249999999999993</c:v>
                </c:pt>
                <c:pt idx="4">
                  <c:v>60.999999999999986</c:v>
                </c:pt>
                <c:pt idx="5">
                  <c:v>56.75</c:v>
                </c:pt>
                <c:pt idx="6">
                  <c:v>52.235294117647044</c:v>
                </c:pt>
                <c:pt idx="7">
                  <c:v>47.538461538461533</c:v>
                </c:pt>
                <c:pt idx="8">
                  <c:v>35.166666666666657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02-42D0-A299-E772E471E6E9}"/>
            </c:ext>
          </c:extLst>
        </c:ser>
        <c:ser>
          <c:idx val="2"/>
          <c:order val="1"/>
          <c:tx>
            <c:v>2 Elements - Series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bg1"/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'Figure 5'!$B$28:$B$41</c:f>
              <c:numCache>
                <c:formatCode>General</c:formatCode>
                <c:ptCount val="14"/>
                <c:pt idx="0">
                  <c:v>120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840</c:v>
                </c:pt>
                <c:pt idx="7">
                  <c:v>960</c:v>
                </c:pt>
                <c:pt idx="8">
                  <c:v>1080</c:v>
                </c:pt>
                <c:pt idx="9">
                  <c:v>1200</c:v>
                </c:pt>
                <c:pt idx="10">
                  <c:v>1320</c:v>
                </c:pt>
                <c:pt idx="11">
                  <c:v>1440</c:v>
                </c:pt>
                <c:pt idx="12">
                  <c:v>1560</c:v>
                </c:pt>
                <c:pt idx="13">
                  <c:v>1613</c:v>
                </c:pt>
              </c:numCache>
            </c:numRef>
          </c:xVal>
          <c:yVal>
            <c:numRef>
              <c:f>'Figure 5'!$P$28:$P$41</c:f>
              <c:numCache>
                <c:formatCode>General</c:formatCode>
                <c:ptCount val="14"/>
                <c:pt idx="0">
                  <c:v>43.499999999999993</c:v>
                </c:pt>
                <c:pt idx="1">
                  <c:v>44</c:v>
                </c:pt>
                <c:pt idx="2">
                  <c:v>44.749999999999993</c:v>
                </c:pt>
                <c:pt idx="3">
                  <c:v>44.25</c:v>
                </c:pt>
                <c:pt idx="4">
                  <c:v>43.5</c:v>
                </c:pt>
                <c:pt idx="5">
                  <c:v>42</c:v>
                </c:pt>
                <c:pt idx="6">
                  <c:v>40.75</c:v>
                </c:pt>
                <c:pt idx="7">
                  <c:v>39</c:v>
                </c:pt>
                <c:pt idx="8">
                  <c:v>37</c:v>
                </c:pt>
                <c:pt idx="9">
                  <c:v>33.75</c:v>
                </c:pt>
                <c:pt idx="10">
                  <c:v>30.75</c:v>
                </c:pt>
                <c:pt idx="11">
                  <c:v>25.5</c:v>
                </c:pt>
                <c:pt idx="12">
                  <c:v>20.000000000000004</c:v>
                </c:pt>
                <c:pt idx="13">
                  <c:v>22.075471698113212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02-42D0-A299-E772E471E6E9}"/>
            </c:ext>
          </c:extLst>
        </c:ser>
        <c:ser>
          <c:idx val="0"/>
          <c:order val="2"/>
          <c:tx>
            <c:v>1 Element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</c:marker>
          <c:xVal>
            <c:numRef>
              <c:f>'Figure 5'!$C$50:$C$67</c:f>
              <c:numCache>
                <c:formatCode>General</c:formatCode>
                <c:ptCount val="18"/>
                <c:pt idx="0">
                  <c:v>290.66666666666669</c:v>
                </c:pt>
                <c:pt idx="1">
                  <c:v>436.33333333333331</c:v>
                </c:pt>
                <c:pt idx="2">
                  <c:v>577</c:v>
                </c:pt>
                <c:pt idx="3">
                  <c:v>722.33333333333337</c:v>
                </c:pt>
                <c:pt idx="4">
                  <c:v>866</c:v>
                </c:pt>
                <c:pt idx="5">
                  <c:v>1014.3333333333334</c:v>
                </c:pt>
                <c:pt idx="6">
                  <c:v>1165</c:v>
                </c:pt>
                <c:pt idx="7">
                  <c:v>1317</c:v>
                </c:pt>
                <c:pt idx="8">
                  <c:v>1476.6666666666667</c:v>
                </c:pt>
                <c:pt idx="9">
                  <c:v>1638.6666666666667</c:v>
                </c:pt>
                <c:pt idx="10">
                  <c:v>1806</c:v>
                </c:pt>
                <c:pt idx="11">
                  <c:v>1981.6666666666667</c:v>
                </c:pt>
                <c:pt idx="12">
                  <c:v>2166.3333333333335</c:v>
                </c:pt>
                <c:pt idx="13">
                  <c:v>2363.3333333333335</c:v>
                </c:pt>
                <c:pt idx="14">
                  <c:v>2584</c:v>
                </c:pt>
                <c:pt idx="15">
                  <c:v>2832</c:v>
                </c:pt>
                <c:pt idx="16">
                  <c:v>3135</c:v>
                </c:pt>
                <c:pt idx="17">
                  <c:v>3552.6666666666665</c:v>
                </c:pt>
              </c:numCache>
            </c:numRef>
          </c:xVal>
          <c:yVal>
            <c:numRef>
              <c:f>'Figure 5'!$J$50:$J$67</c:f>
              <c:numCache>
                <c:formatCode>General</c:formatCode>
                <c:ptCount val="18"/>
                <c:pt idx="0">
                  <c:v>20.773143839873203</c:v>
                </c:pt>
                <c:pt idx="1">
                  <c:v>20.739498600140234</c:v>
                </c:pt>
                <c:pt idx="2">
                  <c:v>21.449927699316135</c:v>
                </c:pt>
                <c:pt idx="3">
                  <c:v>20.751867356152019</c:v>
                </c:pt>
                <c:pt idx="4">
                  <c:v>21.002201234759376</c:v>
                </c:pt>
                <c:pt idx="5">
                  <c:v>20.356484403034017</c:v>
                </c:pt>
                <c:pt idx="6">
                  <c:v>20.026834158999765</c:v>
                </c:pt>
                <c:pt idx="7">
                  <c:v>19.88696406841818</c:v>
                </c:pt>
                <c:pt idx="8">
                  <c:v>18.926932475117709</c:v>
                </c:pt>
                <c:pt idx="9">
                  <c:v>18.671732899084841</c:v>
                </c:pt>
                <c:pt idx="10">
                  <c:v>18.085270124672927</c:v>
                </c:pt>
                <c:pt idx="11">
                  <c:v>17.219294393207438</c:v>
                </c:pt>
                <c:pt idx="12">
                  <c:v>16.415955358585375</c:v>
                </c:pt>
                <c:pt idx="13">
                  <c:v>15.361852494843701</c:v>
                </c:pt>
                <c:pt idx="14">
                  <c:v>13.763379602623102</c:v>
                </c:pt>
                <c:pt idx="15">
                  <c:v>12.277034559643255</c:v>
                </c:pt>
                <c:pt idx="16">
                  <c:v>8.4748743594078064</c:v>
                </c:pt>
                <c:pt idx="17">
                  <c:v>6.1678424559464915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02-42D0-A299-E772E471E6E9}"/>
            </c:ext>
          </c:extLst>
        </c:ser>
        <c:ser>
          <c:idx val="3"/>
          <c:order val="3"/>
          <c:tx>
            <c:v>2 Elements - Parallel</c:v>
          </c:tx>
          <c:spPr>
            <a:ln w="1905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5'!$B$79:$B$89</c:f>
              <c:numCache>
                <c:formatCode>General</c:formatCode>
                <c:ptCount val="11"/>
                <c:pt idx="0">
                  <c:v>225</c:v>
                </c:pt>
                <c:pt idx="1">
                  <c:v>359</c:v>
                </c:pt>
                <c:pt idx="2">
                  <c:v>489</c:v>
                </c:pt>
                <c:pt idx="3">
                  <c:v>620</c:v>
                </c:pt>
                <c:pt idx="4">
                  <c:v>755</c:v>
                </c:pt>
                <c:pt idx="5">
                  <c:v>893</c:v>
                </c:pt>
                <c:pt idx="6">
                  <c:v>1042</c:v>
                </c:pt>
                <c:pt idx="7">
                  <c:v>1184</c:v>
                </c:pt>
                <c:pt idx="8">
                  <c:v>1343</c:v>
                </c:pt>
                <c:pt idx="9">
                  <c:v>1500</c:v>
                </c:pt>
                <c:pt idx="10">
                  <c:v>1707</c:v>
                </c:pt>
              </c:numCache>
            </c:numRef>
          </c:xVal>
          <c:yVal>
            <c:numRef>
              <c:f>'Figure 5'!$P$79:$P$89</c:f>
              <c:numCache>
                <c:formatCode>General</c:formatCode>
                <c:ptCount val="11"/>
                <c:pt idx="0">
                  <c:v>21.923076923076923</c:v>
                </c:pt>
                <c:pt idx="1">
                  <c:v>20.03731343283582</c:v>
                </c:pt>
                <c:pt idx="2">
                  <c:v>19.615384615384617</c:v>
                </c:pt>
                <c:pt idx="3">
                  <c:v>19.580152671755719</c:v>
                </c:pt>
                <c:pt idx="4">
                  <c:v>18.666666666666661</c:v>
                </c:pt>
                <c:pt idx="5">
                  <c:v>18.369565217391301</c:v>
                </c:pt>
                <c:pt idx="6">
                  <c:v>17.214765100671141</c:v>
                </c:pt>
                <c:pt idx="7">
                  <c:v>16.056338028169012</c:v>
                </c:pt>
                <c:pt idx="8">
                  <c:v>14.433962264150946</c:v>
                </c:pt>
                <c:pt idx="9">
                  <c:v>12.13375796178344</c:v>
                </c:pt>
                <c:pt idx="10">
                  <c:v>9.3478260869565233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02-42D0-A299-E772E471E6E9}"/>
            </c:ext>
          </c:extLst>
        </c:ser>
        <c:ser>
          <c:idx val="4"/>
          <c:order val="4"/>
          <c:tx>
            <c:v>3 Elements - Parallel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5'!$B$101:$B$110</c:f>
              <c:numCache>
                <c:formatCode>General</c:formatCode>
                <c:ptCount val="10"/>
                <c:pt idx="0">
                  <c:v>120</c:v>
                </c:pt>
                <c:pt idx="1">
                  <c:v>240</c:v>
                </c:pt>
                <c:pt idx="2">
                  <c:v>360</c:v>
                </c:pt>
                <c:pt idx="3">
                  <c:v>480</c:v>
                </c:pt>
                <c:pt idx="4">
                  <c:v>600</c:v>
                </c:pt>
                <c:pt idx="5">
                  <c:v>720</c:v>
                </c:pt>
                <c:pt idx="6">
                  <c:v>840</c:v>
                </c:pt>
                <c:pt idx="7">
                  <c:v>960</c:v>
                </c:pt>
                <c:pt idx="8">
                  <c:v>1080</c:v>
                </c:pt>
                <c:pt idx="9">
                  <c:v>1165</c:v>
                </c:pt>
              </c:numCache>
            </c:numRef>
          </c:xVal>
          <c:yVal>
            <c:numRef>
              <c:f>'Figure 5'!$T$101:$T$110</c:f>
              <c:numCache>
                <c:formatCode>General</c:formatCode>
                <c:ptCount val="10"/>
                <c:pt idx="0">
                  <c:v>19.766666666666662</c:v>
                </c:pt>
                <c:pt idx="1">
                  <c:v>18.499999999999996</c:v>
                </c:pt>
                <c:pt idx="2">
                  <c:v>19.249999999999996</c:v>
                </c:pt>
                <c:pt idx="3">
                  <c:v>18.583333333333329</c:v>
                </c:pt>
                <c:pt idx="4">
                  <c:v>18.333333333333336</c:v>
                </c:pt>
                <c:pt idx="5">
                  <c:v>17</c:v>
                </c:pt>
                <c:pt idx="6">
                  <c:v>15.499999999999998</c:v>
                </c:pt>
                <c:pt idx="7">
                  <c:v>13.83333333333333</c:v>
                </c:pt>
                <c:pt idx="8">
                  <c:v>11.583333333333334</c:v>
                </c:pt>
                <c:pt idx="9">
                  <c:v>9.2941176470588207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02-42D0-A299-E772E471E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369039"/>
        <c:axId val="1365370287"/>
      </c:scatterChart>
      <c:valAx>
        <c:axId val="1365369039"/>
        <c:scaling>
          <c:orientation val="minMax"/>
          <c:max val="4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70287"/>
        <c:crosses val="autoZero"/>
        <c:crossBetween val="midCat"/>
        <c:majorUnit val="1000"/>
      </c:valAx>
      <c:valAx>
        <c:axId val="1365370287"/>
        <c:scaling>
          <c:orientation val="minMax"/>
          <c:max val="7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Product Recovery per pass (r,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69039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tr"/>
      <c:layout>
        <c:manualLayout>
          <c:xMode val="edge"/>
          <c:yMode val="edge"/>
          <c:x val="0.45750959355538884"/>
          <c:y val="8.0345447540773121E-2"/>
          <c:w val="0.43595099265687431"/>
          <c:h val="0.278405150775768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3 Elements - Series (1 lpm)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</c:marker>
          <c:xVal>
            <c:numRef>
              <c:f>'Figure 5'!$S$10:$S$17</c:f>
              <c:numCache>
                <c:formatCode>General</c:formatCode>
                <c:ptCount val="8"/>
                <c:pt idx="0">
                  <c:v>12.780000000000001</c:v>
                </c:pt>
                <c:pt idx="1">
                  <c:v>25.18</c:v>
                </c:pt>
                <c:pt idx="2">
                  <c:v>37.03</c:v>
                </c:pt>
                <c:pt idx="3">
                  <c:v>49.230000000000004</c:v>
                </c:pt>
                <c:pt idx="4">
                  <c:v>60.580000000000005</c:v>
                </c:pt>
                <c:pt idx="5">
                  <c:v>75.38000000000001</c:v>
                </c:pt>
                <c:pt idx="6">
                  <c:v>85.68</c:v>
                </c:pt>
                <c:pt idx="7">
                  <c:v>96.23</c:v>
                </c:pt>
              </c:numCache>
            </c:numRef>
          </c:xVal>
          <c:yVal>
            <c:numRef>
              <c:f>'Figure 5'!$N$10:$N$17</c:f>
              <c:numCache>
                <c:formatCode>General</c:formatCode>
                <c:ptCount val="8"/>
                <c:pt idx="0">
                  <c:v>97.644214162348874</c:v>
                </c:pt>
                <c:pt idx="1">
                  <c:v>97.88804457953394</c:v>
                </c:pt>
                <c:pt idx="2">
                  <c:v>98.037539574853</c:v>
                </c:pt>
                <c:pt idx="3">
                  <c:v>98.113725490196074</c:v>
                </c:pt>
                <c:pt idx="4">
                  <c:v>98.288499025341139</c:v>
                </c:pt>
                <c:pt idx="5">
                  <c:v>98.113202811244975</c:v>
                </c:pt>
                <c:pt idx="6">
                  <c:v>98.045331790123456</c:v>
                </c:pt>
                <c:pt idx="7">
                  <c:v>98.303677342823249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09-463C-B9DE-4AA8E0A59492}"/>
            </c:ext>
          </c:extLst>
        </c:ser>
        <c:ser>
          <c:idx val="2"/>
          <c:order val="1"/>
          <c:tx>
            <c:v>3 Elements - Parallel (3 lpm)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>
                  <a:lumMod val="85000"/>
                  <a:lumOff val="15000"/>
                </a:schemeClr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'Figure 5'!$S$101:$S$110</c:f>
              <c:numCache>
                <c:formatCode>General</c:formatCode>
                <c:ptCount val="10"/>
                <c:pt idx="0">
                  <c:v>11.149999999999999</c:v>
                </c:pt>
                <c:pt idx="1">
                  <c:v>22.25</c:v>
                </c:pt>
                <c:pt idx="2">
                  <c:v>33.799999999999997</c:v>
                </c:pt>
                <c:pt idx="3">
                  <c:v>44.949999999999996</c:v>
                </c:pt>
                <c:pt idx="4">
                  <c:v>55.949999999999996</c:v>
                </c:pt>
                <c:pt idx="5">
                  <c:v>66.149999999999991</c:v>
                </c:pt>
                <c:pt idx="6">
                  <c:v>75.449999999999989</c:v>
                </c:pt>
                <c:pt idx="7">
                  <c:v>83.749999999999986</c:v>
                </c:pt>
                <c:pt idx="8">
                  <c:v>90.699999999999989</c:v>
                </c:pt>
                <c:pt idx="9">
                  <c:v>94.649999999999991</c:v>
                </c:pt>
              </c:numCache>
            </c:numRef>
          </c:xVal>
          <c:yVal>
            <c:numRef>
              <c:f>'Figure 5'!$N$101:$N$110</c:f>
              <c:numCache>
                <c:formatCode>General</c:formatCode>
                <c:ptCount val="10"/>
                <c:pt idx="0">
                  <c:v>97.496929089893911</c:v>
                </c:pt>
                <c:pt idx="1">
                  <c:v>97.652460679857938</c:v>
                </c:pt>
                <c:pt idx="2">
                  <c:v>97.994214508233199</c:v>
                </c:pt>
                <c:pt idx="3">
                  <c:v>97.977725674091445</c:v>
                </c:pt>
                <c:pt idx="4">
                  <c:v>97.897180762852415</c:v>
                </c:pt>
                <c:pt idx="5">
                  <c:v>97.906557377049168</c:v>
                </c:pt>
                <c:pt idx="6">
                  <c:v>97.96709677419355</c:v>
                </c:pt>
                <c:pt idx="7">
                  <c:v>97.826651818856732</c:v>
                </c:pt>
                <c:pt idx="8">
                  <c:v>97.884722222222223</c:v>
                </c:pt>
                <c:pt idx="9">
                  <c:v>97.68458781362007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09-463C-B9DE-4AA8E0A59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369039"/>
        <c:axId val="1365370287"/>
      </c:scatterChart>
      <c:valAx>
        <c:axId val="1365369039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Recovery Ratio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70287"/>
        <c:crosses val="autoZero"/>
        <c:crossBetween val="midCat"/>
        <c:majorUnit val="20"/>
      </c:valAx>
      <c:valAx>
        <c:axId val="1365370287"/>
        <c:scaling>
          <c:orientation val="minMax"/>
          <c:max val="100"/>
          <c:min val="9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Conductivity Rejection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5369039"/>
        <c:crosses val="autoZero"/>
        <c:crossBetween val="midCat"/>
        <c:majorUnit val="1"/>
      </c:valAx>
      <c:spPr>
        <a:noFill/>
        <a:ln w="19050">
          <a:solidFill>
            <a:schemeClr val="tx1"/>
          </a:solidFill>
        </a:ln>
        <a:effectLst/>
      </c:spPr>
    </c:plotArea>
    <c:legend>
      <c:legendPos val="tr"/>
      <c:layout>
        <c:manualLayout>
          <c:xMode val="edge"/>
          <c:yMode val="edge"/>
          <c:x val="0.39263511133281659"/>
          <c:y val="0.60396554912215716"/>
          <c:w val="0.53414077258520665"/>
          <c:h val="0.1278276085539977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1059827654958"/>
          <c:y val="4.2942940912111753E-2"/>
          <c:w val="0.71975941734150828"/>
          <c:h val="0.783710823403995"/>
        </c:manualLayout>
      </c:layout>
      <c:barChart>
        <c:barDir val="col"/>
        <c:grouping val="clustered"/>
        <c:varyColors val="0"/>
        <c:ser>
          <c:idx val="0"/>
          <c:order val="0"/>
          <c:tx>
            <c:v>Parallel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'[2]Energy - Collated data graphs'!$N$14:$N$16</c:f>
              <c:numCache>
                <c:formatCode>General</c:formatCode>
                <c:ptCount val="3"/>
                <c:pt idx="0">
                  <c:v>0.23</c:v>
                </c:pt>
                <c:pt idx="1">
                  <c:v>0.46</c:v>
                </c:pt>
                <c:pt idx="2">
                  <c:v>0.69</c:v>
                </c:pt>
              </c:numCache>
            </c:numRef>
          </c:cat>
          <c:val>
            <c:numRef>
              <c:f>('[2]Energy - Collated data graphs'!$W$14,'[2]Energy - Collated data graphs'!$W$17:$W$18)</c:f>
              <c:numCache>
                <c:formatCode>General</c:formatCode>
                <c:ptCount val="3"/>
                <c:pt idx="0">
                  <c:v>4.9166666666666661</c:v>
                </c:pt>
                <c:pt idx="1">
                  <c:v>4.9357638888888893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E-450D-A515-BF32E5F5CB0A}"/>
            </c:ext>
          </c:extLst>
        </c:ser>
        <c:ser>
          <c:idx val="1"/>
          <c:order val="1"/>
          <c:tx>
            <c:v>Series</c:v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'[2]Energy - Collated data graphs'!$N$14:$N$16</c:f>
              <c:numCache>
                <c:formatCode>General</c:formatCode>
                <c:ptCount val="3"/>
                <c:pt idx="0">
                  <c:v>0.23</c:v>
                </c:pt>
                <c:pt idx="1">
                  <c:v>0.46</c:v>
                </c:pt>
                <c:pt idx="2">
                  <c:v>0.69</c:v>
                </c:pt>
              </c:numCache>
            </c:numRef>
          </c:cat>
          <c:val>
            <c:numRef>
              <c:f>'[2]Energy - Collated data graphs'!$W$14:$W$16</c:f>
              <c:numCache>
                <c:formatCode>General</c:formatCode>
                <c:ptCount val="3"/>
                <c:pt idx="0">
                  <c:v>4.9166666666666661</c:v>
                </c:pt>
                <c:pt idx="1">
                  <c:v>2.2916666666666665</c:v>
                </c:pt>
                <c:pt idx="2">
                  <c:v>1.5625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1E-450D-A515-BF32E5F5C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018928"/>
        <c:axId val="930018096"/>
      </c:barChart>
      <c:lineChart>
        <c:grouping val="standard"/>
        <c:varyColors val="0"/>
        <c:ser>
          <c:idx val="2"/>
          <c:order val="2"/>
          <c:tx>
            <c:v>Theoretical Minimum Energy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'[2]Energy - Collated data graphs'!$W$26:$W$28</c:f>
              <c:numCache>
                <c:formatCode>General</c:formatCode>
                <c:ptCount val="3"/>
                <c:pt idx="0">
                  <c:v>0.17294940102127251</c:v>
                </c:pt>
                <c:pt idx="1">
                  <c:v>0.17294940102127251</c:v>
                </c:pt>
                <c:pt idx="2">
                  <c:v>0.17294940102127251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E-450D-A515-BF32E5F5C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18928"/>
        <c:axId val="930018096"/>
      </c:lineChart>
      <c:scatterChart>
        <c:scatterStyle val="lineMarker"/>
        <c:varyColors val="0"/>
        <c:ser>
          <c:idx val="3"/>
          <c:order val="3"/>
          <c:tx>
            <c:v>Membrane Cost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C00000"/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yVal>
            <c:numRef>
              <c:f>'[2]Energy - Collated data graphs'!$Y$14:$Y$16</c:f>
              <c:numCache>
                <c:formatCode>General</c:formatCode>
                <c:ptCount val="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1E-450D-A515-BF32E5F5C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243983"/>
        <c:axId val="1129236495"/>
      </c:scatterChart>
      <c:catAx>
        <c:axId val="930018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Membrane Surface Area (m</a:t>
                </a:r>
                <a:r>
                  <a:rPr lang="en-GB" sz="1200" b="1" i="0" u="none" strike="noStrike" kern="1200" baseline="3000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2</a:t>
                </a: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GB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018096"/>
        <c:crosses val="autoZero"/>
        <c:auto val="1"/>
        <c:lblAlgn val="ctr"/>
        <c:lblOffset val="100"/>
        <c:noMultiLvlLbl val="0"/>
      </c:catAx>
      <c:valAx>
        <c:axId val="930018096"/>
        <c:scaling>
          <c:orientation val="minMax"/>
          <c:max val="9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Pumping Energy (kWh m</a:t>
                </a:r>
                <a:r>
                  <a:rPr lang="en-GB" sz="1200" b="1" i="0" u="none" strike="noStrike" kern="1200" baseline="3000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-3</a:t>
                </a: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1905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018928"/>
        <c:crosses val="autoZero"/>
        <c:crossBetween val="between"/>
      </c:valAx>
      <c:valAx>
        <c:axId val="1129236495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Membrane Cost (US$)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GB"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9243983"/>
        <c:crosses val="max"/>
        <c:crossBetween val="midCat"/>
      </c:valAx>
      <c:valAx>
        <c:axId val="1129243983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236495"/>
        <c:crosses val="autoZero"/>
        <c:crossBetween val="midCat"/>
      </c:valAx>
      <c:spPr>
        <a:noFill/>
        <a:ln w="19050"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7.1646496051036623E-2"/>
          <c:y val="5.1217763422424546E-2"/>
          <c:w val="0.65161457581084981"/>
          <c:h val="0.25398639063445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731000" cy="7812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9ED1828-BFAF-4FA9-81FE-E941267C80B2}"/>
            </a:ext>
          </a:extLst>
        </xdr:cNvPr>
        <xdr:cNvSpPr txBox="1"/>
      </xdr:nvSpPr>
      <xdr:spPr>
        <a:xfrm>
          <a:off x="0" y="0"/>
          <a:ext cx="673100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NaCl = 0.056 M;</a:t>
          </a:r>
          <a:r>
            <a:rPr lang="en-GB" sz="1100" baseline="0"/>
            <a:t> </a:t>
          </a:r>
          <a:r>
            <a:rPr lang="en-GB" sz="1100"/>
            <a:t>30 Bar operating pressure constant</a:t>
          </a:r>
        </a:p>
        <a:p>
          <a:r>
            <a:rPr lang="en-GB" sz="1100"/>
            <a:t>25C</a:t>
          </a:r>
          <a:r>
            <a:rPr lang="en-GB" sz="1100" baseline="0"/>
            <a:t> 3L/min cross flow</a:t>
          </a:r>
        </a:p>
        <a:p>
          <a:r>
            <a:rPr lang="en-GB" sz="1100" baseline="0"/>
            <a:t>10 L feed</a:t>
          </a:r>
        </a:p>
        <a:p>
          <a:r>
            <a:rPr lang="en-GB" sz="1100" baseline="0"/>
            <a:t>29th Oct 2020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2232984" cy="9534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111936-570E-4BEF-B522-26FDB5BC2E33}"/>
            </a:ext>
          </a:extLst>
        </xdr:cNvPr>
        <xdr:cNvSpPr txBox="1"/>
      </xdr:nvSpPr>
      <xdr:spPr>
        <a:xfrm>
          <a:off x="0" y="4841875"/>
          <a:ext cx="2232984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NaCl = 0.056 M</a:t>
          </a:r>
        </a:p>
        <a:p>
          <a:r>
            <a:rPr lang="en-GB" sz="1100"/>
            <a:t> 20 Bar operating pressure constant</a:t>
          </a:r>
        </a:p>
        <a:p>
          <a:r>
            <a:rPr lang="en-GB" sz="1100"/>
            <a:t>25C</a:t>
          </a:r>
          <a:r>
            <a:rPr lang="en-GB" sz="1100" baseline="0"/>
            <a:t> 3L/min cross flow</a:t>
          </a:r>
        </a:p>
        <a:p>
          <a:r>
            <a:rPr lang="en-GB" sz="1100" baseline="0"/>
            <a:t>10 L feed</a:t>
          </a:r>
        </a:p>
        <a:p>
          <a:r>
            <a:rPr lang="en-GB" sz="1100" baseline="0"/>
            <a:t>29th Oct 2020</a:t>
          </a:r>
          <a:endParaRPr lang="en-GB" sz="1100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2201115" cy="95346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715D2AA-4478-4A0B-BD52-B08BF540C886}"/>
            </a:ext>
          </a:extLst>
        </xdr:cNvPr>
        <xdr:cNvSpPr txBox="1"/>
      </xdr:nvSpPr>
      <xdr:spPr>
        <a:xfrm>
          <a:off x="0" y="9858375"/>
          <a:ext cx="2201115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NaCl = 0.056 M</a:t>
          </a:r>
        </a:p>
        <a:p>
          <a:r>
            <a:rPr lang="en-GB" sz="1100"/>
            <a:t>10 Bar operating pressure constant</a:t>
          </a:r>
        </a:p>
        <a:p>
          <a:r>
            <a:rPr lang="en-GB" sz="1100"/>
            <a:t>25C</a:t>
          </a:r>
          <a:r>
            <a:rPr lang="en-GB" sz="1100" baseline="0"/>
            <a:t> 3L/min cross flow</a:t>
          </a:r>
        </a:p>
        <a:p>
          <a:r>
            <a:rPr lang="en-GB" sz="1100" baseline="0"/>
            <a:t>10 L feed</a:t>
          </a:r>
        </a:p>
        <a:p>
          <a:r>
            <a:rPr lang="en-GB" sz="1100" baseline="0"/>
            <a:t>6 Nov 2020</a:t>
          </a:r>
        </a:p>
      </xdr:txBody>
    </xdr:sp>
    <xdr:clientData/>
  </xdr:oneCellAnchor>
  <xdr:twoCellAnchor>
    <xdr:from>
      <xdr:col>14</xdr:col>
      <xdr:colOff>413657</xdr:colOff>
      <xdr:row>5</xdr:row>
      <xdr:rowOff>163286</xdr:rowOff>
    </xdr:from>
    <xdr:to>
      <xdr:col>20</xdr:col>
      <xdr:colOff>185057</xdr:colOff>
      <xdr:row>24</xdr:row>
      <xdr:rowOff>141516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985434C-EC28-4892-A372-40045ABF5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446315</xdr:colOff>
      <xdr:row>5</xdr:row>
      <xdr:rowOff>163286</xdr:rowOff>
    </xdr:from>
    <xdr:to>
      <xdr:col>26</xdr:col>
      <xdr:colOff>217715</xdr:colOff>
      <xdr:row>24</xdr:row>
      <xdr:rowOff>141516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5994764-A22D-4150-A227-9B51B816F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653143</xdr:colOff>
      <xdr:row>6</xdr:row>
      <xdr:rowOff>87086</xdr:rowOff>
    </xdr:from>
    <xdr:to>
      <xdr:col>31</xdr:col>
      <xdr:colOff>606322</xdr:colOff>
      <xdr:row>24</xdr:row>
      <xdr:rowOff>23593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91D2B59-2FFA-40FA-AD3C-90E034153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14</xdr:col>
      <xdr:colOff>402771</xdr:colOff>
      <xdr:row>5</xdr:row>
      <xdr:rowOff>185057</xdr:rowOff>
    </xdr:from>
    <xdr:ext cx="33778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6774D53-537A-486E-A969-E27C442B7C9F}"/>
            </a:ext>
          </a:extLst>
        </xdr:cNvPr>
        <xdr:cNvSpPr txBox="1"/>
      </xdr:nvSpPr>
      <xdr:spPr>
        <a:xfrm>
          <a:off x="11778342" y="1066800"/>
          <a:ext cx="3377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(a)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0.90936</cdr:x>
      <cdr:y>0.20898</cdr:y>
    </cdr:from>
    <cdr:to>
      <cdr:x>0.90936</cdr:x>
      <cdr:y>0.66111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C4A1A2FD-29E6-443B-986D-4FB52D61716D}"/>
            </a:ext>
          </a:extLst>
        </cdr:cNvPr>
        <cdr:cNvCxnSpPr/>
      </cdr:nvCxnSpPr>
      <cdr:spPr>
        <a:xfrm xmlns:a="http://schemas.openxmlformats.org/drawingml/2006/main">
          <a:off x="4482534" y="802584"/>
          <a:ext cx="0" cy="1736414"/>
        </a:xfrm>
        <a:prstGeom xmlns:a="http://schemas.openxmlformats.org/drawingml/2006/main" prst="straightConnector1">
          <a:avLst/>
        </a:prstGeom>
        <a:ln xmlns:a="http://schemas.openxmlformats.org/drawingml/2006/main" w="2540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0.74467</cdr:x>
      <cdr:y>0.36201</cdr:y>
    </cdr:from>
    <cdr:to>
      <cdr:x>0.89743</cdr:x>
      <cdr:y>0.45382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B0C223AB-172A-4990-8B38-A13A48E44F55}"/>
            </a:ext>
          </a:extLst>
        </cdr:cNvPr>
        <cdr:cNvSpPr txBox="1"/>
      </cdr:nvSpPr>
      <cdr:spPr>
        <a:xfrm xmlns:a="http://schemas.openxmlformats.org/drawingml/2006/main">
          <a:off x="3602181" y="955964"/>
          <a:ext cx="738909" cy="242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b="1"/>
            <a:t>6 ≤ pH ≤ 9</a:t>
          </a:r>
        </a:p>
      </cdr:txBody>
    </cdr:sp>
  </cdr:relSizeAnchor>
  <cdr:relSizeAnchor xmlns:cdr="http://schemas.openxmlformats.org/drawingml/2006/chartDrawing">
    <cdr:from>
      <cdr:x>0.14981</cdr:x>
      <cdr:y>0.03914</cdr:y>
    </cdr:from>
    <cdr:to>
      <cdr:x>0.94485</cdr:x>
      <cdr:y>0.19355</cdr:y>
    </cdr:to>
    <cdr:sp macro="" textlink="">
      <cdr:nvSpPr>
        <cdr:cNvPr id="7" name="Rectangle 6">
          <a:extLst xmlns:a="http://schemas.openxmlformats.org/drawingml/2006/main">
            <a:ext uri="{FF2B5EF4-FFF2-40B4-BE49-F238E27FC236}">
              <a16:creationId xmlns:a16="http://schemas.microsoft.com/office/drawing/2014/main" id="{19550257-0F94-4073-B71F-6EBA0E772CEA}"/>
            </a:ext>
          </a:extLst>
        </cdr:cNvPr>
        <cdr:cNvSpPr/>
      </cdr:nvSpPr>
      <cdr:spPr>
        <a:xfrm xmlns:a="http://schemas.openxmlformats.org/drawingml/2006/main">
          <a:off x="738442" y="150334"/>
          <a:ext cx="3919051" cy="592994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0.14732</cdr:x>
      <cdr:y>0.67661</cdr:y>
    </cdr:from>
    <cdr:to>
      <cdr:x>0.94312</cdr:x>
      <cdr:y>0.82168</cdr:y>
    </cdr:to>
    <cdr:sp macro="" textlink="">
      <cdr:nvSpPr>
        <cdr:cNvPr id="8" name="Rectangle 7">
          <a:extLst xmlns:a="http://schemas.openxmlformats.org/drawingml/2006/main">
            <a:ext uri="{FF2B5EF4-FFF2-40B4-BE49-F238E27FC236}">
              <a16:creationId xmlns:a16="http://schemas.microsoft.com/office/drawing/2014/main" id="{683E9FC3-2A64-4A62-90BE-8ABECB21E7C2}"/>
            </a:ext>
          </a:extLst>
        </cdr:cNvPr>
        <cdr:cNvSpPr/>
      </cdr:nvSpPr>
      <cdr:spPr>
        <a:xfrm xmlns:a="http://schemas.openxmlformats.org/drawingml/2006/main">
          <a:off x="726184" y="2598510"/>
          <a:ext cx="3922776" cy="557138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>
            <a:alpha val="3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0.18911</cdr:x>
      <cdr:y>0.33802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1CB0950A-FD46-44B8-A526-1941D2623550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 b="1"/>
            <a:t>(e)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0.62996</cdr:x>
      <cdr:y>0.18238</cdr:y>
    </cdr:from>
    <cdr:to>
      <cdr:x>0.9523</cdr:x>
      <cdr:y>0.50951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61C0E4A-E017-4C22-8C97-4FDC04C0583F}"/>
            </a:ext>
          </a:extLst>
        </cdr:cNvPr>
        <cdr:cNvSpPr txBox="1"/>
      </cdr:nvSpPr>
      <cdr:spPr>
        <a:xfrm xmlns:a="http://schemas.openxmlformats.org/drawingml/2006/main">
          <a:off x="3110595" y="699033"/>
          <a:ext cx="1591638" cy="125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b="1"/>
            <a:t>TN Rejection ≥ 70 %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0.18866</cdr:x>
      <cdr:y>0.33794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8F91319-2FB9-4F0B-951D-7DF8CB7B5D50}"/>
            </a:ext>
          </a:extLst>
        </cdr:cNvPr>
        <cdr:cNvSpPr txBox="1"/>
      </cdr:nvSpPr>
      <cdr:spPr>
        <a:xfrm xmlns:a="http://schemas.openxmlformats.org/drawingml/2006/main">
          <a:off x="0" y="0"/>
          <a:ext cx="931558" cy="12952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 b="1"/>
            <a:t>(c)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0.63915</cdr:x>
      <cdr:y>0.11438</cdr:y>
    </cdr:from>
    <cdr:to>
      <cdr:x>0.95454</cdr:x>
      <cdr:y>0.44151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1168585-DECC-45AB-9F54-6CA24AEAAB1C}"/>
            </a:ext>
          </a:extLst>
        </cdr:cNvPr>
        <cdr:cNvSpPr txBox="1"/>
      </cdr:nvSpPr>
      <cdr:spPr>
        <a:xfrm xmlns:a="http://schemas.openxmlformats.org/drawingml/2006/main">
          <a:off x="3155982" y="439273"/>
          <a:ext cx="1557320" cy="1256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b="1"/>
            <a:t>TP Rejection ≥ 80 %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0.18909</cdr:x>
      <cdr:y>0.33794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3B8A45A0-428E-4221-887A-859E01BA5C7D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 b="1"/>
            <a:t>(d)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0.18914</cdr:x>
      <cdr:y>0.33874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637D5E2-EF46-4FFB-8069-4538D5426F24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 b="1"/>
            <a:t>(a)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543789</xdr:colOff>
      <xdr:row>15</xdr:row>
      <xdr:rowOff>71085</xdr:rowOff>
    </xdr:from>
    <xdr:to>
      <xdr:col>7</xdr:col>
      <xdr:colOff>978130</xdr:colOff>
      <xdr:row>36</xdr:row>
      <xdr:rowOff>144653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FF8FA8-529C-47D3-8D68-1360A880D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1823220</xdr:colOff>
      <xdr:row>16</xdr:row>
      <xdr:rowOff>60133</xdr:rowOff>
    </xdr:from>
    <xdr:to>
      <xdr:col>2</xdr:col>
      <xdr:colOff>180109</xdr:colOff>
      <xdr:row>35</xdr:row>
      <xdr:rowOff>69273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684572-7046-4A18-92AA-4D8092C5E5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540327</xdr:colOff>
      <xdr:row>16</xdr:row>
      <xdr:rowOff>13855</xdr:rowOff>
    </xdr:from>
    <xdr:ext cx="3443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2E329CA-42FF-4E40-BB3E-F98BA75EF2AE}"/>
            </a:ext>
          </a:extLst>
        </xdr:cNvPr>
        <xdr:cNvSpPr txBox="1"/>
      </xdr:nvSpPr>
      <xdr:spPr>
        <a:xfrm>
          <a:off x="9628909" y="2909455"/>
          <a:ext cx="344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(b)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174913</xdr:colOff>
      <xdr:row>1</xdr:row>
      <xdr:rowOff>269297</xdr:rowOff>
    </xdr:from>
    <xdr:ext cx="2333588" cy="8989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D367CDE-DFFA-4770-BA44-06DBC173BF35}"/>
                </a:ext>
              </a:extLst>
            </xdr:cNvPr>
            <xdr:cNvSpPr txBox="1"/>
          </xdr:nvSpPr>
          <xdr:spPr>
            <a:xfrm>
              <a:off x="10271413" y="453447"/>
              <a:ext cx="2333588" cy="898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endParaRPr lang="en-GB" sz="1100" baseline="0"/>
            </a:p>
            <a:p>
              <a:endParaRPr lang="en-GB" sz="1100" baseline="0"/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 baseline="0">
                        <a:latin typeface="Cambria Math" panose="02040503050406030204" pitchFamily="18" charset="0"/>
                      </a:rPr>
                      <m:t>𝑁𝑃𝑉</m:t>
                    </m:r>
                    <m:r>
                      <a:rPr lang="en-GB" sz="1100" b="0" i="1" baseline="0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lang="en-GB" sz="1100" b="0" i="1" baseline="0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n-GB" sz="1100" b="0" i="1" baseline="0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n-GB" sz="1100" b="0" i="1" baseline="0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en-GB" sz="1100" b="0" i="1" baseline="0">
                            <a:latin typeface="Cambria Math" panose="02040503050406030204" pitchFamily="18" charset="0"/>
                          </a:rPr>
                          <m:t>𝑛</m:t>
                        </m:r>
                      </m:sup>
                      <m:e>
                        <m:f>
                          <m:fPr>
                            <m:ctrlPr>
                              <a:rPr lang="en-GB" sz="1100" b="0" i="1" baseline="0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GB" sz="1100" b="0" i="1" baseline="0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 baseline="0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n-GB" sz="1100" b="0" i="1" baseline="0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b>
                            </m:sSub>
                          </m:num>
                          <m:den>
                            <m:sSup>
                              <m:sSupPr>
                                <m:ctrlPr>
                                  <a:rPr lang="en-GB" sz="1100" b="0" i="1" baseline="0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GB" sz="1100" b="0" i="1" baseline="0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en-GB" sz="1100" b="0" i="1" baseline="0">
                                        <a:latin typeface="Cambria Math" panose="02040503050406030204" pitchFamily="18" charset="0"/>
                                      </a:rPr>
                                      <m:t>1+</m:t>
                                    </m:r>
                                    <m:r>
                                      <a:rPr lang="en-GB" sz="1100" b="0" i="1" baseline="0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en-GB" sz="1100" b="0" i="1" baseline="0">
                                    <a:latin typeface="Cambria Math" panose="02040503050406030204" pitchFamily="18" charset="0"/>
                                  </a:rPr>
                                  <m:t>𝑡</m:t>
                                </m:r>
                              </m:sup>
                            </m:sSup>
                          </m:den>
                        </m:f>
                      </m:e>
                    </m:nary>
                  </m:oMath>
                </m:oMathPara>
              </a14:m>
              <a:endParaRPr lang="en-GB" sz="1100" baseline="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D367CDE-DFFA-4770-BA44-06DBC173BF35}"/>
                </a:ext>
              </a:extLst>
            </xdr:cNvPr>
            <xdr:cNvSpPr txBox="1"/>
          </xdr:nvSpPr>
          <xdr:spPr>
            <a:xfrm>
              <a:off x="10271413" y="453447"/>
              <a:ext cx="2333588" cy="898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endParaRPr lang="en-GB" sz="1100" baseline="0"/>
            </a:p>
            <a:p>
              <a:endParaRPr lang="en-GB" sz="1100" baseline="0"/>
            </a:p>
            <a:p>
              <a:pPr/>
              <a:r>
                <a:rPr lang="en-GB" sz="1100" b="0" i="0" baseline="0">
                  <a:latin typeface="Cambria Math" panose="02040503050406030204" pitchFamily="18" charset="0"/>
                </a:rPr>
                <a:t>𝑁𝑃𝑉=∑_(𝑡=1)^𝑛▒𝑅_𝑡/(1+𝑖)^𝑡 </a:t>
              </a:r>
              <a:endParaRPr lang="en-GB" sz="1100" baseline="0"/>
            </a:p>
          </xdr:txBody>
        </xdr:sp>
      </mc:Fallback>
    </mc:AlternateContent>
    <xdr:clientData/>
  </xdr:oneCellAnchor>
  <xdr:twoCellAnchor>
    <xdr:from>
      <xdr:col>21</xdr:col>
      <xdr:colOff>55419</xdr:colOff>
      <xdr:row>1</xdr:row>
      <xdr:rowOff>33942</xdr:rowOff>
    </xdr:from>
    <xdr:to>
      <xdr:col>28</xdr:col>
      <xdr:colOff>332511</xdr:colOff>
      <xdr:row>20</xdr:row>
      <xdr:rowOff>13853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982015-EBAA-4C51-8C83-B00E59560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157594</xdr:colOff>
      <xdr:row>1</xdr:row>
      <xdr:rowOff>41563</xdr:rowOff>
    </xdr:from>
    <xdr:to>
      <xdr:col>20</xdr:col>
      <xdr:colOff>415635</xdr:colOff>
      <xdr:row>18</xdr:row>
      <xdr:rowOff>156497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90602F-7032-4779-AF68-C19878D7D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21</xdr:col>
      <xdr:colOff>277091</xdr:colOff>
      <xdr:row>1</xdr:row>
      <xdr:rowOff>207818</xdr:rowOff>
    </xdr:from>
    <xdr:ext cx="3443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5F4061F-B8EC-4D0A-A4BC-EDC857333803}"/>
            </a:ext>
          </a:extLst>
        </xdr:cNvPr>
        <xdr:cNvSpPr txBox="1"/>
      </xdr:nvSpPr>
      <xdr:spPr>
        <a:xfrm>
          <a:off x="19202400" y="387927"/>
          <a:ext cx="344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(b)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0.66463</cdr:x>
      <cdr:y>0.03301</cdr:y>
    </cdr:from>
    <cdr:to>
      <cdr:x>0.97786</cdr:x>
      <cdr:y>0.16701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29A02C5-9198-4F3F-98AE-7E04EA3AB570}"/>
            </a:ext>
          </a:extLst>
        </cdr:cNvPr>
        <cdr:cNvSpPr txBox="1"/>
      </cdr:nvSpPr>
      <cdr:spPr>
        <a:xfrm xmlns:a="http://schemas.openxmlformats.org/drawingml/2006/main">
          <a:off x="3279471" y="103739"/>
          <a:ext cx="1545577" cy="421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050" b="1"/>
            <a:t>Membrane Lifetime (years)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0.03791</cdr:x>
      <cdr:y>0.03964</cdr:y>
    </cdr:from>
    <cdr:to>
      <cdr:x>0.25316</cdr:x>
      <cdr:y>0.30123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B01B0E0-A3A9-482D-8962-465EB421694A}"/>
            </a:ext>
          </a:extLst>
        </cdr:cNvPr>
        <cdr:cNvSpPr txBox="1"/>
      </cdr:nvSpPr>
      <cdr:spPr>
        <a:xfrm xmlns:a="http://schemas.openxmlformats.org/drawingml/2006/main">
          <a:off x="161060" y="13854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(a)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0.00855</cdr:x>
      <cdr:y>0.00643</cdr:y>
    </cdr:from>
    <cdr:to>
      <cdr:x>0.24786</cdr:x>
      <cdr:y>0.27653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A072D2E-3613-4F3A-91C4-6F02025077AF}"/>
            </a:ext>
          </a:extLst>
        </cdr:cNvPr>
        <cdr:cNvSpPr txBox="1"/>
      </cdr:nvSpPr>
      <cdr:spPr>
        <a:xfrm xmlns:a="http://schemas.openxmlformats.org/drawingml/2006/main">
          <a:off x="32657" y="2177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(b)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0.27478</cdr:x>
      <cdr:y>0.29049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51DB5DC-5DEC-443A-BDFA-3617A70E2DA5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(c)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01115" cy="9534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8A2C35-2B61-4DA0-B581-9B1853C9EAC5}"/>
            </a:ext>
          </a:extLst>
        </xdr:cNvPr>
        <xdr:cNvSpPr txBox="1"/>
      </xdr:nvSpPr>
      <xdr:spPr>
        <a:xfrm>
          <a:off x="0" y="0"/>
          <a:ext cx="2201115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NaCl = 0.056 M</a:t>
          </a:r>
        </a:p>
        <a:p>
          <a:r>
            <a:rPr lang="en-GB" sz="1100"/>
            <a:t>30 Bar operating pressure constant</a:t>
          </a:r>
        </a:p>
        <a:p>
          <a:r>
            <a:rPr lang="en-GB" sz="1100"/>
            <a:t>25C</a:t>
          </a:r>
          <a:r>
            <a:rPr lang="en-GB" sz="1100" baseline="0"/>
            <a:t> 5L/min cross flow 0.14m/s</a:t>
          </a:r>
        </a:p>
        <a:p>
          <a:r>
            <a:rPr lang="en-GB" sz="1100" baseline="0"/>
            <a:t>10 L feed</a:t>
          </a:r>
        </a:p>
        <a:p>
          <a:r>
            <a:rPr lang="en-GB" sz="1100" baseline="0"/>
            <a:t>12-Nov-2020</a:t>
          </a:r>
          <a:endParaRPr lang="en-GB" sz="1100"/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2201115" cy="9534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60E6F6D-FD52-4FA4-B59E-F9036E920491}"/>
            </a:ext>
          </a:extLst>
        </xdr:cNvPr>
        <xdr:cNvSpPr txBox="1"/>
      </xdr:nvSpPr>
      <xdr:spPr>
        <a:xfrm>
          <a:off x="0" y="5149273"/>
          <a:ext cx="2201115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NaCl = 0.056 M</a:t>
          </a:r>
        </a:p>
        <a:p>
          <a:r>
            <a:rPr lang="en-GB" sz="1100"/>
            <a:t>30 Bar operating pressure constant</a:t>
          </a:r>
        </a:p>
        <a:p>
          <a:r>
            <a:rPr lang="en-GB" sz="1100"/>
            <a:t>25C</a:t>
          </a:r>
          <a:r>
            <a:rPr lang="en-GB" sz="1100" baseline="0"/>
            <a:t> 1L/min cross flow 0.028m/s</a:t>
          </a:r>
        </a:p>
        <a:p>
          <a:r>
            <a:rPr lang="en-GB" sz="1100" baseline="0"/>
            <a:t>10 L feed</a:t>
          </a:r>
        </a:p>
        <a:p>
          <a:r>
            <a:rPr lang="en-GB" sz="1100" baseline="0"/>
            <a:t>12-Nov-2020</a:t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201115" cy="95346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EB11920-2E87-4F43-AD43-9F0842147F0E}"/>
            </a:ext>
          </a:extLst>
        </xdr:cNvPr>
        <xdr:cNvSpPr txBox="1"/>
      </xdr:nvSpPr>
      <xdr:spPr>
        <a:xfrm>
          <a:off x="0" y="10298545"/>
          <a:ext cx="2201115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NaCl = 0.056 M</a:t>
          </a:r>
        </a:p>
        <a:p>
          <a:r>
            <a:rPr lang="en-GB" sz="1100"/>
            <a:t>30 Bar operating pressure constant</a:t>
          </a:r>
        </a:p>
        <a:p>
          <a:r>
            <a:rPr lang="en-GB" sz="1100"/>
            <a:t>25C</a:t>
          </a:r>
          <a:r>
            <a:rPr lang="en-GB" sz="1100" baseline="0"/>
            <a:t> 3L/min cross flow 0.084m/s</a:t>
          </a:r>
        </a:p>
        <a:p>
          <a:r>
            <a:rPr lang="en-GB" sz="1100" baseline="0"/>
            <a:t>10 L feed</a:t>
          </a:r>
        </a:p>
        <a:p>
          <a:r>
            <a:rPr lang="en-GB" sz="1100" baseline="0"/>
            <a:t>29th Oct 2020</a:t>
          </a:r>
        </a:p>
      </xdr:txBody>
    </xdr:sp>
    <xdr:clientData/>
  </xdr:oneCellAnchor>
  <xdr:twoCellAnchor editAs="oneCell">
    <xdr:from>
      <xdr:col>13</xdr:col>
      <xdr:colOff>525780</xdr:colOff>
      <xdr:row>4</xdr:row>
      <xdr:rowOff>167640</xdr:rowOff>
    </xdr:from>
    <xdr:to>
      <xdr:col>22</xdr:col>
      <xdr:colOff>228600</xdr:colOff>
      <xdr:row>20</xdr:row>
      <xdr:rowOff>137160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id="{252EA5B4-52C4-482A-9742-6BE21630AC12}"/>
            </a:ext>
          </a:extLst>
        </xdr:cNvPr>
        <xdr:cNvSpPr>
          <a:spLocks noChangeAspect="1" noChangeArrowheads="1"/>
        </xdr:cNvSpPr>
      </xdr:nvSpPr>
      <xdr:spPr bwMode="auto">
        <a:xfrm>
          <a:off x="12443460" y="868680"/>
          <a:ext cx="5737860" cy="2880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43543</xdr:colOff>
      <xdr:row>6</xdr:row>
      <xdr:rowOff>43542</xdr:rowOff>
    </xdr:from>
    <xdr:to>
      <xdr:col>20</xdr:col>
      <xdr:colOff>489857</xdr:colOff>
      <xdr:row>25</xdr:row>
      <xdr:rowOff>21771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F8CA90-6E92-4537-B173-DB97A26C6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108856</xdr:colOff>
      <xdr:row>6</xdr:row>
      <xdr:rowOff>141515</xdr:rowOff>
    </xdr:from>
    <xdr:to>
      <xdr:col>26</xdr:col>
      <xdr:colOff>555171</xdr:colOff>
      <xdr:row>25</xdr:row>
      <xdr:rowOff>119744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975CA09-3B0E-4EF6-A50A-6A27C94DF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341586</xdr:colOff>
      <xdr:row>7</xdr:row>
      <xdr:rowOff>78827</xdr:rowOff>
    </xdr:from>
    <xdr:to>
      <xdr:col>32</xdr:col>
      <xdr:colOff>324596</xdr:colOff>
      <xdr:row>25</xdr:row>
      <xdr:rowOff>79866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211370A-12E1-4DBD-AE72-9BCB4D6F3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15</xdr:col>
      <xdr:colOff>144518</xdr:colOff>
      <xdr:row>6</xdr:row>
      <xdr:rowOff>170793</xdr:rowOff>
    </xdr:from>
    <xdr:ext cx="33778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49A368B-EDCA-4658-B076-7E8828DF13A7}"/>
            </a:ext>
          </a:extLst>
        </xdr:cNvPr>
        <xdr:cNvSpPr txBox="1"/>
      </xdr:nvSpPr>
      <xdr:spPr>
        <a:xfrm>
          <a:off x="13400690" y="1208690"/>
          <a:ext cx="3377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(a)</a:t>
          </a:r>
        </a:p>
      </xdr:txBody>
    </xdr:sp>
    <xdr:clientData/>
  </xdr:oneCellAnchor>
  <xdr:oneCellAnchor>
    <xdr:from>
      <xdr:col>21</xdr:col>
      <xdr:colOff>118242</xdr:colOff>
      <xdr:row>7</xdr:row>
      <xdr:rowOff>91965</xdr:rowOff>
    </xdr:from>
    <xdr:ext cx="3443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76634D3-1E01-40B7-A11F-5CF63E232631}"/>
            </a:ext>
          </a:extLst>
        </xdr:cNvPr>
        <xdr:cNvSpPr txBox="1"/>
      </xdr:nvSpPr>
      <xdr:spPr>
        <a:xfrm>
          <a:off x="17394621" y="1326931"/>
          <a:ext cx="344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(b)</a:t>
          </a:r>
        </a:p>
      </xdr:txBody>
    </xdr:sp>
    <xdr:clientData/>
  </xdr:oneCellAnchor>
  <xdr:oneCellAnchor>
    <xdr:from>
      <xdr:col>27</xdr:col>
      <xdr:colOff>367863</xdr:colOff>
      <xdr:row>7</xdr:row>
      <xdr:rowOff>170793</xdr:rowOff>
    </xdr:from>
    <xdr:ext cx="329834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0BFF011-5D8D-4B5F-A22A-70E0938CDD4C}"/>
            </a:ext>
          </a:extLst>
        </xdr:cNvPr>
        <xdr:cNvSpPr txBox="1"/>
      </xdr:nvSpPr>
      <xdr:spPr>
        <a:xfrm>
          <a:off x="21664449" y="1405759"/>
          <a:ext cx="3298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(c)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54352" cy="9534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4C7250-3F47-448D-A0FB-F310BF375896}"/>
            </a:ext>
          </a:extLst>
        </xdr:cNvPr>
        <xdr:cNvSpPr txBox="1"/>
      </xdr:nvSpPr>
      <xdr:spPr>
        <a:xfrm>
          <a:off x="0" y="0"/>
          <a:ext cx="3954352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NaCl = 0.056 M 			3 elements series</a:t>
          </a:r>
        </a:p>
        <a:p>
          <a:r>
            <a:rPr lang="en-GB" sz="1100"/>
            <a:t>30 Bar operating pressure constant</a:t>
          </a:r>
        </a:p>
        <a:p>
          <a:r>
            <a:rPr lang="en-GB" sz="1100"/>
            <a:t>25C</a:t>
          </a:r>
          <a:r>
            <a:rPr lang="en-GB" sz="1100" baseline="0"/>
            <a:t> 1L/min cross flow</a:t>
          </a:r>
        </a:p>
        <a:p>
          <a:r>
            <a:rPr lang="en-GB" sz="1100" baseline="0"/>
            <a:t>10 L feed</a:t>
          </a:r>
        </a:p>
        <a:p>
          <a:r>
            <a:rPr lang="en-GB" sz="1100" baseline="0"/>
            <a:t>7-December-2020</a:t>
          </a:r>
          <a:endParaRPr lang="en-GB" sz="1100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3954352" cy="9534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DE2F0D0-5679-4495-829D-EA7A18DF721A}"/>
            </a:ext>
          </a:extLst>
        </xdr:cNvPr>
        <xdr:cNvSpPr txBox="1"/>
      </xdr:nvSpPr>
      <xdr:spPr>
        <a:xfrm>
          <a:off x="0" y="3206750"/>
          <a:ext cx="3954352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NaCl = 0.056 M 			2 elements series</a:t>
          </a:r>
        </a:p>
        <a:p>
          <a:r>
            <a:rPr lang="en-GB" sz="1100"/>
            <a:t>30 Bar operating pressure constant</a:t>
          </a:r>
        </a:p>
        <a:p>
          <a:r>
            <a:rPr lang="en-GB" sz="1100"/>
            <a:t>25C</a:t>
          </a:r>
          <a:r>
            <a:rPr lang="en-GB" sz="1100" baseline="0"/>
            <a:t> 1L/min cross flow</a:t>
          </a:r>
        </a:p>
        <a:p>
          <a:r>
            <a:rPr lang="en-GB" sz="1100" baseline="0"/>
            <a:t>10 L feed</a:t>
          </a:r>
        </a:p>
        <a:p>
          <a:r>
            <a:rPr lang="en-GB" sz="1100" baseline="0"/>
            <a:t>4-December-2020</a:t>
          </a:r>
          <a:endParaRPr lang="en-GB" sz="1100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4015523" cy="95346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F0F3530-C88F-4F73-9DE9-BF13A211BF77}"/>
            </a:ext>
          </a:extLst>
        </xdr:cNvPr>
        <xdr:cNvSpPr txBox="1"/>
      </xdr:nvSpPr>
      <xdr:spPr>
        <a:xfrm>
          <a:off x="0" y="12001500"/>
          <a:ext cx="4015523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NaCl = 0.056 M 			2 elements parallel</a:t>
          </a:r>
        </a:p>
        <a:p>
          <a:r>
            <a:rPr lang="en-GB" sz="1100"/>
            <a:t>30 Bar operating pressure constant</a:t>
          </a:r>
        </a:p>
        <a:p>
          <a:r>
            <a:rPr lang="en-GB" sz="1100"/>
            <a:t>25C</a:t>
          </a:r>
          <a:r>
            <a:rPr lang="en-GB" sz="1100" baseline="0"/>
            <a:t> 2L/min cross flow</a:t>
          </a:r>
        </a:p>
        <a:p>
          <a:r>
            <a:rPr lang="en-GB" sz="1100" baseline="0"/>
            <a:t>10 L feed</a:t>
          </a:r>
        </a:p>
        <a:p>
          <a:r>
            <a:rPr lang="en-GB" sz="1100" baseline="0"/>
            <a:t>3-December-2020</a:t>
          </a:r>
          <a:endParaRPr lang="en-GB" sz="1100"/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4046685" cy="95346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11EA3A0-DF17-4919-A2CE-E62D58F8AB0D}"/>
            </a:ext>
          </a:extLst>
        </xdr:cNvPr>
        <xdr:cNvSpPr txBox="1"/>
      </xdr:nvSpPr>
      <xdr:spPr>
        <a:xfrm>
          <a:off x="0" y="15906750"/>
          <a:ext cx="4046685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NaCl = 0.056 M 			3 elements Parallel</a:t>
          </a:r>
        </a:p>
        <a:p>
          <a:r>
            <a:rPr lang="en-GB" sz="1100"/>
            <a:t>30 Bar operating pressure constant</a:t>
          </a:r>
        </a:p>
        <a:p>
          <a:r>
            <a:rPr lang="en-GB" sz="1100"/>
            <a:t>25C</a:t>
          </a:r>
          <a:r>
            <a:rPr lang="en-GB" sz="1100" baseline="0"/>
            <a:t> 3L/min cross flow</a:t>
          </a:r>
        </a:p>
        <a:p>
          <a:r>
            <a:rPr lang="en-GB" sz="1100" baseline="0"/>
            <a:t>10 L feed</a:t>
          </a:r>
        </a:p>
        <a:p>
          <a:r>
            <a:rPr lang="en-GB" sz="1100" baseline="0"/>
            <a:t>7-December-2020</a:t>
          </a:r>
          <a:endParaRPr lang="en-GB" sz="1100"/>
        </a:p>
      </xdr:txBody>
    </xdr:sp>
    <xdr:clientData/>
  </xdr:oneCellAnchor>
  <xdr:twoCellAnchor>
    <xdr:from>
      <xdr:col>21</xdr:col>
      <xdr:colOff>87086</xdr:colOff>
      <xdr:row>11</xdr:row>
      <xdr:rowOff>76200</xdr:rowOff>
    </xdr:from>
    <xdr:to>
      <xdr:col>26</xdr:col>
      <xdr:colOff>601436</xdr:colOff>
      <xdr:row>32</xdr:row>
      <xdr:rowOff>32657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5E6A086-2F52-493D-8644-0D796B075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97971</xdr:colOff>
      <xdr:row>12</xdr:row>
      <xdr:rowOff>65313</xdr:rowOff>
    </xdr:from>
    <xdr:to>
      <xdr:col>32</xdr:col>
      <xdr:colOff>544286</xdr:colOff>
      <xdr:row>31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F5A7004-3258-4FB7-8C2A-54503B608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21</xdr:col>
      <xdr:colOff>193963</xdr:colOff>
      <xdr:row>12</xdr:row>
      <xdr:rowOff>110837</xdr:rowOff>
    </xdr:from>
    <xdr:ext cx="33778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E477315-EFE5-466E-A615-18EC5A81E416}"/>
            </a:ext>
          </a:extLst>
        </xdr:cNvPr>
        <xdr:cNvSpPr txBox="1"/>
      </xdr:nvSpPr>
      <xdr:spPr>
        <a:xfrm>
          <a:off x="14159345" y="2299855"/>
          <a:ext cx="3377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(a)</a:t>
          </a:r>
        </a:p>
      </xdr:txBody>
    </xdr:sp>
    <xdr:clientData/>
  </xdr:oneCellAnchor>
  <xdr:oneCellAnchor>
    <xdr:from>
      <xdr:col>27</xdr:col>
      <xdr:colOff>249382</xdr:colOff>
      <xdr:row>13</xdr:row>
      <xdr:rowOff>69273</xdr:rowOff>
    </xdr:from>
    <xdr:ext cx="3443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EE54426-C7E2-430C-AFC9-73F988D2452F}"/>
            </a:ext>
          </a:extLst>
        </xdr:cNvPr>
        <xdr:cNvSpPr txBox="1"/>
      </xdr:nvSpPr>
      <xdr:spPr>
        <a:xfrm>
          <a:off x="18204873" y="2438400"/>
          <a:ext cx="3443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(b)</a:t>
          </a:r>
        </a:p>
      </xdr:txBody>
    </xdr:sp>
    <xdr:clientData/>
  </xdr:oneCellAnchor>
  <xdr:twoCellAnchor>
    <xdr:from>
      <xdr:col>33</xdr:col>
      <xdr:colOff>235528</xdr:colOff>
      <xdr:row>12</xdr:row>
      <xdr:rowOff>124691</xdr:rowOff>
    </xdr:from>
    <xdr:to>
      <xdr:col>38</xdr:col>
      <xdr:colOff>489984</xdr:colOff>
      <xdr:row>30</xdr:row>
      <xdr:rowOff>170235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F181707-E797-4464-9BC8-237E4B9B4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33</xdr:col>
      <xdr:colOff>152401</xdr:colOff>
      <xdr:row>13</xdr:row>
      <xdr:rowOff>41564</xdr:rowOff>
    </xdr:from>
    <xdr:ext cx="329834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D760261-54AC-4A77-9368-0DE70D27FA81}"/>
            </a:ext>
          </a:extLst>
        </xdr:cNvPr>
        <xdr:cNvSpPr txBox="1"/>
      </xdr:nvSpPr>
      <xdr:spPr>
        <a:xfrm>
          <a:off x="22098001" y="2410691"/>
          <a:ext cx="3298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(c)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0.0387</cdr:x>
      <cdr:y>0.07104</cdr:y>
    </cdr:from>
    <cdr:to>
      <cdr:x>0.29416</cdr:x>
      <cdr:y>0.34686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6351952-015D-493E-92E2-849DF85B94D5}"/>
            </a:ext>
          </a:extLst>
        </cdr:cNvPr>
        <cdr:cNvSpPr txBox="1"/>
      </cdr:nvSpPr>
      <cdr:spPr>
        <a:xfrm xmlns:a="http://schemas.openxmlformats.org/drawingml/2006/main">
          <a:off x="138545" y="2355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147782</xdr:colOff>
      <xdr:row>0</xdr:row>
      <xdr:rowOff>105064</xdr:rowOff>
    </xdr:from>
    <xdr:ext cx="4756046" cy="7812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F7C263-F1B3-4810-898D-104AC3B69416}"/>
            </a:ext>
          </a:extLst>
        </xdr:cNvPr>
        <xdr:cNvSpPr txBox="1"/>
      </xdr:nvSpPr>
      <xdr:spPr>
        <a:xfrm>
          <a:off x="147782" y="105064"/>
          <a:ext cx="4756046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Feed</a:t>
          </a:r>
          <a:r>
            <a:rPr lang="en-GB" sz="1100" baseline="0"/>
            <a:t> = UF permeate from feed Urine=2220mL Tapwater = 2747mL Faeces = 26g</a:t>
          </a:r>
          <a:endParaRPr lang="en-GB" sz="1100"/>
        </a:p>
        <a:p>
          <a:r>
            <a:rPr lang="en-GB" sz="1100"/>
            <a:t>30 Bar operating pressure constant</a:t>
          </a:r>
        </a:p>
        <a:p>
          <a:r>
            <a:rPr lang="en-GB" sz="1100"/>
            <a:t>25C</a:t>
          </a:r>
          <a:r>
            <a:rPr lang="en-GB" sz="1100" baseline="0"/>
            <a:t> 1L/min cross flow</a:t>
          </a:r>
        </a:p>
        <a:p>
          <a:r>
            <a:rPr lang="en-GB" sz="1100" baseline="0"/>
            <a:t>~2.865 L feed</a:t>
          </a:r>
          <a:endParaRPr lang="en-GB" sz="1100"/>
        </a:p>
      </xdr:txBody>
    </xdr:sp>
    <xdr:clientData/>
  </xdr:oneCellAnchor>
  <xdr:twoCellAnchor>
    <xdr:from>
      <xdr:col>9</xdr:col>
      <xdr:colOff>1502019</xdr:colOff>
      <xdr:row>27</xdr:row>
      <xdr:rowOff>124692</xdr:rowOff>
    </xdr:from>
    <xdr:to>
      <xdr:col>12</xdr:col>
      <xdr:colOff>2117160</xdr:colOff>
      <xdr:row>49</xdr:row>
      <xdr:rowOff>2772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B916DC-6502-442D-AC2F-7F54594D1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1543498</xdr:colOff>
      <xdr:row>70</xdr:row>
      <xdr:rowOff>5759</xdr:rowOff>
    </xdr:from>
    <xdr:to>
      <xdr:col>12</xdr:col>
      <xdr:colOff>2158639</xdr:colOff>
      <xdr:row>92</xdr:row>
      <xdr:rowOff>13854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79B2073-71A3-4628-9DFC-8B0FD2875D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868663</xdr:colOff>
      <xdr:row>69</xdr:row>
      <xdr:rowOff>124689</xdr:rowOff>
    </xdr:from>
    <xdr:to>
      <xdr:col>9</xdr:col>
      <xdr:colOff>1497660</xdr:colOff>
      <xdr:row>92</xdr:row>
      <xdr:rowOff>2769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EB817FD-7AA8-41F7-B3B0-02A8CC095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762000</xdr:colOff>
      <xdr:row>48</xdr:row>
      <xdr:rowOff>121870</xdr:rowOff>
    </xdr:from>
    <xdr:to>
      <xdr:col>9</xdr:col>
      <xdr:colOff>1483805</xdr:colOff>
      <xdr:row>69</xdr:row>
      <xdr:rowOff>172439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2A10FA7-DEF3-4C70-BE4A-F617C67AA9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1502019</xdr:colOff>
      <xdr:row>49</xdr:row>
      <xdr:rowOff>17522</xdr:rowOff>
    </xdr:from>
    <xdr:to>
      <xdr:col>12</xdr:col>
      <xdr:colOff>2117160</xdr:colOff>
      <xdr:row>70</xdr:row>
      <xdr:rowOff>75711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766E1B3-2D43-4B06-BA82-303209EFC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854808</xdr:colOff>
      <xdr:row>27</xdr:row>
      <xdr:rowOff>69273</xdr:rowOff>
    </xdr:from>
    <xdr:to>
      <xdr:col>9</xdr:col>
      <xdr:colOff>1483805</xdr:colOff>
      <xdr:row>48</xdr:row>
      <xdr:rowOff>127462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5C07B35-31F4-4118-8F81-82806E1BDE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23</xdr:col>
      <xdr:colOff>651164</xdr:colOff>
      <xdr:row>1</xdr:row>
      <xdr:rowOff>110836</xdr:rowOff>
    </xdr:from>
    <xdr:ext cx="4074642" cy="95346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BBCBDB7-A1C0-49CA-A384-70E0312207A8}"/>
            </a:ext>
          </a:extLst>
        </xdr:cNvPr>
        <xdr:cNvSpPr txBox="1"/>
      </xdr:nvSpPr>
      <xdr:spPr>
        <a:xfrm>
          <a:off x="36160364" y="290945"/>
          <a:ext cx="4074642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Synthetic Toilet</a:t>
          </a:r>
          <a:r>
            <a:rPr lang="en-GB" sz="1100" baseline="0"/>
            <a:t> Wastewater (Green Stream) - See row 98 for details</a:t>
          </a:r>
          <a:endParaRPr lang="en-GB" sz="1100"/>
        </a:p>
        <a:p>
          <a:r>
            <a:rPr lang="en-GB" sz="1100"/>
            <a:t>30 Bar operating pressure constant</a:t>
          </a:r>
        </a:p>
        <a:p>
          <a:r>
            <a:rPr lang="en-GB" sz="1100"/>
            <a:t>25C</a:t>
          </a:r>
          <a:r>
            <a:rPr lang="en-GB" sz="1100" baseline="0"/>
            <a:t> 1L/min cross flow</a:t>
          </a:r>
        </a:p>
        <a:p>
          <a:r>
            <a:rPr lang="en-GB" sz="1100" baseline="0"/>
            <a:t>10 L feed</a:t>
          </a:r>
        </a:p>
        <a:p>
          <a:r>
            <a:rPr lang="en-GB" sz="1100" baseline="0"/>
            <a:t>18-Nov-2020</a:t>
          </a:r>
          <a:endParaRPr lang="en-GB" sz="1100"/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0.16916</cdr:x>
      <cdr:y>0.35035</cdr:y>
    </cdr:from>
    <cdr:to>
      <cdr:x>0.52515</cdr:x>
      <cdr:y>0.44117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705AA9A-7F7B-4D9A-BEF4-5D2CF1F94DAF}"/>
            </a:ext>
          </a:extLst>
        </cdr:cNvPr>
        <cdr:cNvSpPr txBox="1"/>
      </cdr:nvSpPr>
      <cdr:spPr>
        <a:xfrm xmlns:a="http://schemas.openxmlformats.org/drawingml/2006/main">
          <a:off x="892640" y="1322953"/>
          <a:ext cx="1878522" cy="342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 b="1"/>
            <a:t>Category B ≤ 150 mg L</a:t>
          </a:r>
          <a:r>
            <a:rPr lang="en-GB" sz="1200" b="1" baseline="30000"/>
            <a:t>-1</a:t>
          </a:r>
        </a:p>
      </cdr:txBody>
    </cdr:sp>
  </cdr:relSizeAnchor>
  <cdr:relSizeAnchor xmlns:cdr="http://schemas.openxmlformats.org/drawingml/2006/chartDrawing">
    <cdr:from>
      <cdr:x>0.17168</cdr:x>
      <cdr:y>0.68954</cdr:y>
    </cdr:from>
    <cdr:to>
      <cdr:x>0.48475</cdr:x>
      <cdr:y>0.79369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0D482C8E-6D85-4EA2-B9E0-5D6D213AF040}"/>
            </a:ext>
          </a:extLst>
        </cdr:cNvPr>
        <cdr:cNvSpPr txBox="1"/>
      </cdr:nvSpPr>
      <cdr:spPr>
        <a:xfrm xmlns:a="http://schemas.openxmlformats.org/drawingml/2006/main">
          <a:off x="905938" y="2603770"/>
          <a:ext cx="1652037" cy="3932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 b="1"/>
            <a:t>Category A ≤ 50 mg L</a:t>
          </a:r>
          <a:r>
            <a:rPr lang="en-GB" sz="1200" b="1" baseline="30000"/>
            <a:t>-1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0.18921</cdr:x>
      <cdr:y>0.33441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7795BF2E-3410-41A9-8881-72387EF4A0E3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 b="1"/>
            <a:t>(b)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0.18921</cdr:x>
      <cdr:y>0.33874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613F7CC-8B89-4642-BA43-D447E4BADF01}"/>
            </a:ext>
          </a:extLst>
        </cdr:cNvPr>
        <cdr:cNvSpPr txBox="1"/>
      </cdr:nvSpPr>
      <cdr:spPr>
        <a:xfrm xmlns:a="http://schemas.openxmlformats.org/drawingml/2006/main">
          <a:off x="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600" b="1"/>
            <a:t>(f)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anfield-my.sharepoint.com/personal/c_j_davey_cranfield_ac_uk/Documents/Documents/Documents%2020_01_29/Documents/G2RT/RO%20Data/Batch%20Experiments%20-%20Permeate%20Removed/Batch%20-%20Vary%20Pressure%20and%20CF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anfield-my.sharepoint.com/personal/c_j_davey_cranfield_ac_uk/Documents/Documents/Documents%2020_01_29/Documents/G2RT/RO%20Data/Batch%20Experiments%20-%20Permeate%20Removed/Batch%20-%20Vary%20Element%20# - Series + Parall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8-Nov-2020%2030Bar%20Synth%20Flush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ranfield-my.sharepoint.com/personal/c_j_davey_cranfield_ac_uk/Documents/Documents/Documents%2020_01_29/Documents/G2RT/RO%20Pumps/Pump%20Cur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and Collated Analysis"/>
      <sheetName val="Paper Figures"/>
      <sheetName val="30Bar Synth Wastewater"/>
      <sheetName val="30Bar - 3 lpm - 0.056M"/>
      <sheetName val="30Bar - 3lpm -0.056M Repeat"/>
      <sheetName val="20Bar - 3 lpm -0.056M"/>
      <sheetName val="10Bar - 3lpm -0.056M"/>
      <sheetName val="30Bar - 1lpm - 0.056M"/>
      <sheetName val="30Bar - 5lpm - 0.056M "/>
      <sheetName val="30Bar - 3lpm - 0.1M"/>
      <sheetName val="30Bar - 3lpm - 0.2M"/>
    </sheetNames>
    <sheetDataSet>
      <sheetData sheetId="0">
        <row r="6">
          <cell r="D6">
            <v>10</v>
          </cell>
        </row>
        <row r="28">
          <cell r="B28">
            <v>10</v>
          </cell>
          <cell r="I28">
            <v>21.027777777777779</v>
          </cell>
        </row>
        <row r="29">
          <cell r="B29">
            <v>20</v>
          </cell>
          <cell r="I29">
            <v>14.819444444444443</v>
          </cell>
        </row>
        <row r="30">
          <cell r="B30">
            <v>30</v>
          </cell>
          <cell r="I30">
            <v>12.5</v>
          </cell>
        </row>
        <row r="35">
          <cell r="I35">
            <v>4.7725694444444446</v>
          </cell>
          <cell r="J35">
            <v>2.8000000000000001E-2</v>
          </cell>
        </row>
        <row r="36">
          <cell r="I36">
            <v>12.5</v>
          </cell>
          <cell r="J36">
            <v>8.4000000000000005E-2</v>
          </cell>
        </row>
        <row r="37">
          <cell r="I37">
            <v>20.920138888888889</v>
          </cell>
          <cell r="J37">
            <v>0.14000000000000001</v>
          </cell>
        </row>
        <row r="43">
          <cell r="M43">
            <v>0</v>
          </cell>
        </row>
        <row r="45">
          <cell r="M45">
            <v>10</v>
          </cell>
          <cell r="N45">
            <v>0.17294940102127251</v>
          </cell>
        </row>
        <row r="47">
          <cell r="M47">
            <v>20</v>
          </cell>
          <cell r="N47">
            <v>0.17294940102127251</v>
          </cell>
        </row>
        <row r="49">
          <cell r="M49">
            <v>30</v>
          </cell>
          <cell r="N49">
            <v>0.17294940102127251</v>
          </cell>
        </row>
        <row r="51">
          <cell r="M51">
            <v>40</v>
          </cell>
        </row>
      </sheetData>
      <sheetData sheetId="1" refreshError="1"/>
      <sheetData sheetId="2">
        <row r="10">
          <cell r="O10">
            <v>108</v>
          </cell>
          <cell r="Q10">
            <v>2600</v>
          </cell>
        </row>
        <row r="11">
          <cell r="B11">
            <v>5</v>
          </cell>
          <cell r="F11">
            <v>47.430830039525688</v>
          </cell>
          <cell r="K11">
            <v>98.967462039045557</v>
          </cell>
          <cell r="N11">
            <v>73</v>
          </cell>
          <cell r="O11">
            <v>6.3</v>
          </cell>
          <cell r="Q11">
            <v>830</v>
          </cell>
          <cell r="T11">
            <v>8.5</v>
          </cell>
        </row>
        <row r="12">
          <cell r="B12">
            <v>10</v>
          </cell>
          <cell r="F12">
            <v>46.308206843323894</v>
          </cell>
          <cell r="K12">
            <v>99.201446280991732</v>
          </cell>
          <cell r="N12">
            <v>62</v>
          </cell>
          <cell r="O12">
            <v>4</v>
          </cell>
          <cell r="Q12">
            <v>850</v>
          </cell>
          <cell r="T12">
            <v>7.68</v>
          </cell>
        </row>
        <row r="13">
          <cell r="B13">
            <v>15</v>
          </cell>
          <cell r="F13">
            <v>48.60923575479341</v>
          </cell>
          <cell r="K13">
            <v>99.322896281800382</v>
          </cell>
          <cell r="N13">
            <v>65</v>
          </cell>
          <cell r="O13">
            <v>2.8</v>
          </cell>
          <cell r="Q13">
            <v>900</v>
          </cell>
          <cell r="T13">
            <v>7.13</v>
          </cell>
        </row>
        <row r="14">
          <cell r="B14">
            <v>20</v>
          </cell>
          <cell r="F14">
            <v>48.012803414243798</v>
          </cell>
          <cell r="K14">
            <v>99.321161048689149</v>
          </cell>
          <cell r="N14">
            <v>68</v>
          </cell>
          <cell r="O14">
            <v>3.9</v>
          </cell>
          <cell r="Q14">
            <v>940</v>
          </cell>
          <cell r="T14">
            <v>7</v>
          </cell>
        </row>
        <row r="15">
          <cell r="B15">
            <v>25</v>
          </cell>
          <cell r="F15">
            <v>46.308206843323894</v>
          </cell>
          <cell r="K15">
            <v>99.306194690265485</v>
          </cell>
          <cell r="N15">
            <v>78</v>
          </cell>
          <cell r="O15">
            <v>6.6</v>
          </cell>
          <cell r="Q15">
            <v>1030</v>
          </cell>
          <cell r="T15">
            <v>6.72</v>
          </cell>
        </row>
        <row r="16">
          <cell r="B16">
            <v>30</v>
          </cell>
          <cell r="F16">
            <v>47.430830039525688</v>
          </cell>
          <cell r="K16">
            <v>99.277219430485758</v>
          </cell>
          <cell r="N16">
            <v>82</v>
          </cell>
          <cell r="O16">
            <v>7</v>
          </cell>
          <cell r="Q16">
            <v>1060</v>
          </cell>
          <cell r="T16">
            <v>6.83</v>
          </cell>
        </row>
        <row r="17">
          <cell r="B17">
            <v>35</v>
          </cell>
          <cell r="F17">
            <v>46.035805626598467</v>
          </cell>
          <cell r="K17">
            <v>99.291729323308275</v>
          </cell>
          <cell r="N17">
            <v>70</v>
          </cell>
          <cell r="O17">
            <v>6.3</v>
          </cell>
          <cell r="Q17">
            <v>1110</v>
          </cell>
          <cell r="T17">
            <v>6.93</v>
          </cell>
        </row>
        <row r="18">
          <cell r="B18">
            <v>40</v>
          </cell>
          <cell r="F18">
            <v>43.966780654616514</v>
          </cell>
          <cell r="K18">
            <v>99.263046544428761</v>
          </cell>
          <cell r="N18">
            <v>68</v>
          </cell>
          <cell r="O18">
            <v>6.1</v>
          </cell>
          <cell r="Q18">
            <v>1180</v>
          </cell>
          <cell r="T18">
            <v>7.03</v>
          </cell>
        </row>
        <row r="19">
          <cell r="B19">
            <v>45</v>
          </cell>
          <cell r="F19">
            <v>42.533081285444233</v>
          </cell>
          <cell r="K19">
            <v>99.228947368421046</v>
          </cell>
          <cell r="N19">
            <v>95</v>
          </cell>
          <cell r="O19">
            <v>7.4</v>
          </cell>
          <cell r="Q19">
            <v>1270</v>
          </cell>
          <cell r="T19">
            <v>6.7</v>
          </cell>
        </row>
        <row r="20">
          <cell r="B20">
            <v>50</v>
          </cell>
          <cell r="F20">
            <v>40.549673349853563</v>
          </cell>
          <cell r="K20">
            <v>99.184981684981693</v>
          </cell>
          <cell r="N20">
            <v>84</v>
          </cell>
          <cell r="O20">
            <v>8.1</v>
          </cell>
          <cell r="Q20">
            <v>1350</v>
          </cell>
          <cell r="T20">
            <v>7.59</v>
          </cell>
        </row>
        <row r="21">
          <cell r="B21">
            <v>55.000000000000007</v>
          </cell>
          <cell r="F21">
            <v>38.743004735256136</v>
          </cell>
          <cell r="K21">
            <v>99.134345137717816</v>
          </cell>
          <cell r="N21">
            <v>90</v>
          </cell>
          <cell r="O21">
            <v>7.5</v>
          </cell>
          <cell r="Q21">
            <v>1460</v>
          </cell>
          <cell r="T21">
            <v>8.4600000000000009</v>
          </cell>
        </row>
        <row r="22">
          <cell r="B22">
            <v>60</v>
          </cell>
          <cell r="F22">
            <v>36.231884057971008</v>
          </cell>
          <cell r="K22">
            <v>99.075324675324666</v>
          </cell>
          <cell r="N22">
            <v>92</v>
          </cell>
          <cell r="O22">
            <v>7.7</v>
          </cell>
          <cell r="Q22">
            <v>1570</v>
          </cell>
          <cell r="T22">
            <v>8.7100000000000009</v>
          </cell>
        </row>
        <row r="23">
          <cell r="B23">
            <v>65</v>
          </cell>
          <cell r="F23">
            <v>33.444816053511701</v>
          </cell>
          <cell r="K23">
            <v>99.096916299559467</v>
          </cell>
          <cell r="N23">
            <v>97</v>
          </cell>
          <cell r="O23">
            <v>9.5</v>
          </cell>
          <cell r="Q23">
            <v>1690</v>
          </cell>
          <cell r="T23">
            <v>8.83</v>
          </cell>
        </row>
        <row r="24">
          <cell r="B24">
            <v>70</v>
          </cell>
          <cell r="F24">
            <v>30.451700219928945</v>
          </cell>
          <cell r="K24">
            <v>98.980392156862735</v>
          </cell>
          <cell r="N24">
            <v>110</v>
          </cell>
          <cell r="O24">
            <v>11.1</v>
          </cell>
          <cell r="Q24">
            <v>1900</v>
          </cell>
          <cell r="T24">
            <v>9.14</v>
          </cell>
        </row>
        <row r="25">
          <cell r="B25">
            <v>75</v>
          </cell>
          <cell r="F25">
            <v>26.086956521739129</v>
          </cell>
          <cell r="K25">
            <v>98.865517241379308</v>
          </cell>
          <cell r="N25">
            <v>109</v>
          </cell>
          <cell r="O25">
            <v>11.9</v>
          </cell>
          <cell r="Q25">
            <v>2300</v>
          </cell>
          <cell r="T25">
            <v>9.14</v>
          </cell>
        </row>
        <row r="26">
          <cell r="B26">
            <v>80</v>
          </cell>
          <cell r="F26">
            <v>22.618748429253582</v>
          </cell>
          <cell r="K26">
            <v>98.590504451038569</v>
          </cell>
          <cell r="N26">
            <v>115</v>
          </cell>
          <cell r="O26">
            <v>16.100000000000001</v>
          </cell>
          <cell r="Q26">
            <v>3000</v>
          </cell>
          <cell r="T26">
            <v>9.1999999999999993</v>
          </cell>
        </row>
        <row r="27">
          <cell r="B27">
            <v>85</v>
          </cell>
          <cell r="F27">
            <v>15.906680805938496</v>
          </cell>
          <cell r="K27">
            <v>98.109452736318403</v>
          </cell>
          <cell r="N27">
            <v>149</v>
          </cell>
          <cell r="O27">
            <v>21.9</v>
          </cell>
          <cell r="Q27">
            <v>3900</v>
          </cell>
          <cell r="T27">
            <v>9.23</v>
          </cell>
        </row>
        <row r="28">
          <cell r="B28">
            <v>90</v>
          </cell>
          <cell r="F28">
            <v>8.4423807513718856</v>
          </cell>
          <cell r="K28">
            <v>96.568376068376068</v>
          </cell>
          <cell r="N28">
            <v>223</v>
          </cell>
          <cell r="O28">
            <v>32.799999999999997</v>
          </cell>
          <cell r="Q28">
            <v>5000</v>
          </cell>
          <cell r="T28">
            <v>9.2100000000000009</v>
          </cell>
        </row>
        <row r="29">
          <cell r="B29">
            <v>95</v>
          </cell>
          <cell r="F29">
            <v>2.2176500301846809</v>
          </cell>
          <cell r="K29">
            <v>88.690095846645363</v>
          </cell>
          <cell r="N29">
            <v>777</v>
          </cell>
          <cell r="O29">
            <v>87.2</v>
          </cell>
          <cell r="Q29">
            <v>6400</v>
          </cell>
          <cell r="T29">
            <v>9</v>
          </cell>
        </row>
        <row r="30">
          <cell r="O30">
            <v>790</v>
          </cell>
        </row>
        <row r="41">
          <cell r="N41">
            <v>0</v>
          </cell>
          <cell r="O41">
            <v>150</v>
          </cell>
        </row>
        <row r="42">
          <cell r="N42">
            <v>20</v>
          </cell>
          <cell r="O42">
            <v>150</v>
          </cell>
        </row>
        <row r="43">
          <cell r="N43">
            <v>40</v>
          </cell>
          <cell r="O43">
            <v>150</v>
          </cell>
        </row>
        <row r="44">
          <cell r="N44">
            <v>60</v>
          </cell>
          <cell r="O44">
            <v>150</v>
          </cell>
        </row>
        <row r="45">
          <cell r="N45">
            <v>80</v>
          </cell>
          <cell r="O45">
            <v>150</v>
          </cell>
        </row>
        <row r="46">
          <cell r="N46">
            <v>100</v>
          </cell>
          <cell r="O46">
            <v>150</v>
          </cell>
        </row>
      </sheetData>
      <sheetData sheetId="3" refreshError="1"/>
      <sheetData sheetId="4">
        <row r="10">
          <cell r="D10">
            <v>122</v>
          </cell>
        </row>
      </sheetData>
      <sheetData sheetId="5">
        <row r="10">
          <cell r="D10">
            <v>186</v>
          </cell>
        </row>
      </sheetData>
      <sheetData sheetId="6">
        <row r="10">
          <cell r="D10">
            <v>401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- Collated data graphs"/>
      <sheetName val="2 Elements Series - 2lpm"/>
      <sheetName val="3 Elements Series - 3lpm"/>
      <sheetName val="2 Elements Para - 2lpm"/>
      <sheetName val="3 Elements Para - 3lpm"/>
      <sheetName val="2 Elements Series - 1lpm"/>
      <sheetName val="3 Elements Series - 1lpm"/>
      <sheetName val="Single Element 1 lpm repeats"/>
      <sheetName val="DI H2O 2 elements Series"/>
      <sheetName val="2 Elements Series - 3lpm"/>
      <sheetName val="2 Elements Para - 6lpm "/>
    </sheetNames>
    <sheetDataSet>
      <sheetData sheetId="0">
        <row r="14">
          <cell r="N14">
            <v>0.23</v>
          </cell>
          <cell r="W14">
            <v>4.9166666666666661</v>
          </cell>
          <cell r="Y14">
            <v>100</v>
          </cell>
        </row>
        <row r="15">
          <cell r="N15">
            <v>0.46</v>
          </cell>
          <cell r="W15">
            <v>2.2916666666666665</v>
          </cell>
          <cell r="Y15">
            <v>200</v>
          </cell>
        </row>
        <row r="16">
          <cell r="N16">
            <v>0.69</v>
          </cell>
          <cell r="W16">
            <v>1.5625</v>
          </cell>
          <cell r="Y16">
            <v>300</v>
          </cell>
        </row>
        <row r="17">
          <cell r="N17">
            <v>0.46</v>
          </cell>
          <cell r="W17">
            <v>4.9357638888888893</v>
          </cell>
        </row>
        <row r="18">
          <cell r="N18">
            <v>0.69</v>
          </cell>
          <cell r="W18">
            <v>5</v>
          </cell>
        </row>
        <row r="19">
          <cell r="N19">
            <v>0.46</v>
          </cell>
          <cell r="W19">
            <v>4.1666666666666661</v>
          </cell>
        </row>
        <row r="20">
          <cell r="N20">
            <v>0.69</v>
          </cell>
          <cell r="W20">
            <v>4.0625</v>
          </cell>
        </row>
        <row r="26">
          <cell r="V26">
            <v>0.1</v>
          </cell>
          <cell r="W26">
            <v>0.17294940102127251</v>
          </cell>
        </row>
        <row r="27">
          <cell r="V27">
            <v>0.2</v>
          </cell>
          <cell r="W27">
            <v>0.17294940102127251</v>
          </cell>
        </row>
        <row r="28">
          <cell r="V28">
            <v>0.3</v>
          </cell>
          <cell r="W28">
            <v>0.17294940102127251</v>
          </cell>
        </row>
        <row r="29">
          <cell r="V29">
            <v>0.4</v>
          </cell>
          <cell r="W29">
            <v>0.17294940102127251</v>
          </cell>
        </row>
        <row r="30">
          <cell r="V30">
            <v>0.5</v>
          </cell>
          <cell r="W30">
            <v>0.17294940102127251</v>
          </cell>
        </row>
        <row r="31">
          <cell r="V31">
            <v>0.6</v>
          </cell>
          <cell r="W31">
            <v>0.17294940102127251</v>
          </cell>
        </row>
        <row r="32">
          <cell r="V32">
            <v>0.7</v>
          </cell>
          <cell r="W32">
            <v>0.17294940102127251</v>
          </cell>
        </row>
        <row r="33">
          <cell r="V33">
            <v>0.8</v>
          </cell>
          <cell r="W33">
            <v>0.17294940102127251</v>
          </cell>
        </row>
        <row r="34">
          <cell r="V34">
            <v>0.9</v>
          </cell>
          <cell r="W34">
            <v>0.17294940102127251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Nov-2020 30Bar Synth Flush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losed Circuit"/>
      <sheetName val="Multi Pass"/>
      <sheetName val="Pumps"/>
      <sheetName val="Multistage centrifugal pumps"/>
    </sheetNames>
    <sheetDataSet>
      <sheetData sheetId="0"/>
      <sheetData sheetId="1"/>
      <sheetData sheetId="2"/>
      <sheetData sheetId="3">
        <row r="22">
          <cell r="V22">
            <v>3.2416666666666663E-2</v>
          </cell>
          <cell r="Y22">
            <v>6850.0000000000009</v>
          </cell>
        </row>
        <row r="23">
          <cell r="V23">
            <v>11.700000000000001</v>
          </cell>
          <cell r="Y23">
            <v>3756.5400000000004</v>
          </cell>
        </row>
        <row r="24">
          <cell r="V24">
            <v>38</v>
          </cell>
          <cell r="Y24">
            <v>5885.8487999999998</v>
          </cell>
        </row>
        <row r="25">
          <cell r="V25">
            <v>15</v>
          </cell>
          <cell r="Y25">
            <v>930.10670000000005</v>
          </cell>
        </row>
        <row r="26">
          <cell r="V26">
            <v>23</v>
          </cell>
          <cell r="Y26">
            <v>1511.4251000000002</v>
          </cell>
        </row>
        <row r="27">
          <cell r="V27">
            <v>15</v>
          </cell>
          <cell r="Y27">
            <v>1002.7715000000002</v>
          </cell>
        </row>
        <row r="28">
          <cell r="V28">
            <v>3.8</v>
          </cell>
          <cell r="Y28">
            <v>1227.52</v>
          </cell>
        </row>
        <row r="29">
          <cell r="V29">
            <v>13</v>
          </cell>
          <cell r="Y29">
            <v>1327.3793000000001</v>
          </cell>
        </row>
        <row r="30">
          <cell r="V30">
            <v>0.08</v>
          </cell>
          <cell r="Y30">
            <v>4217.3942999999999</v>
          </cell>
        </row>
        <row r="31">
          <cell r="V31">
            <v>1.3</v>
          </cell>
          <cell r="Y31">
            <v>2019.0238000000002</v>
          </cell>
        </row>
        <row r="32">
          <cell r="V32">
            <v>285</v>
          </cell>
          <cell r="Y32">
            <v>3357.1165000000001</v>
          </cell>
        </row>
        <row r="33">
          <cell r="V33">
            <v>227</v>
          </cell>
          <cell r="Y33">
            <v>13036.070599999999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1CF62-2D66-4477-A2D7-8CD63A8B426F}">
  <dimension ref="A5:M110"/>
  <sheetViews>
    <sheetView topLeftCell="I1" zoomScale="70" zoomScaleNormal="70" workbookViewId="0">
      <selection activeCell="AI35" sqref="AI35"/>
    </sheetView>
  </sheetViews>
  <sheetFormatPr defaultRowHeight="13.8" x14ac:dyDescent="0.25"/>
  <cols>
    <col min="2" max="5" width="8.8984375" bestFit="1" customWidth="1"/>
    <col min="6" max="6" width="9.5" bestFit="1" customWidth="1"/>
    <col min="7" max="10" width="8.8984375" bestFit="1" customWidth="1"/>
    <col min="13" max="13" width="34.09765625" bestFit="1" customWidth="1"/>
  </cols>
  <sheetData>
    <row r="5" spans="1:13" ht="14.4" thickBot="1" x14ac:dyDescent="0.3"/>
    <row r="6" spans="1:13" ht="15.6" x14ac:dyDescent="0.3">
      <c r="A6" s="1" t="s">
        <v>0</v>
      </c>
      <c r="B6" s="2"/>
      <c r="C6" s="2">
        <v>5.85</v>
      </c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5.6" x14ac:dyDescent="0.3">
      <c r="A7" s="4"/>
      <c r="B7" s="5"/>
      <c r="C7" s="5"/>
      <c r="D7" s="5"/>
      <c r="E7" s="5"/>
      <c r="F7" s="5"/>
      <c r="G7" s="5"/>
      <c r="H7" s="5" t="s">
        <v>1</v>
      </c>
      <c r="I7" s="5" t="s">
        <v>2</v>
      </c>
      <c r="J7" s="5"/>
      <c r="K7" s="5"/>
      <c r="L7" s="5"/>
      <c r="M7" s="6"/>
    </row>
    <row r="8" spans="1:13" ht="18" x14ac:dyDescent="0.3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15</v>
      </c>
      <c r="G8" s="5" t="s">
        <v>9</v>
      </c>
      <c r="H8" s="5" t="s">
        <v>10</v>
      </c>
      <c r="I8" s="5" t="s">
        <v>10</v>
      </c>
      <c r="J8" s="5" t="s">
        <v>11</v>
      </c>
      <c r="K8" s="5" t="s">
        <v>12</v>
      </c>
      <c r="L8" s="5" t="s">
        <v>13</v>
      </c>
      <c r="M8" s="6" t="s">
        <v>14</v>
      </c>
    </row>
    <row r="9" spans="1:13" x14ac:dyDescent="0.25">
      <c r="A9" s="7">
        <v>500</v>
      </c>
      <c r="B9">
        <f>100*(A9/10000)</f>
        <v>5</v>
      </c>
      <c r="C9" s="8">
        <v>1.4120370370370369E-3</v>
      </c>
      <c r="D9">
        <f>(2*60)+2</f>
        <v>122</v>
      </c>
      <c r="E9">
        <f>500/D9</f>
        <v>4.0983606557377046</v>
      </c>
      <c r="F9">
        <f>((E9/1000)*3600)/0.23</f>
        <v>64.148253741981449</v>
      </c>
      <c r="G9">
        <v>30</v>
      </c>
      <c r="H9">
        <v>23.4</v>
      </c>
      <c r="I9">
        <v>6.17</v>
      </c>
      <c r="J9">
        <v>0.1108</v>
      </c>
      <c r="K9">
        <f>100*(1-(J9/I9))</f>
        <v>98.204213938411669</v>
      </c>
      <c r="L9">
        <v>3</v>
      </c>
      <c r="M9" s="9">
        <f>100*((E9*60)/1000)/L9</f>
        <v>8.1967213114754092</v>
      </c>
    </row>
    <row r="10" spans="1:13" x14ac:dyDescent="0.25">
      <c r="A10" s="7">
        <v>1000</v>
      </c>
      <c r="B10">
        <f t="shared" ref="B10:B26" si="0">100*(A10/10000)</f>
        <v>10</v>
      </c>
      <c r="C10" s="8">
        <v>2.7430555555555559E-3</v>
      </c>
      <c r="D10">
        <f>(3*60)+57</f>
        <v>237</v>
      </c>
      <c r="E10">
        <f>500/(D10-D9)</f>
        <v>4.3478260869565215</v>
      </c>
      <c r="F10">
        <f t="shared" ref="F10:F26" si="1">((E10/1000)*3600)/0.23</f>
        <v>68.052930056710778</v>
      </c>
      <c r="G10">
        <v>30</v>
      </c>
      <c r="H10">
        <v>23.7</v>
      </c>
      <c r="I10">
        <v>6.47</v>
      </c>
      <c r="J10">
        <v>4.7E-2</v>
      </c>
      <c r="K10">
        <f t="shared" ref="K10:K26" si="2">100*(1-(J10/I10))</f>
        <v>99.273570324574962</v>
      </c>
      <c r="L10">
        <v>3</v>
      </c>
      <c r="M10" s="9">
        <f t="shared" ref="M10:M26" si="3">100*((E10*60)/1000)/L10</f>
        <v>8.695652173913043</v>
      </c>
    </row>
    <row r="11" spans="1:13" x14ac:dyDescent="0.25">
      <c r="A11" s="7">
        <v>1500</v>
      </c>
      <c r="B11">
        <f t="shared" si="0"/>
        <v>15</v>
      </c>
      <c r="C11" s="8">
        <v>4.0856481481481481E-3</v>
      </c>
      <c r="D11">
        <f>(5*60)+53</f>
        <v>353</v>
      </c>
      <c r="E11">
        <f t="shared" ref="E11:E26" si="4">500/(D11-D10)</f>
        <v>4.3103448275862073</v>
      </c>
      <c r="F11">
        <f t="shared" si="1"/>
        <v>67.466266866566727</v>
      </c>
      <c r="G11">
        <v>30</v>
      </c>
      <c r="H11">
        <v>23.9</v>
      </c>
      <c r="I11">
        <v>6.9</v>
      </c>
      <c r="J11">
        <v>4.5199999999999997E-2</v>
      </c>
      <c r="K11">
        <f t="shared" si="2"/>
        <v>99.344927536231893</v>
      </c>
      <c r="L11">
        <v>3</v>
      </c>
      <c r="M11" s="9">
        <f t="shared" si="3"/>
        <v>8.6206896551724146</v>
      </c>
    </row>
    <row r="12" spans="1:13" x14ac:dyDescent="0.25">
      <c r="A12" s="7">
        <v>2000</v>
      </c>
      <c r="B12">
        <f t="shared" si="0"/>
        <v>20</v>
      </c>
      <c r="C12" s="8">
        <v>5.4398148148148149E-3</v>
      </c>
      <c r="D12">
        <f>(7*60)+50</f>
        <v>470</v>
      </c>
      <c r="E12">
        <f t="shared" si="4"/>
        <v>4.2735042735042734</v>
      </c>
      <c r="F12">
        <f t="shared" si="1"/>
        <v>66.889632107023402</v>
      </c>
      <c r="G12">
        <v>30</v>
      </c>
      <c r="H12">
        <v>24.3</v>
      </c>
      <c r="I12">
        <v>7.22</v>
      </c>
      <c r="J12">
        <v>4.8099999999999997E-2</v>
      </c>
      <c r="K12">
        <f t="shared" si="2"/>
        <v>99.333795013850406</v>
      </c>
      <c r="L12">
        <v>3</v>
      </c>
      <c r="M12" s="9">
        <f t="shared" si="3"/>
        <v>8.5470085470085468</v>
      </c>
    </row>
    <row r="13" spans="1:13" x14ac:dyDescent="0.25">
      <c r="A13" s="7">
        <v>2500</v>
      </c>
      <c r="B13">
        <f t="shared" si="0"/>
        <v>25</v>
      </c>
      <c r="C13" s="8">
        <v>6.7592592592592591E-3</v>
      </c>
      <c r="D13">
        <f>(9*60)+44</f>
        <v>584</v>
      </c>
      <c r="E13">
        <f t="shared" si="4"/>
        <v>4.3859649122807021</v>
      </c>
      <c r="F13">
        <f t="shared" si="1"/>
        <v>68.649885583524039</v>
      </c>
      <c r="G13">
        <v>30</v>
      </c>
      <c r="H13">
        <v>24.4</v>
      </c>
      <c r="I13">
        <v>7.68</v>
      </c>
      <c r="J13">
        <v>5.1200000000000002E-2</v>
      </c>
      <c r="K13">
        <f t="shared" si="2"/>
        <v>99.333333333333329</v>
      </c>
      <c r="L13">
        <v>3</v>
      </c>
      <c r="M13" s="9">
        <f t="shared" si="3"/>
        <v>8.7719298245614059</v>
      </c>
    </row>
    <row r="14" spans="1:13" x14ac:dyDescent="0.25">
      <c r="A14" s="7">
        <v>3000</v>
      </c>
      <c r="B14">
        <f t="shared" si="0"/>
        <v>30</v>
      </c>
      <c r="C14" s="8">
        <v>8.1018518518518514E-3</v>
      </c>
      <c r="D14">
        <f>(11*60)+40</f>
        <v>700</v>
      </c>
      <c r="E14">
        <f t="shared" si="4"/>
        <v>4.3103448275862073</v>
      </c>
      <c r="F14">
        <f t="shared" si="1"/>
        <v>67.466266866566727</v>
      </c>
      <c r="G14">
        <v>30</v>
      </c>
      <c r="H14">
        <v>24.9</v>
      </c>
      <c r="I14">
        <v>8.0399999999999991</v>
      </c>
      <c r="J14">
        <v>5.5E-2</v>
      </c>
      <c r="K14">
        <f t="shared" si="2"/>
        <v>99.315920398009951</v>
      </c>
      <c r="L14">
        <v>3</v>
      </c>
      <c r="M14" s="9">
        <f t="shared" si="3"/>
        <v>8.6206896551724146</v>
      </c>
    </row>
    <row r="15" spans="1:13" x14ac:dyDescent="0.25">
      <c r="A15" s="7">
        <v>3500</v>
      </c>
      <c r="B15">
        <f t="shared" si="0"/>
        <v>35</v>
      </c>
      <c r="C15" s="8">
        <v>9.4444444444444445E-3</v>
      </c>
      <c r="D15">
        <f>(13*60)+36</f>
        <v>816</v>
      </c>
      <c r="E15">
        <f t="shared" si="4"/>
        <v>4.3103448275862073</v>
      </c>
      <c r="F15">
        <f t="shared" si="1"/>
        <v>67.466266866566727</v>
      </c>
      <c r="G15">
        <v>30</v>
      </c>
      <c r="H15">
        <v>25.4</v>
      </c>
      <c r="I15">
        <v>8.5299999999999994</v>
      </c>
      <c r="J15">
        <v>5.8700000000000002E-2</v>
      </c>
      <c r="K15">
        <f t="shared" si="2"/>
        <v>99.311840562719809</v>
      </c>
      <c r="L15">
        <v>3</v>
      </c>
      <c r="M15" s="9">
        <f t="shared" si="3"/>
        <v>8.6206896551724146</v>
      </c>
    </row>
    <row r="16" spans="1:13" x14ac:dyDescent="0.25">
      <c r="A16" s="7">
        <v>4000</v>
      </c>
      <c r="B16">
        <f t="shared" si="0"/>
        <v>40</v>
      </c>
      <c r="C16" s="8">
        <v>1.0833333333333334E-2</v>
      </c>
      <c r="D16">
        <f>(15*60)+36</f>
        <v>936</v>
      </c>
      <c r="E16">
        <f t="shared" si="4"/>
        <v>4.166666666666667</v>
      </c>
      <c r="F16">
        <f t="shared" si="1"/>
        <v>65.217391304347828</v>
      </c>
      <c r="G16">
        <v>30</v>
      </c>
      <c r="H16">
        <v>25.6</v>
      </c>
      <c r="I16">
        <v>9.08</v>
      </c>
      <c r="J16">
        <v>6.3899999999999998E-2</v>
      </c>
      <c r="K16">
        <f t="shared" si="2"/>
        <v>99.296255506607935</v>
      </c>
      <c r="L16">
        <v>3</v>
      </c>
      <c r="M16" s="9">
        <f t="shared" si="3"/>
        <v>8.3333333333333357</v>
      </c>
    </row>
    <row r="17" spans="1:13" x14ac:dyDescent="0.25">
      <c r="A17" s="7">
        <v>4500</v>
      </c>
      <c r="B17">
        <f t="shared" si="0"/>
        <v>45</v>
      </c>
      <c r="C17" s="8">
        <v>1.2280092592592592E-2</v>
      </c>
      <c r="D17">
        <f>(17*60)+41</f>
        <v>1061</v>
      </c>
      <c r="E17">
        <f t="shared" si="4"/>
        <v>4</v>
      </c>
      <c r="F17">
        <f t="shared" si="1"/>
        <v>62.608695652173914</v>
      </c>
      <c r="G17">
        <v>30</v>
      </c>
      <c r="H17">
        <v>25.7</v>
      </c>
      <c r="I17">
        <v>9.75</v>
      </c>
      <c r="J17">
        <v>7.1099999999999997E-2</v>
      </c>
      <c r="K17">
        <f t="shared" si="2"/>
        <v>99.270769230769233</v>
      </c>
      <c r="L17">
        <v>3</v>
      </c>
      <c r="M17" s="9">
        <f t="shared" si="3"/>
        <v>8</v>
      </c>
    </row>
    <row r="18" spans="1:13" x14ac:dyDescent="0.25">
      <c r="A18" s="7">
        <v>5000</v>
      </c>
      <c r="B18">
        <f t="shared" si="0"/>
        <v>50</v>
      </c>
      <c r="C18" s="8">
        <v>1.3715277777777778E-2</v>
      </c>
      <c r="D18">
        <f>(19*60)+45</f>
        <v>1185</v>
      </c>
      <c r="E18">
        <f t="shared" si="4"/>
        <v>4.032258064516129</v>
      </c>
      <c r="F18">
        <f t="shared" si="1"/>
        <v>63.113604488078536</v>
      </c>
      <c r="G18">
        <v>30</v>
      </c>
      <c r="H18">
        <v>25.8</v>
      </c>
      <c r="I18">
        <v>10.55</v>
      </c>
      <c r="J18">
        <v>7.5999999999999998E-2</v>
      </c>
      <c r="K18">
        <f t="shared" si="2"/>
        <v>99.279620853080559</v>
      </c>
      <c r="L18">
        <v>3</v>
      </c>
      <c r="M18" s="9">
        <f t="shared" si="3"/>
        <v>8.064516129032258</v>
      </c>
    </row>
    <row r="19" spans="1:13" x14ac:dyDescent="0.25">
      <c r="A19" s="7">
        <v>5500</v>
      </c>
      <c r="B19">
        <f t="shared" si="0"/>
        <v>55.000000000000007</v>
      </c>
      <c r="C19" s="8">
        <v>1.5162037037037036E-2</v>
      </c>
      <c r="D19">
        <f>(21*60)+50</f>
        <v>1310</v>
      </c>
      <c r="E19">
        <f t="shared" si="4"/>
        <v>4</v>
      </c>
      <c r="F19">
        <f t="shared" si="1"/>
        <v>62.608695652173914</v>
      </c>
      <c r="G19">
        <v>30</v>
      </c>
      <c r="H19">
        <v>25.9</v>
      </c>
      <c r="I19">
        <v>11.44</v>
      </c>
      <c r="J19">
        <v>8.8300000000000003E-2</v>
      </c>
      <c r="K19">
        <f t="shared" si="2"/>
        <v>99.228146853146853</v>
      </c>
      <c r="L19">
        <v>3</v>
      </c>
      <c r="M19" s="9">
        <f t="shared" si="3"/>
        <v>8</v>
      </c>
    </row>
    <row r="20" spans="1:13" x14ac:dyDescent="0.25">
      <c r="A20" s="7">
        <v>6000</v>
      </c>
      <c r="B20">
        <f t="shared" si="0"/>
        <v>60</v>
      </c>
      <c r="C20" s="8">
        <v>1.6631944444444446E-2</v>
      </c>
      <c r="D20">
        <f>(23*60)+57</f>
        <v>1437</v>
      </c>
      <c r="E20">
        <f t="shared" si="4"/>
        <v>3.9370078740157481</v>
      </c>
      <c r="F20">
        <f t="shared" si="1"/>
        <v>61.622731941116051</v>
      </c>
      <c r="G20">
        <v>30</v>
      </c>
      <c r="H20">
        <v>26</v>
      </c>
      <c r="I20">
        <v>12.55</v>
      </c>
      <c r="J20">
        <v>9.8799999999999999E-2</v>
      </c>
      <c r="K20">
        <f t="shared" si="2"/>
        <v>99.212749003984072</v>
      </c>
      <c r="L20">
        <v>3</v>
      </c>
      <c r="M20" s="9">
        <f t="shared" si="3"/>
        <v>7.8740157480314963</v>
      </c>
    </row>
    <row r="21" spans="1:13" x14ac:dyDescent="0.25">
      <c r="A21" s="7">
        <v>6500</v>
      </c>
      <c r="B21">
        <f t="shared" si="0"/>
        <v>65</v>
      </c>
      <c r="C21" s="8">
        <v>1.818287037037037E-2</v>
      </c>
      <c r="D21">
        <f>(26*60)+11</f>
        <v>1571</v>
      </c>
      <c r="E21">
        <f t="shared" si="4"/>
        <v>3.7313432835820897</v>
      </c>
      <c r="F21">
        <f t="shared" si="1"/>
        <v>58.403634003893579</v>
      </c>
      <c r="G21">
        <v>30</v>
      </c>
      <c r="H21">
        <v>26</v>
      </c>
      <c r="I21">
        <v>13.79</v>
      </c>
      <c r="J21">
        <v>0.11269999999999999</v>
      </c>
      <c r="K21">
        <f t="shared" si="2"/>
        <v>99.182741116751274</v>
      </c>
      <c r="L21">
        <v>3</v>
      </c>
      <c r="M21" s="9">
        <f t="shared" si="3"/>
        <v>7.4626865671641793</v>
      </c>
    </row>
    <row r="22" spans="1:13" x14ac:dyDescent="0.25">
      <c r="A22" s="7">
        <v>7000</v>
      </c>
      <c r="B22">
        <f t="shared" si="0"/>
        <v>70</v>
      </c>
      <c r="C22" s="8">
        <v>1.9780092592592592E-2</v>
      </c>
      <c r="D22">
        <f>(28*60)+29</f>
        <v>1709</v>
      </c>
      <c r="E22">
        <f t="shared" si="4"/>
        <v>3.6231884057971016</v>
      </c>
      <c r="F22">
        <f t="shared" si="1"/>
        <v>56.710775047258977</v>
      </c>
      <c r="G22">
        <v>30</v>
      </c>
      <c r="H22">
        <v>26</v>
      </c>
      <c r="I22">
        <v>15.41</v>
      </c>
      <c r="J22">
        <v>0.1305</v>
      </c>
      <c r="K22">
        <f t="shared" si="2"/>
        <v>99.153147306943552</v>
      </c>
      <c r="L22">
        <v>3</v>
      </c>
      <c r="M22" s="9">
        <f t="shared" si="3"/>
        <v>7.2463768115942031</v>
      </c>
    </row>
    <row r="23" spans="1:13" x14ac:dyDescent="0.25">
      <c r="A23" s="7">
        <v>7500</v>
      </c>
      <c r="B23">
        <f t="shared" si="0"/>
        <v>75</v>
      </c>
      <c r="C23" s="8">
        <v>2.146990740740741E-2</v>
      </c>
      <c r="D23">
        <f>(30*60)+55</f>
        <v>1855</v>
      </c>
      <c r="E23">
        <f t="shared" si="4"/>
        <v>3.4246575342465753</v>
      </c>
      <c r="F23">
        <f t="shared" si="1"/>
        <v>53.603335318642046</v>
      </c>
      <c r="G23">
        <v>30</v>
      </c>
      <c r="H23">
        <v>26.1</v>
      </c>
      <c r="I23">
        <v>17.37</v>
      </c>
      <c r="J23">
        <v>0.15459999999999999</v>
      </c>
      <c r="K23">
        <f t="shared" si="2"/>
        <v>99.109959700633283</v>
      </c>
      <c r="L23">
        <v>3</v>
      </c>
      <c r="M23" s="9">
        <f t="shared" si="3"/>
        <v>6.8493150684931505</v>
      </c>
    </row>
    <row r="24" spans="1:13" x14ac:dyDescent="0.25">
      <c r="A24" s="7">
        <v>8000</v>
      </c>
      <c r="B24">
        <f t="shared" si="0"/>
        <v>80</v>
      </c>
      <c r="C24" s="8">
        <v>2.3310185185185187E-2</v>
      </c>
      <c r="D24">
        <f>(33*60)+34</f>
        <v>2014</v>
      </c>
      <c r="E24">
        <f t="shared" si="4"/>
        <v>3.1446540880503147</v>
      </c>
      <c r="F24">
        <f t="shared" si="1"/>
        <v>49.220672682526661</v>
      </c>
      <c r="G24">
        <v>30</v>
      </c>
      <c r="H24">
        <v>26.2</v>
      </c>
      <c r="I24">
        <v>19.41</v>
      </c>
      <c r="J24">
        <v>0.19650000000000001</v>
      </c>
      <c r="K24">
        <f t="shared" si="2"/>
        <v>98.987635239567226</v>
      </c>
      <c r="L24">
        <v>3</v>
      </c>
      <c r="M24" s="9">
        <f t="shared" si="3"/>
        <v>6.2893081761006293</v>
      </c>
    </row>
    <row r="25" spans="1:13" x14ac:dyDescent="0.25">
      <c r="A25" s="7">
        <v>8500</v>
      </c>
      <c r="B25">
        <f t="shared" si="0"/>
        <v>85</v>
      </c>
      <c r="C25" s="8">
        <v>2.5347222222222219E-2</v>
      </c>
      <c r="D25">
        <f>(36*60)+30</f>
        <v>2190</v>
      </c>
      <c r="E25">
        <f t="shared" si="4"/>
        <v>2.8409090909090908</v>
      </c>
      <c r="F25">
        <f t="shared" si="1"/>
        <v>44.466403162055336</v>
      </c>
      <c r="G25">
        <v>30</v>
      </c>
      <c r="H25">
        <v>26.2</v>
      </c>
      <c r="I25">
        <v>25.7</v>
      </c>
      <c r="J25">
        <v>0.249</v>
      </c>
      <c r="K25">
        <f t="shared" si="2"/>
        <v>99.031128404669261</v>
      </c>
      <c r="L25">
        <v>3</v>
      </c>
      <c r="M25" s="9">
        <f t="shared" si="3"/>
        <v>5.6818181818181808</v>
      </c>
    </row>
    <row r="26" spans="1:13" ht="14.4" thickBot="1" x14ac:dyDescent="0.3">
      <c r="A26" s="10">
        <v>9000</v>
      </c>
      <c r="B26" s="11">
        <f t="shared" si="0"/>
        <v>90</v>
      </c>
      <c r="C26" s="12">
        <v>2.7777777777777776E-2</v>
      </c>
      <c r="D26" s="11">
        <f>(40*60)</f>
        <v>2400</v>
      </c>
      <c r="E26" s="11">
        <f t="shared" si="4"/>
        <v>2.3809523809523809</v>
      </c>
      <c r="F26" s="11">
        <f t="shared" si="1"/>
        <v>37.267080745341609</v>
      </c>
      <c r="G26" s="11">
        <v>30</v>
      </c>
      <c r="H26" s="11">
        <v>26.4</v>
      </c>
      <c r="I26" s="11">
        <v>31.2</v>
      </c>
      <c r="J26" s="11">
        <v>0.36299999999999999</v>
      </c>
      <c r="K26" s="11">
        <f t="shared" si="2"/>
        <v>98.836538461538453</v>
      </c>
      <c r="L26" s="11">
        <v>3</v>
      </c>
      <c r="M26" s="13">
        <f t="shared" si="3"/>
        <v>4.7619047619047619</v>
      </c>
    </row>
    <row r="33" spans="1:13" ht="14.4" thickBot="1" x14ac:dyDescent="0.3"/>
    <row r="34" spans="1:13" ht="15.6" x14ac:dyDescent="0.3">
      <c r="A34" s="1" t="s">
        <v>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1:13" ht="15.6" x14ac:dyDescent="0.3">
      <c r="A35" s="4"/>
      <c r="B35" s="5"/>
      <c r="C35" s="5"/>
      <c r="D35" s="5"/>
      <c r="E35" s="5"/>
      <c r="F35" s="5"/>
      <c r="G35" s="5"/>
      <c r="H35" s="5" t="s">
        <v>1</v>
      </c>
      <c r="I35" s="5" t="s">
        <v>2</v>
      </c>
      <c r="J35" s="5"/>
      <c r="K35" s="5"/>
      <c r="L35" s="5"/>
      <c r="M35" s="6"/>
    </row>
    <row r="36" spans="1:13" ht="18" x14ac:dyDescent="0.3">
      <c r="A36" s="4" t="s">
        <v>3</v>
      </c>
      <c r="B36" s="5" t="s">
        <v>4</v>
      </c>
      <c r="C36" s="5" t="s">
        <v>16</v>
      </c>
      <c r="D36" s="5" t="s">
        <v>6</v>
      </c>
      <c r="E36" s="5" t="s">
        <v>7</v>
      </c>
      <c r="F36" s="5" t="s">
        <v>15</v>
      </c>
      <c r="G36" s="5" t="s">
        <v>9</v>
      </c>
      <c r="H36" s="5" t="s">
        <v>10</v>
      </c>
      <c r="I36" s="5" t="s">
        <v>10</v>
      </c>
      <c r="J36" s="5" t="s">
        <v>11</v>
      </c>
      <c r="K36" s="5" t="s">
        <v>12</v>
      </c>
      <c r="L36" s="5" t="s">
        <v>13</v>
      </c>
      <c r="M36" s="6" t="s">
        <v>14</v>
      </c>
    </row>
    <row r="37" spans="1:13" x14ac:dyDescent="0.25">
      <c r="A37" s="7">
        <v>500</v>
      </c>
      <c r="B37">
        <f>100*(A37/10000)</f>
        <v>5</v>
      </c>
      <c r="C37" s="14">
        <v>2.1527777777777778E-3</v>
      </c>
      <c r="D37">
        <f>(3*60)+6</f>
        <v>186</v>
      </c>
      <c r="E37">
        <f>500/D37</f>
        <v>2.6881720430107525</v>
      </c>
      <c r="F37">
        <f>((E37/1000)*3600)/0.23</f>
        <v>42.075736325385684</v>
      </c>
      <c r="G37">
        <v>20</v>
      </c>
      <c r="H37">
        <v>23.9</v>
      </c>
      <c r="I37">
        <v>5.92</v>
      </c>
      <c r="J37">
        <v>0.13669999999999999</v>
      </c>
      <c r="K37">
        <f>100*(1-(J37/I37))</f>
        <v>97.690878378378372</v>
      </c>
      <c r="L37">
        <v>3</v>
      </c>
      <c r="M37" s="9">
        <f>100*((E37*60)/1000)/L37</f>
        <v>5.376344086021505</v>
      </c>
    </row>
    <row r="38" spans="1:13" x14ac:dyDescent="0.25">
      <c r="A38" s="7">
        <v>1000</v>
      </c>
      <c r="B38">
        <f t="shared" ref="B38:B54" si="5">100*(A38/10000)</f>
        <v>10</v>
      </c>
      <c r="C38" s="14">
        <v>4.3518518518518515E-3</v>
      </c>
      <c r="D38">
        <f>(6*60)+16</f>
        <v>376</v>
      </c>
      <c r="E38">
        <f>500/(D38-D37)</f>
        <v>2.6315789473684212</v>
      </c>
      <c r="F38">
        <f t="shared" ref="F38:F54" si="6">((E38/1000)*3600)/0.23</f>
        <v>41.189931350114421</v>
      </c>
      <c r="G38">
        <v>20</v>
      </c>
      <c r="H38">
        <v>24.3</v>
      </c>
      <c r="I38">
        <v>6.21</v>
      </c>
      <c r="J38">
        <v>5.7099999999999998E-2</v>
      </c>
      <c r="K38">
        <f>100*(1-(J38/I38))</f>
        <v>99.080515297906601</v>
      </c>
      <c r="L38">
        <v>3</v>
      </c>
      <c r="M38" s="9">
        <f t="shared" ref="M38:M54" si="7">100*((E38*60)/1000)/L38</f>
        <v>5.2631578947368416</v>
      </c>
    </row>
    <row r="39" spans="1:13" x14ac:dyDescent="0.25">
      <c r="A39" s="7">
        <v>1500</v>
      </c>
      <c r="B39">
        <f t="shared" si="5"/>
        <v>15</v>
      </c>
      <c r="C39" s="14">
        <v>6.4699074074074069E-3</v>
      </c>
      <c r="D39">
        <f>(9*60)+19</f>
        <v>559</v>
      </c>
      <c r="E39">
        <f t="shared" ref="E39:E54" si="8">500/(D39-D38)</f>
        <v>2.7322404371584699</v>
      </c>
      <c r="F39">
        <f t="shared" si="6"/>
        <v>42.765502494654314</v>
      </c>
      <c r="G39">
        <v>20</v>
      </c>
      <c r="H39">
        <v>24.7</v>
      </c>
      <c r="I39">
        <v>6.51</v>
      </c>
      <c r="J39">
        <v>5.8400000000000001E-2</v>
      </c>
      <c r="K39">
        <f t="shared" ref="K39:K54" si="9">100*(1-(J39/I39))</f>
        <v>99.102918586789556</v>
      </c>
      <c r="L39">
        <v>3</v>
      </c>
      <c r="M39" s="9">
        <f t="shared" si="7"/>
        <v>5.4644808743169406</v>
      </c>
    </row>
    <row r="40" spans="1:13" x14ac:dyDescent="0.25">
      <c r="A40" s="7">
        <v>2000</v>
      </c>
      <c r="B40">
        <f t="shared" si="5"/>
        <v>20</v>
      </c>
      <c r="C40" s="14">
        <v>8.611111111111111E-3</v>
      </c>
      <c r="D40">
        <f>(12*60)+24</f>
        <v>744</v>
      </c>
      <c r="E40">
        <f t="shared" si="8"/>
        <v>2.7027027027027026</v>
      </c>
      <c r="F40">
        <f t="shared" si="6"/>
        <v>42.303172737955336</v>
      </c>
      <c r="G40">
        <v>20</v>
      </c>
      <c r="H40">
        <v>25</v>
      </c>
      <c r="I40">
        <v>6.87</v>
      </c>
      <c r="J40">
        <v>6.2899999999999998E-2</v>
      </c>
      <c r="K40">
        <f t="shared" si="9"/>
        <v>99.084425036390101</v>
      </c>
      <c r="L40">
        <v>3</v>
      </c>
      <c r="M40" s="9">
        <f t="shared" si="7"/>
        <v>5.4054054054054061</v>
      </c>
    </row>
    <row r="41" spans="1:13" x14ac:dyDescent="0.25">
      <c r="A41" s="7">
        <v>2500</v>
      </c>
      <c r="B41">
        <f t="shared" si="5"/>
        <v>25</v>
      </c>
      <c r="C41" s="14">
        <v>1.0787037037037038E-2</v>
      </c>
      <c r="D41">
        <f>(15*60)+32</f>
        <v>932</v>
      </c>
      <c r="E41">
        <f t="shared" si="8"/>
        <v>2.6595744680851063</v>
      </c>
      <c r="F41">
        <f t="shared" si="6"/>
        <v>41.628122109158177</v>
      </c>
      <c r="G41">
        <v>20</v>
      </c>
      <c r="H41">
        <v>25.2</v>
      </c>
      <c r="I41">
        <v>7.25</v>
      </c>
      <c r="J41">
        <v>6.7500000000000004E-2</v>
      </c>
      <c r="K41">
        <f t="shared" si="9"/>
        <v>99.068965517241381</v>
      </c>
      <c r="L41">
        <v>3</v>
      </c>
      <c r="M41" s="9">
        <f t="shared" si="7"/>
        <v>5.3191489361702127</v>
      </c>
    </row>
    <row r="42" spans="1:13" x14ac:dyDescent="0.25">
      <c r="A42" s="7">
        <v>3000</v>
      </c>
      <c r="B42">
        <f t="shared" si="5"/>
        <v>30</v>
      </c>
      <c r="C42" s="14">
        <v>1.2962962962962963E-2</v>
      </c>
      <c r="D42">
        <f>(18*60)+40</f>
        <v>1120</v>
      </c>
      <c r="E42">
        <f t="shared" si="8"/>
        <v>2.6595744680851063</v>
      </c>
      <c r="F42">
        <f t="shared" si="6"/>
        <v>41.628122109158177</v>
      </c>
      <c r="G42">
        <v>20</v>
      </c>
      <c r="H42">
        <v>25.4</v>
      </c>
      <c r="I42">
        <v>7.69</v>
      </c>
      <c r="J42">
        <v>7.0300000000000001E-2</v>
      </c>
      <c r="K42">
        <f t="shared" si="9"/>
        <v>99.085825747724314</v>
      </c>
      <c r="L42">
        <v>3</v>
      </c>
      <c r="M42" s="9">
        <f t="shared" si="7"/>
        <v>5.3191489361702127</v>
      </c>
    </row>
    <row r="43" spans="1:13" x14ac:dyDescent="0.25">
      <c r="A43" s="7">
        <v>3500</v>
      </c>
      <c r="B43">
        <f t="shared" si="5"/>
        <v>35</v>
      </c>
      <c r="C43" s="14">
        <v>1.5162037037037036E-2</v>
      </c>
      <c r="D43">
        <f>(21*60)+50</f>
        <v>1310</v>
      </c>
      <c r="E43">
        <f t="shared" si="8"/>
        <v>2.6315789473684212</v>
      </c>
      <c r="F43">
        <f t="shared" si="6"/>
        <v>41.189931350114421</v>
      </c>
      <c r="G43">
        <v>20</v>
      </c>
      <c r="H43">
        <v>25.5</v>
      </c>
      <c r="I43">
        <v>8.17</v>
      </c>
      <c r="J43">
        <v>7.7600000000000002E-2</v>
      </c>
      <c r="K43">
        <f t="shared" si="9"/>
        <v>99.05018359853122</v>
      </c>
      <c r="L43">
        <v>3</v>
      </c>
      <c r="M43" s="9">
        <f t="shared" si="7"/>
        <v>5.2631578947368416</v>
      </c>
    </row>
    <row r="44" spans="1:13" x14ac:dyDescent="0.25">
      <c r="A44" s="7">
        <v>4000</v>
      </c>
      <c r="B44">
        <f t="shared" si="5"/>
        <v>40</v>
      </c>
      <c r="C44" s="14">
        <v>1.744212962962963E-2</v>
      </c>
      <c r="D44">
        <f>(25*60)+7</f>
        <v>1507</v>
      </c>
      <c r="E44">
        <f t="shared" si="8"/>
        <v>2.5380710659898478</v>
      </c>
      <c r="F44">
        <f t="shared" si="6"/>
        <v>39.726329728536754</v>
      </c>
      <c r="G44">
        <v>20</v>
      </c>
      <c r="H44">
        <v>25.5</v>
      </c>
      <c r="I44">
        <v>8.77</v>
      </c>
      <c r="J44">
        <v>8.5999999999999993E-2</v>
      </c>
      <c r="K44">
        <f t="shared" si="9"/>
        <v>99.019384264538203</v>
      </c>
      <c r="L44">
        <v>3</v>
      </c>
      <c r="M44" s="9">
        <f t="shared" si="7"/>
        <v>5.0761421319796964</v>
      </c>
    </row>
    <row r="45" spans="1:13" x14ac:dyDescent="0.25">
      <c r="A45" s="7">
        <v>4500</v>
      </c>
      <c r="B45">
        <f t="shared" si="5"/>
        <v>45</v>
      </c>
      <c r="C45" s="14">
        <v>1.9733796296296298E-2</v>
      </c>
      <c r="D45">
        <f>(28*60)+25</f>
        <v>1705</v>
      </c>
      <c r="E45">
        <f t="shared" si="8"/>
        <v>2.5252525252525251</v>
      </c>
      <c r="F45">
        <f t="shared" si="6"/>
        <v>39.525691699604735</v>
      </c>
      <c r="G45">
        <v>20</v>
      </c>
      <c r="H45">
        <v>25.6</v>
      </c>
      <c r="I45">
        <v>9.3699999999999992</v>
      </c>
      <c r="J45">
        <v>9.2999999999999999E-2</v>
      </c>
      <c r="K45">
        <f t="shared" si="9"/>
        <v>99.007470651013875</v>
      </c>
      <c r="L45">
        <v>3</v>
      </c>
      <c r="M45" s="9">
        <f t="shared" si="7"/>
        <v>5.0505050505050493</v>
      </c>
    </row>
    <row r="46" spans="1:13" x14ac:dyDescent="0.25">
      <c r="A46" s="7">
        <v>5000</v>
      </c>
      <c r="B46">
        <f t="shared" si="5"/>
        <v>50</v>
      </c>
      <c r="C46" s="14">
        <v>2.210648148148148E-2</v>
      </c>
      <c r="D46">
        <f>(31*60)+50</f>
        <v>1910</v>
      </c>
      <c r="E46">
        <f t="shared" si="8"/>
        <v>2.4390243902439024</v>
      </c>
      <c r="F46">
        <f t="shared" si="6"/>
        <v>38.176033934252388</v>
      </c>
      <c r="G46">
        <v>20</v>
      </c>
      <c r="H46">
        <v>25.6</v>
      </c>
      <c r="I46">
        <v>10.1</v>
      </c>
      <c r="J46">
        <v>0.1022</v>
      </c>
      <c r="K46">
        <f t="shared" si="9"/>
        <v>98.988118811881193</v>
      </c>
      <c r="L46">
        <v>3</v>
      </c>
      <c r="M46" s="9">
        <f t="shared" si="7"/>
        <v>4.8780487804878048</v>
      </c>
    </row>
    <row r="47" spans="1:13" x14ac:dyDescent="0.25">
      <c r="A47" s="7">
        <v>5500</v>
      </c>
      <c r="B47">
        <f t="shared" si="5"/>
        <v>55.000000000000007</v>
      </c>
      <c r="C47" s="14">
        <v>2.4560185185185185E-2</v>
      </c>
      <c r="D47">
        <f>(35*60)+22</f>
        <v>2122</v>
      </c>
      <c r="E47">
        <f t="shared" si="8"/>
        <v>2.358490566037736</v>
      </c>
      <c r="F47">
        <f t="shared" si="6"/>
        <v>36.915504511895001</v>
      </c>
      <c r="G47">
        <v>20</v>
      </c>
      <c r="H47">
        <v>25.6</v>
      </c>
      <c r="I47">
        <v>10.97</v>
      </c>
      <c r="J47">
        <v>0.1152</v>
      </c>
      <c r="K47">
        <f t="shared" si="9"/>
        <v>98.949863263445764</v>
      </c>
      <c r="L47">
        <v>3</v>
      </c>
      <c r="M47" s="9">
        <f t="shared" si="7"/>
        <v>4.716981132075472</v>
      </c>
    </row>
    <row r="48" spans="1:13" x14ac:dyDescent="0.25">
      <c r="A48" s="7">
        <v>6000</v>
      </c>
      <c r="B48">
        <f t="shared" si="5"/>
        <v>60</v>
      </c>
      <c r="C48" s="14">
        <v>2.7118055555555552E-2</v>
      </c>
      <c r="D48">
        <f>(39*60)+3</f>
        <v>2343</v>
      </c>
      <c r="E48">
        <f t="shared" si="8"/>
        <v>2.2624434389140271</v>
      </c>
      <c r="F48">
        <f t="shared" si="6"/>
        <v>35.412158174306505</v>
      </c>
      <c r="G48">
        <v>20</v>
      </c>
      <c r="H48">
        <v>25.6</v>
      </c>
      <c r="I48">
        <v>12.03</v>
      </c>
      <c r="J48">
        <v>0.13059999999999999</v>
      </c>
      <c r="K48">
        <f t="shared" si="9"/>
        <v>98.914380714879471</v>
      </c>
      <c r="L48">
        <v>3</v>
      </c>
      <c r="M48" s="9">
        <f t="shared" si="7"/>
        <v>4.5248868778280542</v>
      </c>
    </row>
    <row r="49" spans="1:13" x14ac:dyDescent="0.25">
      <c r="A49" s="7">
        <v>6500</v>
      </c>
      <c r="B49">
        <f t="shared" si="5"/>
        <v>65</v>
      </c>
      <c r="C49" s="14">
        <v>2.9803240740740741E-2</v>
      </c>
      <c r="D49">
        <f>(42*60)+55</f>
        <v>2575</v>
      </c>
      <c r="E49">
        <f t="shared" si="8"/>
        <v>2.1551724137931036</v>
      </c>
      <c r="F49">
        <f t="shared" si="6"/>
        <v>33.733133433283363</v>
      </c>
      <c r="G49">
        <v>20</v>
      </c>
      <c r="H49">
        <v>25.6</v>
      </c>
      <c r="I49">
        <v>13.26</v>
      </c>
      <c r="J49">
        <v>0.1555</v>
      </c>
      <c r="K49">
        <f t="shared" si="9"/>
        <v>98.827300150829572</v>
      </c>
      <c r="L49">
        <v>3</v>
      </c>
      <c r="M49" s="9">
        <f t="shared" si="7"/>
        <v>4.3103448275862073</v>
      </c>
    </row>
    <row r="50" spans="1:13" x14ac:dyDescent="0.25">
      <c r="A50" s="7">
        <v>7000</v>
      </c>
      <c r="B50">
        <f t="shared" si="5"/>
        <v>70</v>
      </c>
      <c r="C50" s="14">
        <v>3.2673611111111105E-2</v>
      </c>
      <c r="D50">
        <f>(47*60)+3</f>
        <v>2823</v>
      </c>
      <c r="E50">
        <f t="shared" si="8"/>
        <v>2.0161290322580645</v>
      </c>
      <c r="F50">
        <f t="shared" si="6"/>
        <v>31.556802244039268</v>
      </c>
      <c r="G50">
        <v>20</v>
      </c>
      <c r="H50">
        <v>25.6</v>
      </c>
      <c r="I50">
        <v>14.8</v>
      </c>
      <c r="J50">
        <v>0.1807</v>
      </c>
      <c r="K50">
        <f t="shared" si="9"/>
        <v>98.779054054054043</v>
      </c>
      <c r="L50">
        <v>3</v>
      </c>
      <c r="M50" s="9">
        <f t="shared" si="7"/>
        <v>4.032258064516129</v>
      </c>
    </row>
    <row r="51" spans="1:13" x14ac:dyDescent="0.25">
      <c r="A51" s="7">
        <v>7500</v>
      </c>
      <c r="B51">
        <f t="shared" si="5"/>
        <v>75</v>
      </c>
      <c r="C51" s="14">
        <v>3.5763888888888887E-2</v>
      </c>
      <c r="D51">
        <f>(51*60)+30</f>
        <v>3090</v>
      </c>
      <c r="E51">
        <f t="shared" si="8"/>
        <v>1.8726591760299625</v>
      </c>
      <c r="F51">
        <f t="shared" si="6"/>
        <v>29.311187103077671</v>
      </c>
      <c r="G51">
        <v>20</v>
      </c>
      <c r="H51">
        <v>25.7</v>
      </c>
      <c r="I51">
        <v>16.920000000000002</v>
      </c>
      <c r="J51">
        <v>0.22</v>
      </c>
      <c r="K51">
        <f t="shared" si="9"/>
        <v>98.699763593380624</v>
      </c>
      <c r="L51">
        <v>3</v>
      </c>
      <c r="M51" s="9">
        <f t="shared" si="7"/>
        <v>3.7453183520599249</v>
      </c>
    </row>
    <row r="52" spans="1:13" x14ac:dyDescent="0.25">
      <c r="A52" s="7">
        <v>8000</v>
      </c>
      <c r="B52">
        <f t="shared" si="5"/>
        <v>80</v>
      </c>
      <c r="C52" s="14">
        <v>3.9351851851851853E-2</v>
      </c>
      <c r="D52">
        <f>(56*60)+40</f>
        <v>3400</v>
      </c>
      <c r="E52">
        <f t="shared" si="8"/>
        <v>1.6129032258064515</v>
      </c>
      <c r="F52">
        <f t="shared" si="6"/>
        <v>25.245441795231415</v>
      </c>
      <c r="G52">
        <v>20</v>
      </c>
      <c r="H52">
        <v>25.6</v>
      </c>
      <c r="I52">
        <v>19.47</v>
      </c>
      <c r="J52">
        <v>0.29799999999999999</v>
      </c>
      <c r="K52">
        <f t="shared" si="9"/>
        <v>98.469440164355419</v>
      </c>
      <c r="L52">
        <v>3</v>
      </c>
      <c r="M52" s="9">
        <f t="shared" si="7"/>
        <v>3.2258064516129035</v>
      </c>
    </row>
    <row r="53" spans="1:13" x14ac:dyDescent="0.25">
      <c r="A53" s="7">
        <v>8500</v>
      </c>
      <c r="B53">
        <f t="shared" si="5"/>
        <v>85</v>
      </c>
      <c r="C53" s="14">
        <v>4.3541666666666666E-2</v>
      </c>
      <c r="D53">
        <f>(1*60*60)+(2*60)+42</f>
        <v>3762</v>
      </c>
      <c r="E53">
        <f t="shared" si="8"/>
        <v>1.3812154696132597</v>
      </c>
      <c r="F53">
        <f t="shared" si="6"/>
        <v>21.619024741772758</v>
      </c>
      <c r="G53">
        <v>20</v>
      </c>
      <c r="H53">
        <v>25.9</v>
      </c>
      <c r="I53">
        <v>24.6</v>
      </c>
      <c r="J53">
        <v>0.42</v>
      </c>
      <c r="K53">
        <f t="shared" si="9"/>
        <v>98.292682926829272</v>
      </c>
      <c r="L53">
        <v>3</v>
      </c>
      <c r="M53" s="9">
        <f t="shared" si="7"/>
        <v>2.7624309392265189</v>
      </c>
    </row>
    <row r="54" spans="1:13" ht="14.4" thickBot="1" x14ac:dyDescent="0.3">
      <c r="A54" s="10">
        <v>9000</v>
      </c>
      <c r="B54" s="11">
        <f t="shared" si="5"/>
        <v>90</v>
      </c>
      <c r="C54" s="15">
        <v>4.9398148148148142E-2</v>
      </c>
      <c r="D54" s="11">
        <f>(1*60*60)+(11*60)+8</f>
        <v>4268</v>
      </c>
      <c r="E54" s="11">
        <f t="shared" si="8"/>
        <v>0.98814229249011853</v>
      </c>
      <c r="F54" s="11">
        <f t="shared" si="6"/>
        <v>15.466575012888811</v>
      </c>
      <c r="G54" s="11">
        <v>20</v>
      </c>
      <c r="H54" s="11">
        <v>26</v>
      </c>
      <c r="I54" s="11">
        <v>30.4</v>
      </c>
      <c r="J54" s="11">
        <v>0.69</v>
      </c>
      <c r="K54" s="11">
        <f t="shared" si="9"/>
        <v>97.73026315789474</v>
      </c>
      <c r="L54" s="11">
        <v>3</v>
      </c>
      <c r="M54" s="13">
        <f t="shared" si="7"/>
        <v>1.9762845849802371</v>
      </c>
    </row>
    <row r="61" spans="1:13" ht="14.4" thickBot="1" x14ac:dyDescent="0.3"/>
    <row r="62" spans="1:13" ht="15.6" x14ac:dyDescent="0.3">
      <c r="A62" s="1" t="s">
        <v>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3"/>
    </row>
    <row r="63" spans="1:13" ht="15.6" x14ac:dyDescent="0.3">
      <c r="A63" s="4"/>
      <c r="B63" s="5"/>
      <c r="C63" s="5"/>
      <c r="D63" s="5"/>
      <c r="E63" s="5"/>
      <c r="F63" s="5"/>
      <c r="G63" s="5"/>
      <c r="H63" s="5" t="s">
        <v>1</v>
      </c>
      <c r="I63" s="5" t="s">
        <v>2</v>
      </c>
      <c r="J63" s="5"/>
      <c r="K63" s="5"/>
      <c r="L63" s="5"/>
      <c r="M63" s="6"/>
    </row>
    <row r="64" spans="1:13" ht="18" x14ac:dyDescent="0.3">
      <c r="A64" s="4" t="s">
        <v>3</v>
      </c>
      <c r="B64" s="5" t="s">
        <v>4</v>
      </c>
      <c r="C64" s="5" t="s">
        <v>16</v>
      </c>
      <c r="D64" s="5" t="s">
        <v>6</v>
      </c>
      <c r="E64" s="5" t="s">
        <v>7</v>
      </c>
      <c r="F64" s="5" t="s">
        <v>15</v>
      </c>
      <c r="G64" s="5" t="s">
        <v>9</v>
      </c>
      <c r="H64" s="5" t="s">
        <v>10</v>
      </c>
      <c r="I64" s="5" t="s">
        <v>10</v>
      </c>
      <c r="J64" s="5" t="s">
        <v>11</v>
      </c>
      <c r="K64" s="5" t="s">
        <v>12</v>
      </c>
      <c r="L64" s="5" t="s">
        <v>13</v>
      </c>
      <c r="M64" s="6" t="s">
        <v>14</v>
      </c>
    </row>
    <row r="65" spans="1:13" x14ac:dyDescent="0.25">
      <c r="A65" s="7">
        <v>500</v>
      </c>
      <c r="B65">
        <f>100*(A65/10000)</f>
        <v>5</v>
      </c>
      <c r="C65" s="14">
        <v>4.6412037037037038E-3</v>
      </c>
      <c r="D65">
        <f>(6*60)+41</f>
        <v>401</v>
      </c>
      <c r="E65">
        <f>500/D65</f>
        <v>1.2468827930174564</v>
      </c>
      <c r="F65">
        <f>((E65/1000)*3600)/0.23</f>
        <v>19.51642632549062</v>
      </c>
      <c r="G65">
        <v>20</v>
      </c>
      <c r="H65">
        <v>23.6</v>
      </c>
      <c r="I65">
        <v>4.8</v>
      </c>
      <c r="J65">
        <v>0.14299999999999999</v>
      </c>
      <c r="K65">
        <f>100*(1-(J65/I65))</f>
        <v>97.020833333333329</v>
      </c>
      <c r="L65">
        <v>3</v>
      </c>
      <c r="M65" s="9">
        <f>100*((E65*60)/1000)/L65</f>
        <v>2.4937655860349128</v>
      </c>
    </row>
    <row r="66" spans="1:13" x14ac:dyDescent="0.25">
      <c r="A66" s="7">
        <v>1000</v>
      </c>
      <c r="B66">
        <f t="shared" ref="B66:B82" si="10">100*(A66/10000)</f>
        <v>10</v>
      </c>
      <c r="C66" s="14">
        <v>9.4212962962962957E-3</v>
      </c>
      <c r="D66">
        <f>(13*60)+34</f>
        <v>814</v>
      </c>
      <c r="E66">
        <f>500/(D66-D65)</f>
        <v>1.2106537530266344</v>
      </c>
      <c r="F66">
        <f t="shared" ref="F66:F81" si="11">((E66/1000)*3600)/0.23</f>
        <v>18.949363090851669</v>
      </c>
      <c r="G66">
        <v>20</v>
      </c>
      <c r="I66">
        <v>5.05</v>
      </c>
      <c r="J66">
        <v>8.3500000000000005E-2</v>
      </c>
      <c r="K66">
        <f>100*(1-(J66/I66))</f>
        <v>98.346534653465341</v>
      </c>
      <c r="L66">
        <v>3</v>
      </c>
      <c r="M66" s="9">
        <f t="shared" ref="M66:M82" si="12">100*((E66*60)/1000)/L66</f>
        <v>2.4213075060532687</v>
      </c>
    </row>
    <row r="67" spans="1:13" x14ac:dyDescent="0.25">
      <c r="A67" s="7">
        <v>1500</v>
      </c>
      <c r="B67">
        <f t="shared" si="10"/>
        <v>15</v>
      </c>
      <c r="C67" s="14">
        <v>1.4108796296296295E-2</v>
      </c>
      <c r="D67">
        <f>(20*60)+19</f>
        <v>1219</v>
      </c>
      <c r="E67">
        <f t="shared" ref="E67:E81" si="13">500/(D67-D66)</f>
        <v>1.2345679012345678</v>
      </c>
      <c r="F67">
        <f t="shared" si="11"/>
        <v>19.323671497584542</v>
      </c>
      <c r="G67">
        <v>20</v>
      </c>
      <c r="I67">
        <v>5.33</v>
      </c>
      <c r="J67">
        <v>8.8499999999999995E-2</v>
      </c>
      <c r="K67">
        <f t="shared" ref="K67:K82" si="14">100*(1-(J67/I67))</f>
        <v>98.339587242026269</v>
      </c>
      <c r="L67">
        <v>3</v>
      </c>
      <c r="M67" s="9">
        <f t="shared" si="12"/>
        <v>2.4691358024691357</v>
      </c>
    </row>
    <row r="68" spans="1:13" x14ac:dyDescent="0.25">
      <c r="A68" s="7">
        <v>2000</v>
      </c>
      <c r="B68">
        <f t="shared" si="10"/>
        <v>20</v>
      </c>
      <c r="C68" s="14">
        <v>1.8888888888888889E-2</v>
      </c>
      <c r="D68">
        <f>(27*60)+12</f>
        <v>1632</v>
      </c>
      <c r="E68">
        <f t="shared" si="13"/>
        <v>1.2106537530266344</v>
      </c>
      <c r="F68">
        <f t="shared" si="11"/>
        <v>18.949363090851669</v>
      </c>
      <c r="G68">
        <v>20</v>
      </c>
      <c r="I68">
        <v>5.63</v>
      </c>
      <c r="J68">
        <v>9.6100000000000005E-2</v>
      </c>
      <c r="K68">
        <f t="shared" si="14"/>
        <v>98.293072824156297</v>
      </c>
      <c r="L68">
        <v>3</v>
      </c>
      <c r="M68" s="9">
        <f t="shared" si="12"/>
        <v>2.4213075060532687</v>
      </c>
    </row>
    <row r="69" spans="1:13" x14ac:dyDescent="0.25">
      <c r="A69" s="7">
        <v>2500</v>
      </c>
      <c r="B69">
        <f t="shared" si="10"/>
        <v>25</v>
      </c>
      <c r="C69" s="14">
        <v>2.3761574074074074E-2</v>
      </c>
      <c r="D69">
        <f>(34*60)+13</f>
        <v>2053</v>
      </c>
      <c r="E69">
        <f t="shared" si="13"/>
        <v>1.1876484560570071</v>
      </c>
      <c r="F69">
        <f t="shared" si="11"/>
        <v>18.58928018176185</v>
      </c>
      <c r="G69">
        <v>20</v>
      </c>
      <c r="I69">
        <v>5.97</v>
      </c>
      <c r="J69">
        <v>0.1036</v>
      </c>
      <c r="K69">
        <f t="shared" si="14"/>
        <v>98.264656616415408</v>
      </c>
      <c r="L69">
        <v>3</v>
      </c>
      <c r="M69" s="9">
        <f t="shared" si="12"/>
        <v>2.3752969121140137</v>
      </c>
    </row>
    <row r="70" spans="1:13" x14ac:dyDescent="0.25">
      <c r="A70" s="7">
        <v>3000</v>
      </c>
      <c r="B70">
        <f t="shared" si="10"/>
        <v>30</v>
      </c>
      <c r="C70" s="14">
        <v>2.8807870370370373E-2</v>
      </c>
      <c r="D70">
        <f>(60*41)+29</f>
        <v>2489</v>
      </c>
      <c r="E70">
        <f t="shared" si="13"/>
        <v>1.1467889908256881</v>
      </c>
      <c r="F70">
        <f t="shared" si="11"/>
        <v>17.949740725967292</v>
      </c>
      <c r="G70">
        <v>20</v>
      </c>
      <c r="I70">
        <v>6.32</v>
      </c>
      <c r="J70">
        <v>0.11409999999999999</v>
      </c>
      <c r="K70">
        <f t="shared" si="14"/>
        <v>98.194620253164558</v>
      </c>
      <c r="L70">
        <v>3</v>
      </c>
      <c r="M70" s="9">
        <f t="shared" si="12"/>
        <v>2.2935779816513762</v>
      </c>
    </row>
    <row r="71" spans="1:13" x14ac:dyDescent="0.25">
      <c r="A71" s="7">
        <v>3500</v>
      </c>
      <c r="B71">
        <f t="shared" si="10"/>
        <v>35</v>
      </c>
      <c r="C71" s="14">
        <v>3.3865740740740738E-2</v>
      </c>
      <c r="D71">
        <f>(48*60)+46</f>
        <v>2926</v>
      </c>
      <c r="E71">
        <f t="shared" si="13"/>
        <v>1.1441647597254005</v>
      </c>
      <c r="F71">
        <f t="shared" si="11"/>
        <v>17.908665804397572</v>
      </c>
      <c r="G71">
        <v>20</v>
      </c>
      <c r="I71">
        <v>6.71</v>
      </c>
      <c r="J71">
        <v>0.123</v>
      </c>
      <c r="K71">
        <f t="shared" si="14"/>
        <v>98.166915052160959</v>
      </c>
      <c r="L71">
        <v>3</v>
      </c>
      <c r="M71" s="9">
        <f t="shared" si="12"/>
        <v>2.2883295194508015</v>
      </c>
    </row>
    <row r="72" spans="1:13" x14ac:dyDescent="0.25">
      <c r="A72" s="7">
        <v>4000</v>
      </c>
      <c r="B72">
        <f t="shared" si="10"/>
        <v>40</v>
      </c>
      <c r="C72" s="14">
        <v>3.9178240740740743E-2</v>
      </c>
      <c r="D72">
        <f>(56*60)+25</f>
        <v>3385</v>
      </c>
      <c r="E72">
        <f t="shared" si="13"/>
        <v>1.0893246187363834</v>
      </c>
      <c r="F72">
        <f t="shared" si="11"/>
        <v>17.050298380221651</v>
      </c>
      <c r="G72">
        <v>20</v>
      </c>
      <c r="I72">
        <v>7.14</v>
      </c>
      <c r="J72">
        <v>0.1396</v>
      </c>
      <c r="K72">
        <f t="shared" si="14"/>
        <v>98.044817927170868</v>
      </c>
      <c r="L72">
        <v>3</v>
      </c>
      <c r="M72" s="9">
        <f t="shared" si="12"/>
        <v>2.1786492374727664</v>
      </c>
    </row>
    <row r="73" spans="1:13" x14ac:dyDescent="0.25">
      <c r="A73" s="7">
        <v>4500</v>
      </c>
      <c r="B73">
        <f t="shared" si="10"/>
        <v>45</v>
      </c>
      <c r="C73" s="14">
        <v>4.4571759259259262E-2</v>
      </c>
      <c r="D73">
        <f>3600+(4*60)+11</f>
        <v>3851</v>
      </c>
      <c r="E73">
        <f t="shared" si="13"/>
        <v>1.0729613733905579</v>
      </c>
      <c r="F73">
        <f t="shared" si="11"/>
        <v>16.794178018286992</v>
      </c>
      <c r="G73">
        <v>20</v>
      </c>
      <c r="I73">
        <v>7.86</v>
      </c>
      <c r="J73">
        <v>0.154</v>
      </c>
      <c r="K73">
        <f t="shared" si="14"/>
        <v>98.040712468193377</v>
      </c>
      <c r="L73">
        <v>3</v>
      </c>
      <c r="M73" s="9">
        <f t="shared" si="12"/>
        <v>2.1459227467811157</v>
      </c>
    </row>
    <row r="74" spans="1:13" x14ac:dyDescent="0.25">
      <c r="A74" s="7">
        <v>5000</v>
      </c>
      <c r="B74">
        <f t="shared" si="10"/>
        <v>50</v>
      </c>
      <c r="C74" s="14">
        <v>5.0254629629629628E-2</v>
      </c>
      <c r="D74">
        <f>3600+(12*60)+22</f>
        <v>4342</v>
      </c>
      <c r="E74">
        <f t="shared" si="13"/>
        <v>1.0183299389002036</v>
      </c>
      <c r="F74">
        <f t="shared" si="11"/>
        <v>15.939077304524924</v>
      </c>
      <c r="G74">
        <v>20</v>
      </c>
      <c r="I74">
        <v>8.34</v>
      </c>
      <c r="J74">
        <v>0.17530000000000001</v>
      </c>
      <c r="K74">
        <f t="shared" si="14"/>
        <v>97.898081534772189</v>
      </c>
      <c r="L74">
        <v>3</v>
      </c>
      <c r="M74" s="9">
        <f t="shared" si="12"/>
        <v>2.0366598778004072</v>
      </c>
    </row>
    <row r="75" spans="1:13" x14ac:dyDescent="0.25">
      <c r="A75" s="7">
        <v>5500</v>
      </c>
      <c r="B75">
        <f t="shared" si="10"/>
        <v>55.000000000000007</v>
      </c>
      <c r="C75" s="14">
        <v>5.6307870370370362E-2</v>
      </c>
      <c r="D75">
        <f>3600+(21*60)+5</f>
        <v>4865</v>
      </c>
      <c r="E75">
        <f t="shared" si="13"/>
        <v>0.95602294455066916</v>
      </c>
      <c r="F75">
        <f t="shared" si="11"/>
        <v>14.963837392966996</v>
      </c>
      <c r="G75">
        <v>20</v>
      </c>
      <c r="I75">
        <v>8.3000000000000007</v>
      </c>
      <c r="J75">
        <v>0.192</v>
      </c>
      <c r="K75">
        <f t="shared" si="14"/>
        <v>97.686746987951807</v>
      </c>
      <c r="L75">
        <v>3</v>
      </c>
      <c r="M75" s="9">
        <f t="shared" si="12"/>
        <v>1.9120458891013383</v>
      </c>
    </row>
    <row r="76" spans="1:13" x14ac:dyDescent="0.25">
      <c r="A76" s="7">
        <v>6000</v>
      </c>
      <c r="B76">
        <f t="shared" si="10"/>
        <v>60</v>
      </c>
      <c r="C76" s="14">
        <v>6.2731481481481485E-2</v>
      </c>
      <c r="D76">
        <f>3600+(30*60)+20</f>
        <v>5420</v>
      </c>
      <c r="E76">
        <f t="shared" si="13"/>
        <v>0.90090090090090091</v>
      </c>
      <c r="F76">
        <f t="shared" si="11"/>
        <v>14.101057579318448</v>
      </c>
      <c r="G76">
        <v>20</v>
      </c>
      <c r="I76">
        <v>8.85</v>
      </c>
      <c r="J76">
        <v>0.23300000000000001</v>
      </c>
      <c r="K76">
        <f t="shared" si="14"/>
        <v>97.36723163841809</v>
      </c>
      <c r="L76">
        <v>3</v>
      </c>
      <c r="M76" s="9">
        <f t="shared" si="12"/>
        <v>1.8018018018018018</v>
      </c>
    </row>
    <row r="77" spans="1:13" x14ac:dyDescent="0.25">
      <c r="A77" s="7">
        <v>6500</v>
      </c>
      <c r="B77">
        <f t="shared" si="10"/>
        <v>65</v>
      </c>
      <c r="C77" s="14">
        <v>6.9722222222222227E-2</v>
      </c>
      <c r="D77">
        <f>3600+(40*60)+24</f>
        <v>6024</v>
      </c>
      <c r="E77">
        <f t="shared" si="13"/>
        <v>0.82781456953642385</v>
      </c>
      <c r="F77">
        <f t="shared" si="11"/>
        <v>12.95709761013533</v>
      </c>
      <c r="G77">
        <v>20</v>
      </c>
      <c r="I77">
        <v>9.56</v>
      </c>
      <c r="J77">
        <v>0.28599999999999998</v>
      </c>
      <c r="K77">
        <f t="shared" si="14"/>
        <v>97.008368200836827</v>
      </c>
      <c r="L77">
        <v>3</v>
      </c>
      <c r="M77" s="9">
        <f t="shared" si="12"/>
        <v>1.6556291390728477</v>
      </c>
    </row>
    <row r="78" spans="1:13" x14ac:dyDescent="0.25">
      <c r="A78" s="7">
        <v>7000</v>
      </c>
      <c r="B78">
        <f t="shared" si="10"/>
        <v>70</v>
      </c>
      <c r="C78" s="14">
        <v>7.7777777777777779E-2</v>
      </c>
      <c r="D78">
        <f>3600+(52*60)</f>
        <v>6720</v>
      </c>
      <c r="E78">
        <f t="shared" si="13"/>
        <v>0.7183908045977011</v>
      </c>
      <c r="F78">
        <f t="shared" si="11"/>
        <v>11.244377811094452</v>
      </c>
      <c r="G78">
        <v>20</v>
      </c>
      <c r="I78">
        <v>10.23</v>
      </c>
      <c r="J78">
        <v>0.36199999999999999</v>
      </c>
      <c r="K78">
        <f t="shared" si="14"/>
        <v>96.461388074291293</v>
      </c>
      <c r="L78">
        <v>3</v>
      </c>
      <c r="M78" s="9">
        <f t="shared" si="12"/>
        <v>1.4367816091954022</v>
      </c>
    </row>
    <row r="79" spans="1:13" x14ac:dyDescent="0.25">
      <c r="A79" s="7">
        <v>7500</v>
      </c>
      <c r="B79">
        <f t="shared" si="10"/>
        <v>75</v>
      </c>
      <c r="C79" s="14">
        <v>8.7210648148148148E-2</v>
      </c>
      <c r="D79">
        <f>(2*3600)+(5*60)+35</f>
        <v>7535</v>
      </c>
      <c r="E79">
        <f t="shared" si="13"/>
        <v>0.61349693251533743</v>
      </c>
      <c r="F79">
        <f t="shared" si="11"/>
        <v>9.6025606828487593</v>
      </c>
      <c r="G79">
        <v>20</v>
      </c>
      <c r="I79">
        <v>13.31</v>
      </c>
      <c r="J79">
        <v>0.47899999999999998</v>
      </c>
      <c r="K79">
        <f t="shared" si="14"/>
        <v>96.401202103681442</v>
      </c>
      <c r="L79">
        <v>3</v>
      </c>
      <c r="M79" s="9">
        <f t="shared" si="12"/>
        <v>1.2269938650306749</v>
      </c>
    </row>
    <row r="80" spans="1:13" x14ac:dyDescent="0.25">
      <c r="A80" s="7">
        <v>8000</v>
      </c>
      <c r="B80">
        <f t="shared" si="10"/>
        <v>80</v>
      </c>
      <c r="C80" s="14">
        <v>9.9895833333333336E-2</v>
      </c>
      <c r="D80">
        <f>(2*3600)+(23*60)+51</f>
        <v>8631</v>
      </c>
      <c r="E80">
        <f t="shared" si="13"/>
        <v>0.45620437956204379</v>
      </c>
      <c r="F80">
        <f t="shared" si="11"/>
        <v>7.1405902887972061</v>
      </c>
      <c r="G80">
        <v>20</v>
      </c>
      <c r="I80">
        <v>15.88</v>
      </c>
      <c r="J80">
        <v>0.7</v>
      </c>
      <c r="K80">
        <f t="shared" si="14"/>
        <v>95.591939546599505</v>
      </c>
      <c r="L80">
        <v>3</v>
      </c>
      <c r="M80" s="9">
        <f t="shared" si="12"/>
        <v>0.9124087591240877</v>
      </c>
    </row>
    <row r="81" spans="1:13" x14ac:dyDescent="0.25">
      <c r="A81" s="7">
        <v>8500</v>
      </c>
      <c r="B81">
        <f t="shared" si="10"/>
        <v>85</v>
      </c>
      <c r="C81" s="14">
        <v>0.11940972222222222</v>
      </c>
      <c r="D81">
        <f>(2*3600)+(51*60)+57</f>
        <v>10317</v>
      </c>
      <c r="E81">
        <f t="shared" si="13"/>
        <v>0.29655990510083036</v>
      </c>
      <c r="F81">
        <f t="shared" si="11"/>
        <v>4.6418072102738659</v>
      </c>
      <c r="G81">
        <v>20</v>
      </c>
      <c r="I81">
        <v>18.600000000000001</v>
      </c>
      <c r="J81">
        <v>1.3069999999999999</v>
      </c>
      <c r="K81">
        <f t="shared" si="14"/>
        <v>92.973118279569889</v>
      </c>
      <c r="L81">
        <v>3</v>
      </c>
      <c r="M81" s="9">
        <f t="shared" si="12"/>
        <v>0.59311981020166082</v>
      </c>
    </row>
    <row r="82" spans="1:13" ht="14.4" thickBot="1" x14ac:dyDescent="0.3">
      <c r="A82" s="10">
        <v>8800</v>
      </c>
      <c r="B82" s="11">
        <f t="shared" si="10"/>
        <v>88</v>
      </c>
      <c r="C82" s="15">
        <v>0.14018518518518519</v>
      </c>
      <c r="D82" s="11">
        <f>(3*3600)+(21*60)+52</f>
        <v>12112</v>
      </c>
      <c r="E82" s="11">
        <f>300/(D82-D81)</f>
        <v>0.16713091922005571</v>
      </c>
      <c r="F82" s="11">
        <f>((E82/1000)*3600)/0.23</f>
        <v>2.6159622138791327</v>
      </c>
      <c r="G82" s="11">
        <v>20</v>
      </c>
      <c r="H82" s="11"/>
      <c r="I82" s="11">
        <v>21.8</v>
      </c>
      <c r="J82" s="11">
        <v>2.48</v>
      </c>
      <c r="K82" s="11">
        <f t="shared" si="14"/>
        <v>88.623853211009177</v>
      </c>
      <c r="L82" s="11">
        <v>3</v>
      </c>
      <c r="M82" s="13">
        <f t="shared" si="12"/>
        <v>0.33426183844011143</v>
      </c>
    </row>
    <row r="86" spans="1:13" ht="14.4" x14ac:dyDescent="0.3">
      <c r="A86" s="88" t="s">
        <v>17</v>
      </c>
    </row>
    <row r="87" spans="1:13" ht="14.4" thickBot="1" x14ac:dyDescent="0.3"/>
    <row r="88" spans="1:13" x14ac:dyDescent="0.25">
      <c r="A88" s="22" t="s">
        <v>18</v>
      </c>
      <c r="B88" s="16" t="s">
        <v>19</v>
      </c>
      <c r="C88" s="16" t="s">
        <v>20</v>
      </c>
      <c r="D88" s="16" t="s">
        <v>21</v>
      </c>
      <c r="E88" s="16" t="s">
        <v>22</v>
      </c>
      <c r="F88" s="16" t="s">
        <v>23</v>
      </c>
      <c r="G88" s="16" t="s">
        <v>24</v>
      </c>
      <c r="H88" s="16" t="s">
        <v>25</v>
      </c>
      <c r="I88" s="23" t="s">
        <v>26</v>
      </c>
    </row>
    <row r="89" spans="1:13" x14ac:dyDescent="0.25">
      <c r="A89" s="90">
        <v>10</v>
      </c>
      <c r="B89" s="91">
        <v>5.0000000000000002E-5</v>
      </c>
      <c r="C89" s="92">
        <v>1</v>
      </c>
      <c r="D89" s="92">
        <v>50</v>
      </c>
      <c r="E89" s="92">
        <v>605600</v>
      </c>
      <c r="F89" s="92">
        <v>0.16822222222222222</v>
      </c>
      <c r="G89" s="92">
        <v>16.822222222222223</v>
      </c>
      <c r="H89" s="92">
        <v>21.027777777777779</v>
      </c>
      <c r="I89" s="93">
        <v>2.8000000000000001E-2</v>
      </c>
    </row>
    <row r="90" spans="1:13" x14ac:dyDescent="0.25">
      <c r="A90" s="90">
        <v>20</v>
      </c>
      <c r="B90" s="91">
        <v>5.0000000000000002E-5</v>
      </c>
      <c r="C90" s="92">
        <v>2</v>
      </c>
      <c r="D90" s="92">
        <v>100</v>
      </c>
      <c r="E90" s="92">
        <v>426800</v>
      </c>
      <c r="F90" s="92">
        <v>0.11855555555555555</v>
      </c>
      <c r="G90" s="92">
        <v>11.855555555555554</v>
      </c>
      <c r="H90" s="92">
        <v>14.819444444444443</v>
      </c>
      <c r="I90" s="93">
        <v>2.8000000000000001E-2</v>
      </c>
    </row>
    <row r="91" spans="1:13" x14ac:dyDescent="0.25">
      <c r="A91" s="90">
        <v>30</v>
      </c>
      <c r="B91" s="91">
        <v>5.0000000000000002E-5</v>
      </c>
      <c r="C91" s="92">
        <v>3</v>
      </c>
      <c r="D91" s="92">
        <v>150</v>
      </c>
      <c r="E91" s="92">
        <v>360000</v>
      </c>
      <c r="F91" s="92">
        <v>0.1</v>
      </c>
      <c r="G91" s="92">
        <v>10</v>
      </c>
      <c r="H91" s="92">
        <v>12.5</v>
      </c>
      <c r="I91" s="93">
        <v>2.8000000000000001E-2</v>
      </c>
    </row>
    <row r="92" spans="1:13" x14ac:dyDescent="0.25">
      <c r="A92" s="90">
        <v>30</v>
      </c>
      <c r="B92" s="91">
        <v>8.3333333333333331E-5</v>
      </c>
      <c r="C92" s="92">
        <v>3</v>
      </c>
      <c r="D92" s="92">
        <v>250</v>
      </c>
      <c r="E92" s="92">
        <v>602500</v>
      </c>
      <c r="F92" s="92">
        <v>0.1673611111111111</v>
      </c>
      <c r="G92" s="92">
        <v>16.736111111111111</v>
      </c>
      <c r="H92" s="92">
        <v>20.920138888888889</v>
      </c>
      <c r="I92" s="93">
        <v>0.14000000000000001</v>
      </c>
    </row>
    <row r="93" spans="1:13" x14ac:dyDescent="0.25">
      <c r="A93" s="90">
        <v>30</v>
      </c>
      <c r="B93" s="91">
        <v>5.0000000000000002E-5</v>
      </c>
      <c r="C93" s="92">
        <v>3</v>
      </c>
      <c r="D93" s="92">
        <v>150</v>
      </c>
      <c r="E93" s="92">
        <v>360000</v>
      </c>
      <c r="F93" s="92">
        <v>0.1</v>
      </c>
      <c r="G93" s="92">
        <v>10</v>
      </c>
      <c r="H93" s="92">
        <v>12.5</v>
      </c>
      <c r="I93" s="93">
        <v>8.4000000000000005E-2</v>
      </c>
    </row>
    <row r="94" spans="1:13" x14ac:dyDescent="0.25">
      <c r="A94" s="90">
        <v>30</v>
      </c>
      <c r="B94" s="91">
        <v>1.6666666666666667E-5</v>
      </c>
      <c r="C94" s="92">
        <v>3</v>
      </c>
      <c r="D94" s="92">
        <v>50</v>
      </c>
      <c r="E94" s="92">
        <v>137450</v>
      </c>
      <c r="F94" s="92">
        <v>3.8180555555555558E-2</v>
      </c>
      <c r="G94" s="92">
        <v>3.8180555555555555</v>
      </c>
      <c r="H94" s="92">
        <v>4.7725694444444446</v>
      </c>
      <c r="I94" s="93">
        <v>2.8000000000000001E-2</v>
      </c>
    </row>
    <row r="95" spans="1:13" x14ac:dyDescent="0.25">
      <c r="A95" s="90"/>
      <c r="B95" s="91"/>
      <c r="C95" s="92"/>
      <c r="D95" s="92"/>
      <c r="E95" s="92"/>
      <c r="F95" s="92"/>
      <c r="G95" s="92"/>
      <c r="H95" s="92"/>
      <c r="I95" s="93"/>
    </row>
    <row r="96" spans="1:13" x14ac:dyDescent="0.25">
      <c r="A96" s="90">
        <v>30</v>
      </c>
      <c r="B96" s="91">
        <v>1.6666666666666667E-5</v>
      </c>
      <c r="C96" s="92">
        <v>3</v>
      </c>
      <c r="D96" s="92">
        <v>50</v>
      </c>
      <c r="E96" s="92">
        <v>137450</v>
      </c>
      <c r="F96" s="92">
        <v>3.8180555555555558E-2</v>
      </c>
      <c r="G96" s="92">
        <v>3.8180555555555555</v>
      </c>
      <c r="H96" s="92">
        <v>4.7725694444444446</v>
      </c>
      <c r="I96" s="93">
        <v>2.8000000000000001E-2</v>
      </c>
    </row>
    <row r="97" spans="1:9" x14ac:dyDescent="0.25">
      <c r="A97" s="90">
        <v>30</v>
      </c>
      <c r="B97" s="91">
        <v>5.0000000000000002E-5</v>
      </c>
      <c r="C97" s="92">
        <v>3</v>
      </c>
      <c r="D97" s="92">
        <v>150</v>
      </c>
      <c r="E97" s="92">
        <v>360000</v>
      </c>
      <c r="F97" s="92">
        <v>0.1</v>
      </c>
      <c r="G97" s="92">
        <v>10</v>
      </c>
      <c r="H97" s="92">
        <v>12.5</v>
      </c>
      <c r="I97" s="93">
        <v>8.4000000000000005E-2</v>
      </c>
    </row>
    <row r="98" spans="1:9" ht="14.4" thickBot="1" x14ac:dyDescent="0.3">
      <c r="A98" s="94">
        <v>30</v>
      </c>
      <c r="B98" s="95">
        <v>8.3333333333333331E-5</v>
      </c>
      <c r="C98" s="96">
        <v>3</v>
      </c>
      <c r="D98" s="96">
        <v>250</v>
      </c>
      <c r="E98" s="96">
        <v>602500</v>
      </c>
      <c r="F98" s="96">
        <v>0.1673611111111111</v>
      </c>
      <c r="G98" s="96">
        <v>16.736111111111111</v>
      </c>
      <c r="H98" s="96">
        <v>20.920138888888889</v>
      </c>
      <c r="I98" s="97">
        <v>0.14000000000000001</v>
      </c>
    </row>
    <row r="100" spans="1:9" ht="14.4" thickBot="1" x14ac:dyDescent="0.3"/>
    <row r="101" spans="1:9" x14ac:dyDescent="0.25">
      <c r="A101" s="22" t="s">
        <v>27</v>
      </c>
      <c r="B101" s="23" t="s">
        <v>28</v>
      </c>
    </row>
    <row r="102" spans="1:9" x14ac:dyDescent="0.25">
      <c r="A102" s="7">
        <v>0</v>
      </c>
      <c r="B102" s="9">
        <v>0.17294940102127251</v>
      </c>
    </row>
    <row r="103" spans="1:9" x14ac:dyDescent="0.25">
      <c r="A103" s="7">
        <v>5</v>
      </c>
      <c r="B103" s="9">
        <v>0.17294940102127251</v>
      </c>
    </row>
    <row r="104" spans="1:9" x14ac:dyDescent="0.25">
      <c r="A104" s="7">
        <v>10</v>
      </c>
      <c r="B104" s="9">
        <v>0.17294940102127251</v>
      </c>
    </row>
    <row r="105" spans="1:9" x14ac:dyDescent="0.25">
      <c r="A105" s="7">
        <v>15</v>
      </c>
      <c r="B105" s="9">
        <v>0.17294940102127251</v>
      </c>
    </row>
    <row r="106" spans="1:9" x14ac:dyDescent="0.25">
      <c r="A106" s="7">
        <v>20</v>
      </c>
      <c r="B106" s="9">
        <v>0.17294940102127251</v>
      </c>
    </row>
    <row r="107" spans="1:9" x14ac:dyDescent="0.25">
      <c r="A107" s="7">
        <v>25</v>
      </c>
      <c r="B107" s="9">
        <v>0.17294940102127251</v>
      </c>
    </row>
    <row r="108" spans="1:9" x14ac:dyDescent="0.25">
      <c r="A108" s="7">
        <v>30</v>
      </c>
      <c r="B108" s="9">
        <v>0.17294940102127251</v>
      </c>
    </row>
    <row r="109" spans="1:9" x14ac:dyDescent="0.25">
      <c r="A109" s="7">
        <v>35</v>
      </c>
      <c r="B109" s="9">
        <v>0.17294940102127251</v>
      </c>
    </row>
    <row r="110" spans="1:9" ht="14.4" thickBot="1" x14ac:dyDescent="0.3">
      <c r="A110" s="10">
        <v>40</v>
      </c>
      <c r="B110" s="13">
        <v>0.17294940102127251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AA7EF-2649-409B-AB0C-B875263152A9}">
  <dimension ref="A6:M113"/>
  <sheetViews>
    <sheetView topLeftCell="J1" zoomScale="70" zoomScaleNormal="70" workbookViewId="0">
      <selection activeCell="AH38" sqref="AH38"/>
    </sheetView>
  </sheetViews>
  <sheetFormatPr defaultRowHeight="13.8" x14ac:dyDescent="0.25"/>
  <cols>
    <col min="12" max="13" width="29.796875" bestFit="1" customWidth="1"/>
  </cols>
  <sheetData>
    <row r="6" spans="1:13" ht="14.4" thickBot="1" x14ac:dyDescent="0.3"/>
    <row r="7" spans="1:13" ht="15.6" x14ac:dyDescent="0.3">
      <c r="A7" s="1" t="s">
        <v>0</v>
      </c>
      <c r="B7" s="2">
        <v>6.16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15.6" x14ac:dyDescent="0.3">
      <c r="A8" s="4"/>
      <c r="B8" s="5"/>
      <c r="C8" s="5"/>
      <c r="D8" s="5"/>
      <c r="E8" s="5"/>
      <c r="F8" s="5"/>
      <c r="G8" s="5"/>
      <c r="H8" s="5" t="s">
        <v>1</v>
      </c>
      <c r="I8" s="5" t="s">
        <v>2</v>
      </c>
      <c r="J8" s="5"/>
      <c r="K8" s="5"/>
      <c r="L8" s="5"/>
      <c r="M8" s="6"/>
    </row>
    <row r="9" spans="1:13" ht="18" x14ac:dyDescent="0.3">
      <c r="A9" s="4" t="s">
        <v>3</v>
      </c>
      <c r="B9" s="5" t="s">
        <v>4</v>
      </c>
      <c r="C9" s="5" t="s">
        <v>16</v>
      </c>
      <c r="D9" s="5" t="s">
        <v>6</v>
      </c>
      <c r="E9" s="5" t="s">
        <v>7</v>
      </c>
      <c r="F9" s="5" t="s">
        <v>15</v>
      </c>
      <c r="G9" s="5" t="s">
        <v>9</v>
      </c>
      <c r="H9" s="5" t="s">
        <v>10</v>
      </c>
      <c r="I9" s="5" t="s">
        <v>10</v>
      </c>
      <c r="J9" s="5" t="s">
        <v>11</v>
      </c>
      <c r="K9" s="5" t="s">
        <v>12</v>
      </c>
      <c r="L9" s="5" t="s">
        <v>13</v>
      </c>
      <c r="M9" s="6" t="s">
        <v>14</v>
      </c>
    </row>
    <row r="10" spans="1:13" x14ac:dyDescent="0.25">
      <c r="A10" s="7">
        <v>500</v>
      </c>
      <c r="B10">
        <f>100*(A10/10000)</f>
        <v>5</v>
      </c>
      <c r="C10" s="14">
        <v>1.423611111111111E-3</v>
      </c>
      <c r="D10">
        <f>(2*60)+3</f>
        <v>123</v>
      </c>
      <c r="E10">
        <f>500/D10</f>
        <v>4.0650406504065044</v>
      </c>
      <c r="F10">
        <f>((E10/1000)*3600)/0.23</f>
        <v>63.626723223753984</v>
      </c>
      <c r="G10">
        <v>30</v>
      </c>
      <c r="H10">
        <v>23.7</v>
      </c>
      <c r="I10">
        <v>6.4</v>
      </c>
      <c r="J10">
        <v>0.127</v>
      </c>
      <c r="K10">
        <f>100*(1-(J10/I10))</f>
        <v>98.015625</v>
      </c>
      <c r="L10">
        <v>5</v>
      </c>
      <c r="M10" s="9">
        <f>100*((E10*60)/1000)/L10</f>
        <v>4.8780487804878057</v>
      </c>
    </row>
    <row r="11" spans="1:13" x14ac:dyDescent="0.25">
      <c r="A11" s="7">
        <v>1000</v>
      </c>
      <c r="B11">
        <f t="shared" ref="B11:B28" si="0">100*(A11/10000)</f>
        <v>10</v>
      </c>
      <c r="C11" s="14">
        <v>2.8009259259259259E-3</v>
      </c>
      <c r="D11">
        <f>(4*60)+2</f>
        <v>242</v>
      </c>
      <c r="E11">
        <f>500/(D11-D10)</f>
        <v>4.2016806722689077</v>
      </c>
      <c r="F11">
        <f t="shared" ref="F11:F26" si="1">((E11/1000)*3600)/0.23</f>
        <v>65.765436609426374</v>
      </c>
      <c r="G11">
        <v>30</v>
      </c>
      <c r="H11">
        <v>24.4</v>
      </c>
      <c r="I11">
        <v>6.7</v>
      </c>
      <c r="J11">
        <v>4.3999999999999997E-2</v>
      </c>
      <c r="K11">
        <f>100*(1-(J11/I11))</f>
        <v>99.343283582089555</v>
      </c>
      <c r="L11">
        <v>5</v>
      </c>
      <c r="M11" s="9">
        <f t="shared" ref="M11:M28" si="2">100*((E11*60)/1000)/L11</f>
        <v>5.0420168067226889</v>
      </c>
    </row>
    <row r="12" spans="1:13" x14ac:dyDescent="0.25">
      <c r="A12" s="7">
        <v>1500</v>
      </c>
      <c r="B12">
        <f t="shared" si="0"/>
        <v>15</v>
      </c>
      <c r="C12" s="14">
        <v>4.1203703703703706E-3</v>
      </c>
      <c r="D12">
        <f>(5*60)+56</f>
        <v>356</v>
      </c>
      <c r="E12">
        <f t="shared" ref="E12:E26" si="3">500/(D12-D11)</f>
        <v>4.3859649122807021</v>
      </c>
      <c r="F12">
        <f t="shared" si="1"/>
        <v>68.649885583524039</v>
      </c>
      <c r="G12">
        <v>30</v>
      </c>
      <c r="H12">
        <v>25</v>
      </c>
      <c r="I12">
        <v>7.03</v>
      </c>
      <c r="J12">
        <v>4.2000000000000003E-2</v>
      </c>
      <c r="K12">
        <f t="shared" ref="K12:K28" si="4">100*(1-(J12/I12))</f>
        <v>99.402560455192031</v>
      </c>
      <c r="L12">
        <v>5</v>
      </c>
      <c r="M12" s="9">
        <f t="shared" si="2"/>
        <v>5.2631578947368434</v>
      </c>
    </row>
    <row r="13" spans="1:13" x14ac:dyDescent="0.25">
      <c r="A13" s="7">
        <v>2000</v>
      </c>
      <c r="B13">
        <f t="shared" si="0"/>
        <v>20</v>
      </c>
      <c r="C13" s="14">
        <v>5.4629629629629637E-3</v>
      </c>
      <c r="D13">
        <f>(7*60)+52</f>
        <v>472</v>
      </c>
      <c r="E13">
        <f t="shared" si="3"/>
        <v>4.3103448275862073</v>
      </c>
      <c r="F13">
        <f t="shared" si="1"/>
        <v>67.466266866566727</v>
      </c>
      <c r="G13">
        <v>30</v>
      </c>
      <c r="H13">
        <v>25.2</v>
      </c>
      <c r="I13">
        <v>7.41</v>
      </c>
      <c r="J13">
        <v>4.4499999999999998E-2</v>
      </c>
      <c r="K13">
        <f t="shared" si="4"/>
        <v>99.399460188933872</v>
      </c>
      <c r="L13">
        <v>5</v>
      </c>
      <c r="M13" s="9">
        <f t="shared" si="2"/>
        <v>5.1724137931034484</v>
      </c>
    </row>
    <row r="14" spans="1:13" x14ac:dyDescent="0.25">
      <c r="A14" s="7">
        <v>2500</v>
      </c>
      <c r="B14">
        <f t="shared" si="0"/>
        <v>25</v>
      </c>
      <c r="C14" s="14">
        <v>6.7939814814814816E-3</v>
      </c>
      <c r="D14">
        <f>(9*60)+47</f>
        <v>587</v>
      </c>
      <c r="E14">
        <f t="shared" si="3"/>
        <v>4.3478260869565215</v>
      </c>
      <c r="F14">
        <f t="shared" si="1"/>
        <v>68.052930056710778</v>
      </c>
      <c r="G14">
        <v>30</v>
      </c>
      <c r="H14">
        <v>25.9</v>
      </c>
      <c r="I14">
        <v>7.84</v>
      </c>
      <c r="J14">
        <v>4.7100000000000003E-2</v>
      </c>
      <c r="K14">
        <f t="shared" si="4"/>
        <v>99.399234693877546</v>
      </c>
      <c r="L14">
        <v>5</v>
      </c>
      <c r="M14" s="9">
        <f t="shared" si="2"/>
        <v>5.2173913043478262</v>
      </c>
    </row>
    <row r="15" spans="1:13" x14ac:dyDescent="0.25">
      <c r="A15" s="7">
        <v>3000</v>
      </c>
      <c r="B15">
        <f t="shared" si="0"/>
        <v>30</v>
      </c>
      <c r="C15" s="14">
        <v>8.1249999999999985E-3</v>
      </c>
      <c r="D15">
        <f>(11*60)+42</f>
        <v>702</v>
      </c>
      <c r="E15">
        <f t="shared" si="3"/>
        <v>4.3478260869565215</v>
      </c>
      <c r="F15">
        <f t="shared" si="1"/>
        <v>68.052930056710778</v>
      </c>
      <c r="G15">
        <v>30</v>
      </c>
      <c r="H15">
        <v>26.2</v>
      </c>
      <c r="I15">
        <v>8.27</v>
      </c>
      <c r="J15">
        <v>5.1200000000000002E-2</v>
      </c>
      <c r="K15">
        <f t="shared" si="4"/>
        <v>99.380894800483674</v>
      </c>
      <c r="L15">
        <v>5</v>
      </c>
      <c r="M15" s="9">
        <f t="shared" si="2"/>
        <v>5.2173913043478262</v>
      </c>
    </row>
    <row r="16" spans="1:13" x14ac:dyDescent="0.25">
      <c r="A16" s="7">
        <v>3500</v>
      </c>
      <c r="B16">
        <f t="shared" si="0"/>
        <v>35</v>
      </c>
      <c r="C16" s="14">
        <v>9.4675925925925917E-3</v>
      </c>
      <c r="D16">
        <f>(13*60)+38</f>
        <v>818</v>
      </c>
      <c r="E16">
        <f t="shared" si="3"/>
        <v>4.3103448275862073</v>
      </c>
      <c r="F16">
        <f t="shared" si="1"/>
        <v>67.466266866566727</v>
      </c>
      <c r="G16">
        <v>30</v>
      </c>
      <c r="H16">
        <v>26.4</v>
      </c>
      <c r="I16">
        <v>8.83</v>
      </c>
      <c r="J16">
        <v>5.4600000000000003E-2</v>
      </c>
      <c r="K16">
        <f t="shared" si="4"/>
        <v>99.381653454133641</v>
      </c>
      <c r="L16">
        <v>5</v>
      </c>
      <c r="M16" s="9">
        <f t="shared" si="2"/>
        <v>5.1724137931034484</v>
      </c>
    </row>
    <row r="17" spans="1:13" x14ac:dyDescent="0.25">
      <c r="A17" s="7">
        <v>4000</v>
      </c>
      <c r="B17">
        <f t="shared" si="0"/>
        <v>40</v>
      </c>
      <c r="C17" s="14">
        <v>1.0833333333333334E-2</v>
      </c>
      <c r="D17">
        <f>(15*60)+36</f>
        <v>936</v>
      </c>
      <c r="E17">
        <f t="shared" si="3"/>
        <v>4.2372881355932206</v>
      </c>
      <c r="F17">
        <f t="shared" si="1"/>
        <v>66.322770817980839</v>
      </c>
      <c r="G17">
        <v>30</v>
      </c>
      <c r="H17">
        <v>26.6</v>
      </c>
      <c r="I17">
        <v>9.5500000000000007</v>
      </c>
      <c r="J17">
        <v>6.0100000000000001E-2</v>
      </c>
      <c r="K17">
        <f t="shared" si="4"/>
        <v>99.370680628272254</v>
      </c>
      <c r="L17">
        <v>5</v>
      </c>
      <c r="M17" s="9">
        <f t="shared" si="2"/>
        <v>5.0847457627118651</v>
      </c>
    </row>
    <row r="18" spans="1:13" x14ac:dyDescent="0.25">
      <c r="A18" s="7">
        <v>4500</v>
      </c>
      <c r="B18">
        <f t="shared" si="0"/>
        <v>45</v>
      </c>
      <c r="C18" s="14">
        <v>1.2222222222222223E-2</v>
      </c>
      <c r="D18">
        <f>(17*60)+36</f>
        <v>1056</v>
      </c>
      <c r="E18">
        <f t="shared" si="3"/>
        <v>4.166666666666667</v>
      </c>
      <c r="F18">
        <f t="shared" si="1"/>
        <v>65.217391304347828</v>
      </c>
      <c r="G18">
        <v>30</v>
      </c>
      <c r="H18">
        <v>26.7</v>
      </c>
      <c r="I18">
        <v>10.18</v>
      </c>
      <c r="J18">
        <v>6.5500000000000003E-2</v>
      </c>
      <c r="K18">
        <f t="shared" si="4"/>
        <v>99.356581532416499</v>
      </c>
      <c r="L18">
        <v>5</v>
      </c>
      <c r="M18" s="9">
        <f t="shared" si="2"/>
        <v>5.0000000000000018</v>
      </c>
    </row>
    <row r="19" spans="1:13" x14ac:dyDescent="0.25">
      <c r="A19" s="7">
        <v>5000</v>
      </c>
      <c r="B19">
        <f t="shared" si="0"/>
        <v>50</v>
      </c>
      <c r="C19" s="14">
        <v>1.3622685185185184E-2</v>
      </c>
      <c r="D19">
        <f>(19*60)+37</f>
        <v>1177</v>
      </c>
      <c r="E19">
        <f t="shared" si="3"/>
        <v>4.1322314049586772</v>
      </c>
      <c r="F19">
        <f t="shared" si="1"/>
        <v>64.6784045993532</v>
      </c>
      <c r="G19">
        <v>30</v>
      </c>
      <c r="H19">
        <v>26.8</v>
      </c>
      <c r="I19">
        <v>11.03</v>
      </c>
      <c r="J19">
        <v>7.2900000000000006E-2</v>
      </c>
      <c r="K19">
        <f t="shared" si="4"/>
        <v>99.339075249320047</v>
      </c>
      <c r="L19">
        <v>5</v>
      </c>
      <c r="M19" s="9">
        <f t="shared" si="2"/>
        <v>4.9586776859504127</v>
      </c>
    </row>
    <row r="20" spans="1:13" x14ac:dyDescent="0.25">
      <c r="A20" s="7">
        <v>5500</v>
      </c>
      <c r="B20">
        <f t="shared" si="0"/>
        <v>55.000000000000007</v>
      </c>
      <c r="C20" s="14">
        <v>1.5046296296296295E-2</v>
      </c>
      <c r="D20">
        <f>(21*60)+40</f>
        <v>1300</v>
      </c>
      <c r="E20">
        <f t="shared" si="3"/>
        <v>4.0650406504065044</v>
      </c>
      <c r="F20">
        <f t="shared" si="1"/>
        <v>63.626723223753984</v>
      </c>
      <c r="G20">
        <v>30</v>
      </c>
      <c r="H20">
        <v>26.9</v>
      </c>
      <c r="I20">
        <v>12</v>
      </c>
      <c r="J20">
        <v>8.2600000000000007E-2</v>
      </c>
      <c r="K20">
        <f t="shared" si="4"/>
        <v>99.311666666666667</v>
      </c>
      <c r="L20">
        <v>5</v>
      </c>
      <c r="M20" s="9">
        <f t="shared" si="2"/>
        <v>4.8780487804878057</v>
      </c>
    </row>
    <row r="21" spans="1:13" x14ac:dyDescent="0.25">
      <c r="A21" s="7">
        <v>6000</v>
      </c>
      <c r="B21">
        <f t="shared" si="0"/>
        <v>60</v>
      </c>
      <c r="C21" s="14">
        <v>1.650462962962963E-2</v>
      </c>
      <c r="D21">
        <f>(23*60)+46</f>
        <v>1426</v>
      </c>
      <c r="E21">
        <f t="shared" si="3"/>
        <v>3.9682539682539684</v>
      </c>
      <c r="F21">
        <f t="shared" si="1"/>
        <v>62.11180124223602</v>
      </c>
      <c r="G21">
        <v>30</v>
      </c>
      <c r="H21">
        <v>26.9</v>
      </c>
      <c r="I21">
        <v>13.22</v>
      </c>
      <c r="J21">
        <v>8.8999999999999996E-2</v>
      </c>
      <c r="K21">
        <f t="shared" si="4"/>
        <v>99.32677760968231</v>
      </c>
      <c r="L21">
        <v>5</v>
      </c>
      <c r="M21" s="9">
        <f t="shared" si="2"/>
        <v>4.7619047619047619</v>
      </c>
    </row>
    <row r="22" spans="1:13" x14ac:dyDescent="0.25">
      <c r="A22" s="7">
        <v>6500</v>
      </c>
      <c r="B22">
        <f t="shared" si="0"/>
        <v>65</v>
      </c>
      <c r="C22" s="14">
        <v>1.8032407407407407E-2</v>
      </c>
      <c r="D22">
        <f>(25*60)+58</f>
        <v>1558</v>
      </c>
      <c r="E22">
        <f t="shared" si="3"/>
        <v>3.7878787878787881</v>
      </c>
      <c r="F22">
        <f t="shared" si="1"/>
        <v>59.288537549407117</v>
      </c>
      <c r="G22">
        <v>30</v>
      </c>
      <c r="H22">
        <v>26.9</v>
      </c>
      <c r="I22">
        <v>14.67</v>
      </c>
      <c r="J22">
        <v>0.10639999999999999</v>
      </c>
      <c r="K22">
        <f t="shared" si="4"/>
        <v>99.274710293115191</v>
      </c>
      <c r="L22">
        <v>5</v>
      </c>
      <c r="M22" s="9">
        <f t="shared" si="2"/>
        <v>4.5454545454545459</v>
      </c>
    </row>
    <row r="23" spans="1:13" x14ac:dyDescent="0.25">
      <c r="A23" s="7">
        <v>7000</v>
      </c>
      <c r="B23">
        <f t="shared" si="0"/>
        <v>70</v>
      </c>
      <c r="C23" s="14">
        <v>1.9641203703703706E-2</v>
      </c>
      <c r="D23">
        <f>(28*60)+17</f>
        <v>1697</v>
      </c>
      <c r="E23">
        <f t="shared" si="3"/>
        <v>3.5971223021582732</v>
      </c>
      <c r="F23">
        <f t="shared" si="1"/>
        <v>56.302783859868619</v>
      </c>
      <c r="G23">
        <v>30</v>
      </c>
      <c r="H23">
        <v>27</v>
      </c>
      <c r="I23">
        <v>16.559999999999999</v>
      </c>
      <c r="J23">
        <v>0.12559999999999999</v>
      </c>
      <c r="K23">
        <f t="shared" si="4"/>
        <v>99.241545893719803</v>
      </c>
      <c r="L23">
        <v>5</v>
      </c>
      <c r="M23" s="9">
        <f t="shared" si="2"/>
        <v>4.3165467625899279</v>
      </c>
    </row>
    <row r="24" spans="1:13" x14ac:dyDescent="0.25">
      <c r="A24" s="7">
        <v>7500</v>
      </c>
      <c r="B24">
        <f t="shared" si="0"/>
        <v>75</v>
      </c>
      <c r="C24" s="14">
        <v>2.1319444444444443E-2</v>
      </c>
      <c r="D24">
        <f>(30*60)+42</f>
        <v>1842</v>
      </c>
      <c r="E24">
        <f t="shared" si="3"/>
        <v>3.4482758620689653</v>
      </c>
      <c r="F24">
        <f t="shared" si="1"/>
        <v>53.973013493253369</v>
      </c>
      <c r="G24">
        <v>30</v>
      </c>
      <c r="H24">
        <v>27.2</v>
      </c>
      <c r="I24">
        <v>18.649999999999999</v>
      </c>
      <c r="J24">
        <v>0.15459999999999999</v>
      </c>
      <c r="K24">
        <f t="shared" si="4"/>
        <v>99.171045576407508</v>
      </c>
      <c r="L24">
        <v>5</v>
      </c>
      <c r="M24" s="9">
        <f t="shared" si="2"/>
        <v>4.137931034482758</v>
      </c>
    </row>
    <row r="25" spans="1:13" x14ac:dyDescent="0.25">
      <c r="A25" s="7">
        <v>8000</v>
      </c>
      <c r="B25">
        <f t="shared" si="0"/>
        <v>80</v>
      </c>
      <c r="C25" s="14">
        <v>2.3159722222222224E-2</v>
      </c>
      <c r="D25">
        <f>(33*60)+21</f>
        <v>2001</v>
      </c>
      <c r="E25">
        <f t="shared" si="3"/>
        <v>3.1446540880503147</v>
      </c>
      <c r="F25">
        <f t="shared" si="1"/>
        <v>49.220672682526661</v>
      </c>
      <c r="G25">
        <v>30</v>
      </c>
      <c r="H25">
        <v>27.3</v>
      </c>
      <c r="I25">
        <v>23.3</v>
      </c>
      <c r="J25">
        <v>0.192</v>
      </c>
      <c r="K25">
        <f t="shared" si="4"/>
        <v>99.175965665236049</v>
      </c>
      <c r="L25">
        <v>5</v>
      </c>
      <c r="M25" s="9">
        <f t="shared" si="2"/>
        <v>3.7735849056603774</v>
      </c>
    </row>
    <row r="26" spans="1:13" x14ac:dyDescent="0.25">
      <c r="A26" s="7">
        <v>8500</v>
      </c>
      <c r="B26">
        <f t="shared" si="0"/>
        <v>85</v>
      </c>
      <c r="C26" s="14">
        <v>2.5231481481481483E-2</v>
      </c>
      <c r="D26">
        <f>(36*60)+20</f>
        <v>2180</v>
      </c>
      <c r="E26">
        <f t="shared" si="3"/>
        <v>2.7932960893854748</v>
      </c>
      <c r="F26">
        <f t="shared" si="1"/>
        <v>43.721156181685693</v>
      </c>
      <c r="G26">
        <v>30</v>
      </c>
      <c r="H26">
        <v>27.5</v>
      </c>
      <c r="I26">
        <v>28.3</v>
      </c>
      <c r="J26">
        <v>0.25700000000000001</v>
      </c>
      <c r="K26">
        <f t="shared" si="4"/>
        <v>99.091872791519435</v>
      </c>
      <c r="L26">
        <v>5</v>
      </c>
      <c r="M26" s="9">
        <f t="shared" si="2"/>
        <v>3.3519553072625698</v>
      </c>
    </row>
    <row r="27" spans="1:13" x14ac:dyDescent="0.25">
      <c r="A27" s="7">
        <v>9000</v>
      </c>
      <c r="B27">
        <f t="shared" si="0"/>
        <v>90</v>
      </c>
      <c r="C27" s="14">
        <v>2.7893518518518515E-2</v>
      </c>
      <c r="D27">
        <f>(40*60)+10</f>
        <v>2410</v>
      </c>
      <c r="E27">
        <f>300/(D27-D26)</f>
        <v>1.3043478260869565</v>
      </c>
      <c r="F27">
        <f>((E27/1000)*3600)/0.23</f>
        <v>20.415879017013232</v>
      </c>
      <c r="G27">
        <v>30</v>
      </c>
      <c r="H27">
        <v>27.6</v>
      </c>
      <c r="I27">
        <v>34.299999999999997</v>
      </c>
      <c r="J27">
        <v>0.42699999999999999</v>
      </c>
      <c r="K27">
        <f t="shared" si="4"/>
        <v>98.755102040816325</v>
      </c>
      <c r="L27">
        <v>5</v>
      </c>
      <c r="M27" s="9">
        <f t="shared" si="2"/>
        <v>1.5652173913043481</v>
      </c>
    </row>
    <row r="28" spans="1:13" ht="14.4" thickBot="1" x14ac:dyDescent="0.3">
      <c r="A28" s="10">
        <v>9500</v>
      </c>
      <c r="B28" s="11">
        <f t="shared" si="0"/>
        <v>95</v>
      </c>
      <c r="C28" s="15">
        <v>3.2418981481481479E-2</v>
      </c>
      <c r="D28" s="11">
        <f>(46*60)+41</f>
        <v>2801</v>
      </c>
      <c r="E28" s="11">
        <f>300/(D28-D27)</f>
        <v>0.76726342710997442</v>
      </c>
      <c r="F28" s="11">
        <f>((E28/1000)*3600)/0.23</f>
        <v>12.009340598243078</v>
      </c>
      <c r="G28" s="11">
        <v>30</v>
      </c>
      <c r="H28" s="11">
        <v>27.7</v>
      </c>
      <c r="I28" s="11">
        <v>47.4</v>
      </c>
      <c r="J28" s="11">
        <v>0.95</v>
      </c>
      <c r="K28" s="11">
        <f t="shared" si="4"/>
        <v>97.995780590717303</v>
      </c>
      <c r="L28" s="11">
        <v>5</v>
      </c>
      <c r="M28" s="13">
        <f t="shared" si="2"/>
        <v>0.92071611253196939</v>
      </c>
    </row>
    <row r="35" spans="1:13" ht="14.4" thickBot="1" x14ac:dyDescent="0.3"/>
    <row r="36" spans="1:13" ht="15.6" x14ac:dyDescent="0.3">
      <c r="A36" s="1" t="s">
        <v>0</v>
      </c>
      <c r="B36" s="2">
        <v>6.2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/>
    </row>
    <row r="37" spans="1:13" ht="15.6" x14ac:dyDescent="0.3">
      <c r="A37" s="4"/>
      <c r="B37" s="5"/>
      <c r="C37" s="5"/>
      <c r="D37" s="5"/>
      <c r="E37" s="5"/>
      <c r="F37" s="5"/>
      <c r="G37" s="5"/>
      <c r="H37" s="5" t="s">
        <v>1</v>
      </c>
      <c r="I37" s="5" t="s">
        <v>2</v>
      </c>
      <c r="J37" s="5"/>
      <c r="K37" s="5"/>
      <c r="L37" s="5"/>
      <c r="M37" s="6"/>
    </row>
    <row r="38" spans="1:13" ht="18" x14ac:dyDescent="0.3">
      <c r="A38" s="4" t="s">
        <v>3</v>
      </c>
      <c r="B38" s="5" t="s">
        <v>4</v>
      </c>
      <c r="C38" s="5" t="s">
        <v>16</v>
      </c>
      <c r="D38" s="5" t="s">
        <v>6</v>
      </c>
      <c r="E38" s="5" t="s">
        <v>7</v>
      </c>
      <c r="F38" s="5" t="s">
        <v>15</v>
      </c>
      <c r="G38" s="5" t="s">
        <v>9</v>
      </c>
      <c r="H38" s="5" t="s">
        <v>10</v>
      </c>
      <c r="I38" s="5" t="s">
        <v>10</v>
      </c>
      <c r="J38" s="5" t="s">
        <v>11</v>
      </c>
      <c r="K38" s="5" t="s">
        <v>12</v>
      </c>
      <c r="L38" s="5" t="s">
        <v>13</v>
      </c>
      <c r="M38" s="6" t="s">
        <v>14</v>
      </c>
    </row>
    <row r="39" spans="1:13" x14ac:dyDescent="0.25">
      <c r="A39" s="7">
        <v>500</v>
      </c>
      <c r="B39">
        <f>100*(A39/10000)</f>
        <v>5</v>
      </c>
      <c r="C39" s="14">
        <v>1.5624999999999999E-3</v>
      </c>
      <c r="D39">
        <f>(2*60)+15</f>
        <v>135</v>
      </c>
      <c r="E39">
        <f>500/D39</f>
        <v>3.7037037037037037</v>
      </c>
      <c r="F39">
        <f>((E39/1000)*3600)/0.23</f>
        <v>57.971014492753625</v>
      </c>
      <c r="G39">
        <v>30</v>
      </c>
      <c r="H39">
        <v>23</v>
      </c>
      <c r="I39">
        <v>6.3</v>
      </c>
      <c r="J39">
        <v>0.1694</v>
      </c>
      <c r="K39">
        <f>100*(1-(J39/I39))</f>
        <v>97.311111111111117</v>
      </c>
      <c r="L39">
        <v>1</v>
      </c>
      <c r="M39" s="9">
        <f>100*((E39*60)/1000)/L39</f>
        <v>22.222222222222225</v>
      </c>
    </row>
    <row r="40" spans="1:13" x14ac:dyDescent="0.25">
      <c r="A40" s="7">
        <v>1000</v>
      </c>
      <c r="B40">
        <f t="shared" ref="B40:B57" si="5">100*(A40/10000)</f>
        <v>10</v>
      </c>
      <c r="C40" s="14">
        <v>3.0671296296296297E-3</v>
      </c>
      <c r="D40">
        <f>(4*60)+25</f>
        <v>265</v>
      </c>
      <c r="E40">
        <f>500/(D40-D39)</f>
        <v>3.8461538461538463</v>
      </c>
      <c r="F40">
        <f t="shared" ref="F40:F55" si="6">((E40/1000)*3600)/0.23</f>
        <v>60.200668896321069</v>
      </c>
      <c r="G40">
        <v>30</v>
      </c>
      <c r="H40">
        <v>23.7</v>
      </c>
      <c r="I40">
        <v>6.55</v>
      </c>
      <c r="J40">
        <v>0.06</v>
      </c>
      <c r="K40">
        <f>100*(1-(J40/I40))</f>
        <v>99.083969465648863</v>
      </c>
      <c r="L40">
        <v>1</v>
      </c>
      <c r="M40" s="9">
        <f t="shared" ref="M40:M57" si="7">100*((E40*60)/1000)/L40</f>
        <v>23.076923076923077</v>
      </c>
    </row>
    <row r="41" spans="1:13" x14ac:dyDescent="0.25">
      <c r="A41" s="7">
        <v>1500</v>
      </c>
      <c r="B41">
        <f t="shared" si="5"/>
        <v>15</v>
      </c>
      <c r="C41" s="14">
        <v>4.5601851851851853E-3</v>
      </c>
      <c r="D41">
        <f>(6*60)+34</f>
        <v>394</v>
      </c>
      <c r="E41">
        <f t="shared" ref="E41:E55" si="8">500/(D41-D40)</f>
        <v>3.8759689922480618</v>
      </c>
      <c r="F41">
        <f t="shared" si="6"/>
        <v>60.667340748230529</v>
      </c>
      <c r="G41">
        <v>30</v>
      </c>
      <c r="H41">
        <v>24</v>
      </c>
      <c r="I41">
        <v>6.8</v>
      </c>
      <c r="J41">
        <v>5.91E-2</v>
      </c>
      <c r="K41">
        <f t="shared" ref="K41:K57" si="9">100*(1-(J41/I41))</f>
        <v>99.130882352941171</v>
      </c>
      <c r="L41">
        <v>1</v>
      </c>
      <c r="M41" s="9">
        <f t="shared" si="7"/>
        <v>23.255813953488371</v>
      </c>
    </row>
    <row r="42" spans="1:13" x14ac:dyDescent="0.25">
      <c r="A42" s="7">
        <v>2000</v>
      </c>
      <c r="B42">
        <f t="shared" si="5"/>
        <v>20</v>
      </c>
      <c r="C42" s="14">
        <v>6.053240740740741E-3</v>
      </c>
      <c r="D42">
        <f>(8*60)+43</f>
        <v>523</v>
      </c>
      <c r="E42">
        <f t="shared" si="8"/>
        <v>3.8759689922480618</v>
      </c>
      <c r="F42">
        <f t="shared" si="6"/>
        <v>60.667340748230529</v>
      </c>
      <c r="G42">
        <v>30</v>
      </c>
      <c r="H42">
        <v>24.2</v>
      </c>
      <c r="I42">
        <v>7.16</v>
      </c>
      <c r="J42">
        <v>6.1499999999999999E-2</v>
      </c>
      <c r="K42">
        <f t="shared" si="9"/>
        <v>99.141061452513966</v>
      </c>
      <c r="L42">
        <v>1</v>
      </c>
      <c r="M42" s="9">
        <f t="shared" si="7"/>
        <v>23.255813953488371</v>
      </c>
    </row>
    <row r="43" spans="1:13" x14ac:dyDescent="0.25">
      <c r="A43" s="7">
        <v>2500</v>
      </c>
      <c r="B43">
        <f t="shared" si="5"/>
        <v>25</v>
      </c>
      <c r="C43" s="14">
        <v>7.5694444444444446E-3</v>
      </c>
      <c r="D43">
        <f>(10*60)+54</f>
        <v>654</v>
      </c>
      <c r="E43">
        <f t="shared" si="8"/>
        <v>3.8167938931297711</v>
      </c>
      <c r="F43">
        <f t="shared" si="6"/>
        <v>59.741121805509458</v>
      </c>
      <c r="G43">
        <v>30</v>
      </c>
      <c r="H43">
        <v>24.4</v>
      </c>
      <c r="I43">
        <v>7.45</v>
      </c>
      <c r="J43">
        <v>6.3899999999999998E-2</v>
      </c>
      <c r="K43">
        <f t="shared" si="9"/>
        <v>99.142281879194627</v>
      </c>
      <c r="L43">
        <v>1</v>
      </c>
      <c r="M43" s="9">
        <f t="shared" si="7"/>
        <v>22.900763358778629</v>
      </c>
    </row>
    <row r="44" spans="1:13" x14ac:dyDescent="0.25">
      <c r="A44" s="7">
        <v>3000</v>
      </c>
      <c r="B44">
        <f t="shared" si="5"/>
        <v>30</v>
      </c>
      <c r="C44" s="14">
        <v>9.0624999999999994E-3</v>
      </c>
      <c r="D44">
        <f>(13*60)+3</f>
        <v>783</v>
      </c>
      <c r="E44">
        <f t="shared" si="8"/>
        <v>3.8759689922480618</v>
      </c>
      <c r="F44">
        <f t="shared" si="6"/>
        <v>60.667340748230529</v>
      </c>
      <c r="G44">
        <v>30</v>
      </c>
      <c r="H44">
        <v>24.6</v>
      </c>
      <c r="I44">
        <v>7.88</v>
      </c>
      <c r="J44">
        <v>6.9500000000000006E-2</v>
      </c>
      <c r="K44">
        <f t="shared" si="9"/>
        <v>99.118020304568532</v>
      </c>
      <c r="L44">
        <v>1</v>
      </c>
      <c r="M44" s="9">
        <f t="shared" si="7"/>
        <v>23.255813953488371</v>
      </c>
    </row>
    <row r="45" spans="1:13" x14ac:dyDescent="0.25">
      <c r="A45" s="7">
        <v>3500</v>
      </c>
      <c r="B45">
        <f t="shared" si="5"/>
        <v>35</v>
      </c>
      <c r="C45" s="14">
        <v>1.0590277777777777E-2</v>
      </c>
      <c r="D45">
        <f>(15*60)+15</f>
        <v>915</v>
      </c>
      <c r="E45">
        <f t="shared" si="8"/>
        <v>3.7878787878787881</v>
      </c>
      <c r="F45">
        <f t="shared" si="6"/>
        <v>59.288537549407117</v>
      </c>
      <c r="G45">
        <v>30</v>
      </c>
      <c r="H45">
        <v>24.8</v>
      </c>
      <c r="I45">
        <v>8.32</v>
      </c>
      <c r="J45">
        <v>7.46E-2</v>
      </c>
      <c r="K45">
        <f t="shared" si="9"/>
        <v>99.103365384615387</v>
      </c>
      <c r="L45">
        <v>1</v>
      </c>
      <c r="M45" s="9">
        <f t="shared" si="7"/>
        <v>22.72727272727273</v>
      </c>
    </row>
    <row r="46" spans="1:13" x14ac:dyDescent="0.25">
      <c r="A46" s="7">
        <v>4000</v>
      </c>
      <c r="B46">
        <f t="shared" si="5"/>
        <v>40</v>
      </c>
      <c r="C46" s="14">
        <v>1.2152777777777778E-2</v>
      </c>
      <c r="D46">
        <f>(17*60)+30</f>
        <v>1050</v>
      </c>
      <c r="E46">
        <f t="shared" si="8"/>
        <v>3.7037037037037037</v>
      </c>
      <c r="F46">
        <f t="shared" si="6"/>
        <v>57.971014492753625</v>
      </c>
      <c r="G46">
        <v>30</v>
      </c>
      <c r="H46">
        <v>24.9</v>
      </c>
      <c r="I46">
        <v>8.8000000000000007</v>
      </c>
      <c r="J46">
        <v>8.1100000000000005E-2</v>
      </c>
      <c r="K46">
        <f t="shared" si="9"/>
        <v>99.078409090909091</v>
      </c>
      <c r="L46">
        <v>1</v>
      </c>
      <c r="M46" s="9">
        <f t="shared" si="7"/>
        <v>22.222222222222225</v>
      </c>
    </row>
    <row r="47" spans="1:13" x14ac:dyDescent="0.25">
      <c r="A47" s="7">
        <v>4500</v>
      </c>
      <c r="B47">
        <f t="shared" si="5"/>
        <v>45</v>
      </c>
      <c r="C47" s="14">
        <v>1.3703703703703704E-2</v>
      </c>
      <c r="D47">
        <f>(19*60)+44</f>
        <v>1184</v>
      </c>
      <c r="E47">
        <f t="shared" si="8"/>
        <v>3.7313432835820897</v>
      </c>
      <c r="F47">
        <f t="shared" si="6"/>
        <v>58.403634003893579</v>
      </c>
      <c r="G47">
        <v>30</v>
      </c>
      <c r="H47">
        <v>25</v>
      </c>
      <c r="I47">
        <v>9.25</v>
      </c>
      <c r="J47">
        <v>8.77E-2</v>
      </c>
      <c r="K47">
        <f t="shared" si="9"/>
        <v>99.051891891891898</v>
      </c>
      <c r="L47">
        <v>1</v>
      </c>
      <c r="M47" s="9">
        <f t="shared" si="7"/>
        <v>22.388059701492537</v>
      </c>
    </row>
    <row r="48" spans="1:13" x14ac:dyDescent="0.25">
      <c r="A48" s="7">
        <v>5000</v>
      </c>
      <c r="B48">
        <f t="shared" si="5"/>
        <v>50</v>
      </c>
      <c r="C48" s="14">
        <v>1.5335648148148147E-2</v>
      </c>
      <c r="D48">
        <f>(22*60)+5</f>
        <v>1325</v>
      </c>
      <c r="E48">
        <f t="shared" si="8"/>
        <v>3.5460992907801416</v>
      </c>
      <c r="F48">
        <f t="shared" si="6"/>
        <v>55.504162812210915</v>
      </c>
      <c r="G48">
        <v>30</v>
      </c>
      <c r="H48">
        <v>25</v>
      </c>
      <c r="I48">
        <v>9.7100000000000009</v>
      </c>
      <c r="J48">
        <v>9.6299999999999997E-2</v>
      </c>
      <c r="K48">
        <f t="shared" si="9"/>
        <v>99.008238928939235</v>
      </c>
      <c r="L48">
        <v>1</v>
      </c>
      <c r="M48" s="9">
        <f t="shared" si="7"/>
        <v>21.276595744680851</v>
      </c>
    </row>
    <row r="49" spans="1:13" x14ac:dyDescent="0.25">
      <c r="A49" s="7">
        <v>5500</v>
      </c>
      <c r="B49">
        <f t="shared" si="5"/>
        <v>55.000000000000007</v>
      </c>
      <c r="C49" s="14">
        <v>1.6979166666666667E-2</v>
      </c>
      <c r="D49">
        <f>(24*60)+27</f>
        <v>1467</v>
      </c>
      <c r="E49">
        <f t="shared" si="8"/>
        <v>3.5211267605633805</v>
      </c>
      <c r="F49">
        <f t="shared" si="6"/>
        <v>55.113288426209429</v>
      </c>
      <c r="G49">
        <v>30</v>
      </c>
      <c r="H49">
        <v>25.1</v>
      </c>
      <c r="I49">
        <v>11.8</v>
      </c>
      <c r="J49">
        <v>0.10929999999999999</v>
      </c>
      <c r="K49">
        <f t="shared" si="9"/>
        <v>99.073728813559327</v>
      </c>
      <c r="L49">
        <v>1</v>
      </c>
      <c r="M49" s="9">
        <f t="shared" si="7"/>
        <v>21.12676056338028</v>
      </c>
    </row>
    <row r="50" spans="1:13" x14ac:dyDescent="0.25">
      <c r="A50" s="7">
        <v>6000</v>
      </c>
      <c r="B50">
        <f t="shared" si="5"/>
        <v>60</v>
      </c>
      <c r="C50" s="14">
        <v>1.8668981481481481E-2</v>
      </c>
      <c r="D50">
        <f>(26*60)+53</f>
        <v>1613</v>
      </c>
      <c r="E50">
        <f t="shared" si="8"/>
        <v>3.4246575342465753</v>
      </c>
      <c r="F50">
        <f t="shared" si="6"/>
        <v>53.603335318642046</v>
      </c>
      <c r="G50">
        <v>30</v>
      </c>
      <c r="H50">
        <v>25.2</v>
      </c>
      <c r="I50">
        <v>12.06</v>
      </c>
      <c r="J50">
        <v>0.1234</v>
      </c>
      <c r="K50">
        <f t="shared" si="9"/>
        <v>98.976782752902153</v>
      </c>
      <c r="L50">
        <v>1</v>
      </c>
      <c r="M50" s="9">
        <f t="shared" si="7"/>
        <v>20.547945205479451</v>
      </c>
    </row>
    <row r="51" spans="1:13" x14ac:dyDescent="0.25">
      <c r="A51" s="7">
        <v>6500</v>
      </c>
      <c r="B51">
        <f t="shared" si="5"/>
        <v>65</v>
      </c>
      <c r="C51" s="14">
        <v>2.045138888888889E-2</v>
      </c>
      <c r="D51">
        <f>(29*60)+27</f>
        <v>1767</v>
      </c>
      <c r="E51">
        <f t="shared" si="8"/>
        <v>3.2467532467532467</v>
      </c>
      <c r="F51">
        <f t="shared" si="6"/>
        <v>50.818746470920381</v>
      </c>
      <c r="G51">
        <v>30</v>
      </c>
      <c r="H51">
        <v>25.2</v>
      </c>
      <c r="I51">
        <v>14.34</v>
      </c>
      <c r="J51">
        <v>0.1396</v>
      </c>
      <c r="K51">
        <f t="shared" si="9"/>
        <v>99.026499302649924</v>
      </c>
      <c r="L51">
        <v>1</v>
      </c>
      <c r="M51" s="9">
        <f t="shared" si="7"/>
        <v>19.480519480519483</v>
      </c>
    </row>
    <row r="52" spans="1:13" x14ac:dyDescent="0.25">
      <c r="A52" s="7">
        <v>7000</v>
      </c>
      <c r="B52">
        <f t="shared" si="5"/>
        <v>70</v>
      </c>
      <c r="C52" s="14">
        <v>2.2291666666666668E-2</v>
      </c>
      <c r="D52">
        <f>(32*60)+6</f>
        <v>1926</v>
      </c>
      <c r="E52">
        <f t="shared" si="8"/>
        <v>3.1446540880503147</v>
      </c>
      <c r="F52">
        <f t="shared" si="6"/>
        <v>49.220672682526661</v>
      </c>
      <c r="G52">
        <v>30</v>
      </c>
      <c r="H52">
        <v>25.2</v>
      </c>
      <c r="I52">
        <v>15.62</v>
      </c>
      <c r="J52">
        <v>0.16200000000000001</v>
      </c>
      <c r="K52">
        <f t="shared" si="9"/>
        <v>98.962868117797697</v>
      </c>
      <c r="L52">
        <v>1</v>
      </c>
      <c r="M52" s="9">
        <f t="shared" si="7"/>
        <v>18.867924528301888</v>
      </c>
    </row>
    <row r="53" spans="1:13" x14ac:dyDescent="0.25">
      <c r="A53" s="7">
        <v>7500</v>
      </c>
      <c r="B53">
        <f t="shared" si="5"/>
        <v>75</v>
      </c>
      <c r="C53" s="14">
        <v>2.4282407407407409E-2</v>
      </c>
      <c r="D53">
        <f>(34*60)+58</f>
        <v>2098</v>
      </c>
      <c r="E53">
        <f t="shared" si="8"/>
        <v>2.9069767441860463</v>
      </c>
      <c r="F53">
        <f t="shared" si="6"/>
        <v>45.500505561172893</v>
      </c>
      <c r="G53">
        <v>30</v>
      </c>
      <c r="H53">
        <v>25.3</v>
      </c>
      <c r="I53">
        <v>17.77</v>
      </c>
      <c r="J53">
        <v>0.19189999999999999</v>
      </c>
      <c r="K53">
        <f t="shared" si="9"/>
        <v>98.920090039392235</v>
      </c>
      <c r="L53">
        <v>1</v>
      </c>
      <c r="M53" s="9">
        <f t="shared" si="7"/>
        <v>17.441860465116278</v>
      </c>
    </row>
    <row r="54" spans="1:13" x14ac:dyDescent="0.25">
      <c r="A54" s="7">
        <v>8000</v>
      </c>
      <c r="B54">
        <f t="shared" si="5"/>
        <v>80</v>
      </c>
      <c r="C54" s="14">
        <v>2.6458333333333334E-2</v>
      </c>
      <c r="D54">
        <f>(38*60)+6</f>
        <v>2286</v>
      </c>
      <c r="E54">
        <f t="shared" si="8"/>
        <v>2.6595744680851063</v>
      </c>
      <c r="F54">
        <f t="shared" si="6"/>
        <v>41.628122109158177</v>
      </c>
      <c r="G54">
        <v>30</v>
      </c>
      <c r="H54">
        <v>25.4</v>
      </c>
      <c r="I54">
        <v>21.6</v>
      </c>
      <c r="J54">
        <v>0.23100000000000001</v>
      </c>
      <c r="K54">
        <f t="shared" si="9"/>
        <v>98.930555555555557</v>
      </c>
      <c r="L54">
        <v>1</v>
      </c>
      <c r="M54" s="9">
        <f t="shared" si="7"/>
        <v>15.957446808510639</v>
      </c>
    </row>
    <row r="55" spans="1:13" x14ac:dyDescent="0.25">
      <c r="A55" s="7">
        <v>8500</v>
      </c>
      <c r="B55">
        <f t="shared" si="5"/>
        <v>85</v>
      </c>
      <c r="C55" s="14">
        <v>2.8865740740740744E-2</v>
      </c>
      <c r="D55">
        <f>(41*60)+34</f>
        <v>2494</v>
      </c>
      <c r="E55">
        <f t="shared" si="8"/>
        <v>2.4038461538461537</v>
      </c>
      <c r="F55">
        <f t="shared" si="6"/>
        <v>37.625418060200666</v>
      </c>
      <c r="G55">
        <v>30</v>
      </c>
      <c r="H55">
        <v>25.5</v>
      </c>
      <c r="I55">
        <v>26.2</v>
      </c>
      <c r="J55">
        <v>0.29599999999999999</v>
      </c>
      <c r="K55">
        <f t="shared" si="9"/>
        <v>98.870229007633597</v>
      </c>
      <c r="L55">
        <v>1</v>
      </c>
      <c r="M55" s="9">
        <f t="shared" si="7"/>
        <v>14.423076923076922</v>
      </c>
    </row>
    <row r="56" spans="1:13" x14ac:dyDescent="0.25">
      <c r="A56" s="7">
        <v>9000</v>
      </c>
      <c r="B56">
        <f t="shared" si="5"/>
        <v>90</v>
      </c>
      <c r="C56" s="14">
        <v>3.1817129629629633E-2</v>
      </c>
      <c r="D56">
        <f>(45*60)+49</f>
        <v>2749</v>
      </c>
      <c r="E56">
        <f>300/(D56-D55)</f>
        <v>1.1764705882352942</v>
      </c>
      <c r="F56">
        <f>((E56/1000)*3600)/0.23</f>
        <v>18.414322250639387</v>
      </c>
      <c r="G56">
        <v>30</v>
      </c>
      <c r="H56">
        <v>25.6</v>
      </c>
      <c r="I56">
        <v>32.6</v>
      </c>
      <c r="J56">
        <v>0.45</v>
      </c>
      <c r="K56">
        <f t="shared" si="9"/>
        <v>98.619631901840492</v>
      </c>
      <c r="L56">
        <v>1</v>
      </c>
      <c r="M56" s="9">
        <f t="shared" si="7"/>
        <v>7.0588235294117645</v>
      </c>
    </row>
    <row r="57" spans="1:13" ht="14.4" thickBot="1" x14ac:dyDescent="0.3">
      <c r="A57" s="10">
        <v>9500</v>
      </c>
      <c r="B57" s="11">
        <f t="shared" si="5"/>
        <v>95</v>
      </c>
      <c r="C57" s="15">
        <v>3.5740740740740747E-2</v>
      </c>
      <c r="D57" s="11">
        <f>(51*60)+28</f>
        <v>3088</v>
      </c>
      <c r="E57" s="11">
        <f>300/(D57-D56)</f>
        <v>0.88495575221238942</v>
      </c>
      <c r="F57" s="11">
        <f>((E57/1000)*3600)/0.23</f>
        <v>13.851481338976532</v>
      </c>
      <c r="G57" s="11">
        <v>30</v>
      </c>
      <c r="H57" s="11">
        <v>25.8</v>
      </c>
      <c r="I57" s="11">
        <v>42.4</v>
      </c>
      <c r="J57" s="11">
        <v>0.76700000000000002</v>
      </c>
      <c r="K57" s="11">
        <f t="shared" si="9"/>
        <v>98.191037735849051</v>
      </c>
      <c r="L57" s="11">
        <v>1</v>
      </c>
      <c r="M57" s="13">
        <f t="shared" si="7"/>
        <v>5.3097345132743365</v>
      </c>
    </row>
    <row r="64" spans="1:13" ht="14.4" thickBot="1" x14ac:dyDescent="0.3"/>
    <row r="65" spans="1:12" ht="15.6" x14ac:dyDescent="0.3">
      <c r="A65" s="1" t="s">
        <v>0</v>
      </c>
      <c r="B65" s="2"/>
      <c r="C65" s="2">
        <v>5.94</v>
      </c>
      <c r="D65" s="2"/>
      <c r="E65" s="2"/>
      <c r="F65" s="2"/>
      <c r="G65" s="2"/>
      <c r="H65" s="2"/>
      <c r="I65" s="2"/>
      <c r="J65" s="2"/>
      <c r="K65" s="2"/>
      <c r="L65" s="3"/>
    </row>
    <row r="66" spans="1:12" ht="15.6" x14ac:dyDescent="0.3">
      <c r="A66" s="4"/>
      <c r="B66" s="5"/>
      <c r="C66" s="5"/>
      <c r="D66" s="5"/>
      <c r="E66" s="5"/>
      <c r="F66" s="5"/>
      <c r="G66" s="5"/>
      <c r="H66" s="5" t="s">
        <v>2</v>
      </c>
      <c r="I66" s="5"/>
      <c r="J66" s="5"/>
      <c r="K66" s="5"/>
      <c r="L66" s="6"/>
    </row>
    <row r="67" spans="1:12" ht="18" x14ac:dyDescent="0.3">
      <c r="A67" s="4" t="s">
        <v>3</v>
      </c>
      <c r="B67" s="5" t="s">
        <v>4</v>
      </c>
      <c r="C67" s="5" t="s">
        <v>5</v>
      </c>
      <c r="D67" s="5" t="s">
        <v>6</v>
      </c>
      <c r="E67" s="5" t="s">
        <v>7</v>
      </c>
      <c r="F67" s="5" t="s">
        <v>15</v>
      </c>
      <c r="G67" s="5" t="s">
        <v>9</v>
      </c>
      <c r="H67" s="5" t="s">
        <v>10</v>
      </c>
      <c r="I67" s="5" t="s">
        <v>11</v>
      </c>
      <c r="J67" s="5" t="s">
        <v>12</v>
      </c>
      <c r="K67" s="5" t="s">
        <v>13</v>
      </c>
      <c r="L67" s="6" t="s">
        <v>14</v>
      </c>
    </row>
    <row r="68" spans="1:12" x14ac:dyDescent="0.25">
      <c r="A68" s="7">
        <v>500</v>
      </c>
      <c r="B68">
        <f>100*(A68/10000)</f>
        <v>5</v>
      </c>
      <c r="C68" s="8">
        <v>1.4583333333333334E-3</v>
      </c>
      <c r="D68">
        <f>126</f>
        <v>126</v>
      </c>
      <c r="E68">
        <f>500/D68</f>
        <v>3.9682539682539684</v>
      </c>
      <c r="F68">
        <f>((E68/1000)*3600)/0.23</f>
        <v>62.11180124223602</v>
      </c>
      <c r="G68">
        <v>30</v>
      </c>
      <c r="H68">
        <v>6.18</v>
      </c>
      <c r="I68">
        <v>0.14199999999999999</v>
      </c>
      <c r="J68">
        <f>100*(1-(I68/H68))</f>
        <v>97.702265372168284</v>
      </c>
      <c r="K68">
        <v>3</v>
      </c>
      <c r="L68" s="9">
        <f>100*((E68*60)/1000)/K68</f>
        <v>7.9365079365079367</v>
      </c>
    </row>
    <row r="69" spans="1:12" x14ac:dyDescent="0.25">
      <c r="A69" s="7">
        <v>1000</v>
      </c>
      <c r="B69">
        <f t="shared" ref="B69:B85" si="10">100*(A69/10000)</f>
        <v>10</v>
      </c>
      <c r="C69" s="8">
        <v>2.7662037037037034E-3</v>
      </c>
      <c r="D69">
        <f>(3*60)+59</f>
        <v>239</v>
      </c>
      <c r="E69">
        <f>500/(D69-D68)</f>
        <v>4.4247787610619467</v>
      </c>
      <c r="F69">
        <f t="shared" ref="F69:F85" si="11">((E69/1000)*3600)/0.23</f>
        <v>69.257406694882647</v>
      </c>
      <c r="G69">
        <v>30</v>
      </c>
      <c r="H69">
        <v>6.61</v>
      </c>
      <c r="I69">
        <v>5.2400000000000002E-2</v>
      </c>
      <c r="J69">
        <f t="shared" ref="J69:J85" si="12">100*(1-(I69/H69))</f>
        <v>99.207261724659617</v>
      </c>
      <c r="K69">
        <v>3</v>
      </c>
      <c r="L69" s="9">
        <f t="shared" ref="L69:L85" si="13">100*((E69*60)/1000)/K69</f>
        <v>8.8495575221238951</v>
      </c>
    </row>
    <row r="70" spans="1:12" x14ac:dyDescent="0.25">
      <c r="A70" s="7">
        <v>1500</v>
      </c>
      <c r="B70">
        <f t="shared" si="10"/>
        <v>15</v>
      </c>
      <c r="C70" s="8">
        <v>4.0740740740740746E-3</v>
      </c>
      <c r="D70">
        <f>(5*60)+52</f>
        <v>352</v>
      </c>
      <c r="E70">
        <f t="shared" ref="E70:E85" si="14">500/(D70-D69)</f>
        <v>4.4247787610619467</v>
      </c>
      <c r="F70">
        <f t="shared" si="11"/>
        <v>69.257406694882647</v>
      </c>
      <c r="G70">
        <v>30</v>
      </c>
      <c r="H70">
        <v>6.89</v>
      </c>
      <c r="I70">
        <v>4.7E-2</v>
      </c>
      <c r="J70">
        <f t="shared" si="12"/>
        <v>99.317851959361391</v>
      </c>
      <c r="K70">
        <v>3</v>
      </c>
      <c r="L70" s="9">
        <f t="shared" si="13"/>
        <v>8.8495575221238951</v>
      </c>
    </row>
    <row r="71" spans="1:12" x14ac:dyDescent="0.25">
      <c r="A71" s="7">
        <v>2000</v>
      </c>
      <c r="B71">
        <f t="shared" si="10"/>
        <v>20</v>
      </c>
      <c r="C71" s="8">
        <v>5.3935185185185188E-3</v>
      </c>
      <c r="D71">
        <f>(7*60)+46</f>
        <v>466</v>
      </c>
      <c r="E71">
        <f t="shared" si="14"/>
        <v>4.3859649122807021</v>
      </c>
      <c r="F71">
        <f t="shared" si="11"/>
        <v>68.649885583524039</v>
      </c>
      <c r="G71">
        <v>30</v>
      </c>
      <c r="H71">
        <v>7.3</v>
      </c>
      <c r="I71">
        <v>5.1299999999999998E-2</v>
      </c>
      <c r="J71">
        <f t="shared" si="12"/>
        <v>99.297260273972597</v>
      </c>
      <c r="K71">
        <v>3</v>
      </c>
      <c r="L71" s="9">
        <f t="shared" si="13"/>
        <v>8.7719298245614059</v>
      </c>
    </row>
    <row r="72" spans="1:12" x14ac:dyDescent="0.25">
      <c r="A72" s="7">
        <v>2500</v>
      </c>
      <c r="B72">
        <f t="shared" si="10"/>
        <v>25</v>
      </c>
      <c r="C72" s="8">
        <v>6.7013888888888887E-3</v>
      </c>
      <c r="D72">
        <f>(9*60)+39</f>
        <v>579</v>
      </c>
      <c r="E72">
        <f t="shared" si="14"/>
        <v>4.4247787610619467</v>
      </c>
      <c r="F72">
        <f t="shared" si="11"/>
        <v>69.257406694882647</v>
      </c>
      <c r="G72">
        <v>30</v>
      </c>
      <c r="H72">
        <v>7.68</v>
      </c>
      <c r="I72">
        <v>5.3600000000000002E-2</v>
      </c>
      <c r="J72">
        <f t="shared" si="12"/>
        <v>99.302083333333329</v>
      </c>
      <c r="K72">
        <v>3</v>
      </c>
      <c r="L72" s="9">
        <f t="shared" si="13"/>
        <v>8.8495575221238951</v>
      </c>
    </row>
    <row r="73" spans="1:12" x14ac:dyDescent="0.25">
      <c r="A73" s="7">
        <v>3000</v>
      </c>
      <c r="B73">
        <f t="shared" si="10"/>
        <v>30</v>
      </c>
      <c r="C73" s="8">
        <v>8.0324074074074065E-3</v>
      </c>
      <c r="D73">
        <f>(11*60)+34</f>
        <v>694</v>
      </c>
      <c r="E73">
        <f t="shared" si="14"/>
        <v>4.3478260869565215</v>
      </c>
      <c r="F73">
        <f t="shared" si="11"/>
        <v>68.052930056710778</v>
      </c>
      <c r="G73">
        <v>30</v>
      </c>
      <c r="H73">
        <v>8.1300000000000008</v>
      </c>
      <c r="I73">
        <v>5.7500000000000002E-2</v>
      </c>
      <c r="J73">
        <f t="shared" si="12"/>
        <v>99.292742927429273</v>
      </c>
      <c r="K73">
        <v>3</v>
      </c>
      <c r="L73" s="9">
        <f t="shared" si="13"/>
        <v>8.695652173913043</v>
      </c>
    </row>
    <row r="74" spans="1:12" x14ac:dyDescent="0.25">
      <c r="A74" s="7">
        <v>3500</v>
      </c>
      <c r="B74">
        <f t="shared" si="10"/>
        <v>35</v>
      </c>
      <c r="C74" s="8">
        <v>9.3518518518518525E-3</v>
      </c>
      <c r="D74">
        <f>(13*60)+28</f>
        <v>808</v>
      </c>
      <c r="E74">
        <f t="shared" si="14"/>
        <v>4.3859649122807021</v>
      </c>
      <c r="F74">
        <f t="shared" si="11"/>
        <v>68.649885583524039</v>
      </c>
      <c r="G74">
        <v>30</v>
      </c>
      <c r="H74">
        <v>8.6300000000000008</v>
      </c>
      <c r="I74">
        <v>6.1600000000000002E-2</v>
      </c>
      <c r="J74">
        <f t="shared" si="12"/>
        <v>99.286210892236383</v>
      </c>
      <c r="K74">
        <v>3</v>
      </c>
      <c r="L74" s="9">
        <f t="shared" si="13"/>
        <v>8.7719298245614059</v>
      </c>
    </row>
    <row r="75" spans="1:12" x14ac:dyDescent="0.25">
      <c r="A75" s="7">
        <v>4000</v>
      </c>
      <c r="B75">
        <f t="shared" si="10"/>
        <v>40</v>
      </c>
      <c r="C75" s="8">
        <v>1.068287037037037E-2</v>
      </c>
      <c r="D75">
        <f>(15*60)+23</f>
        <v>923</v>
      </c>
      <c r="E75">
        <f t="shared" si="14"/>
        <v>4.3478260869565215</v>
      </c>
      <c r="F75">
        <f t="shared" si="11"/>
        <v>68.052930056710778</v>
      </c>
      <c r="G75">
        <v>30</v>
      </c>
      <c r="H75">
        <v>9.1999999999999993</v>
      </c>
      <c r="I75">
        <v>6.5799999999999997E-2</v>
      </c>
      <c r="J75">
        <f t="shared" si="12"/>
        <v>99.28478260869565</v>
      </c>
      <c r="K75">
        <v>3</v>
      </c>
      <c r="L75" s="9">
        <f t="shared" si="13"/>
        <v>8.695652173913043</v>
      </c>
    </row>
    <row r="76" spans="1:12" x14ac:dyDescent="0.25">
      <c r="A76" s="7">
        <v>4500</v>
      </c>
      <c r="B76">
        <f t="shared" si="10"/>
        <v>45</v>
      </c>
      <c r="C76" s="8">
        <v>1.2002314814814815E-2</v>
      </c>
      <c r="D76">
        <f>(17*60)+17</f>
        <v>1037</v>
      </c>
      <c r="E76">
        <f t="shared" si="14"/>
        <v>4.3859649122807021</v>
      </c>
      <c r="F76">
        <f t="shared" si="11"/>
        <v>68.649885583524039</v>
      </c>
      <c r="G76">
        <v>30</v>
      </c>
      <c r="H76">
        <v>9.9</v>
      </c>
      <c r="I76">
        <v>7.17E-2</v>
      </c>
      <c r="J76">
        <f t="shared" si="12"/>
        <v>99.275757575757567</v>
      </c>
      <c r="K76">
        <v>3</v>
      </c>
      <c r="L76" s="9">
        <f t="shared" si="13"/>
        <v>8.7719298245614059</v>
      </c>
    </row>
    <row r="77" spans="1:12" x14ac:dyDescent="0.25">
      <c r="A77" s="7">
        <v>5000</v>
      </c>
      <c r="B77">
        <f t="shared" si="10"/>
        <v>50</v>
      </c>
      <c r="C77" s="8">
        <v>1.3321759259259261E-2</v>
      </c>
      <c r="D77">
        <f>(19*60)+11</f>
        <v>1151</v>
      </c>
      <c r="E77">
        <f t="shared" si="14"/>
        <v>4.3859649122807021</v>
      </c>
      <c r="F77">
        <f t="shared" si="11"/>
        <v>68.649885583524039</v>
      </c>
      <c r="G77">
        <v>30</v>
      </c>
      <c r="H77">
        <v>10.7</v>
      </c>
      <c r="I77">
        <v>7.9699999999999993E-2</v>
      </c>
      <c r="J77">
        <f t="shared" si="12"/>
        <v>99.255140186915895</v>
      </c>
      <c r="K77">
        <v>3</v>
      </c>
      <c r="L77" s="9">
        <f t="shared" si="13"/>
        <v>8.7719298245614059</v>
      </c>
    </row>
    <row r="78" spans="1:12" x14ac:dyDescent="0.25">
      <c r="A78" s="7">
        <v>5500</v>
      </c>
      <c r="B78">
        <f t="shared" si="10"/>
        <v>55.000000000000007</v>
      </c>
      <c r="C78" s="8">
        <v>1.480324074074074E-2</v>
      </c>
      <c r="D78">
        <f>(21*60)+19</f>
        <v>1279</v>
      </c>
      <c r="E78">
        <f t="shared" si="14"/>
        <v>3.90625</v>
      </c>
      <c r="F78">
        <f t="shared" si="11"/>
        <v>61.141304347826086</v>
      </c>
      <c r="G78">
        <v>30</v>
      </c>
      <c r="H78">
        <v>11.41</v>
      </c>
      <c r="I78">
        <v>8.8400000000000006E-2</v>
      </c>
      <c r="J78">
        <f t="shared" si="12"/>
        <v>99.225241016652049</v>
      </c>
      <c r="K78">
        <v>3</v>
      </c>
      <c r="L78" s="9">
        <f t="shared" si="13"/>
        <v>7.8125</v>
      </c>
    </row>
    <row r="79" spans="1:12" x14ac:dyDescent="0.25">
      <c r="A79" s="7">
        <v>6000</v>
      </c>
      <c r="B79">
        <f t="shared" si="10"/>
        <v>60</v>
      </c>
      <c r="C79" s="8">
        <v>1.6192129629629629E-2</v>
      </c>
      <c r="D79">
        <f>(23*60)+19</f>
        <v>1399</v>
      </c>
      <c r="E79">
        <f t="shared" si="14"/>
        <v>4.166666666666667</v>
      </c>
      <c r="F79">
        <f t="shared" si="11"/>
        <v>65.217391304347828</v>
      </c>
      <c r="G79">
        <v>30</v>
      </c>
      <c r="H79">
        <v>12.47</v>
      </c>
      <c r="I79">
        <v>0.1014</v>
      </c>
      <c r="J79">
        <f t="shared" si="12"/>
        <v>99.18684843624699</v>
      </c>
      <c r="K79">
        <v>3</v>
      </c>
      <c r="L79" s="9">
        <f t="shared" si="13"/>
        <v>8.3333333333333357</v>
      </c>
    </row>
    <row r="80" spans="1:12" x14ac:dyDescent="0.25">
      <c r="A80" s="7">
        <v>6500</v>
      </c>
      <c r="B80">
        <f t="shared" si="10"/>
        <v>65</v>
      </c>
      <c r="C80" s="8">
        <v>1.7719907407407406E-2</v>
      </c>
      <c r="D80">
        <f>(25*60)+31</f>
        <v>1531</v>
      </c>
      <c r="E80">
        <f t="shared" si="14"/>
        <v>3.7878787878787881</v>
      </c>
      <c r="F80">
        <f t="shared" si="11"/>
        <v>59.288537549407117</v>
      </c>
      <c r="G80">
        <v>30</v>
      </c>
      <c r="H80">
        <v>13.73</v>
      </c>
      <c r="I80">
        <v>0.1128</v>
      </c>
      <c r="J80">
        <f t="shared" si="12"/>
        <v>99.178441369264377</v>
      </c>
      <c r="K80">
        <v>3</v>
      </c>
      <c r="L80" s="9">
        <f t="shared" si="13"/>
        <v>7.575757575757577</v>
      </c>
    </row>
    <row r="81" spans="1:12" x14ac:dyDescent="0.25">
      <c r="A81" s="7">
        <v>7000</v>
      </c>
      <c r="B81">
        <f t="shared" si="10"/>
        <v>70</v>
      </c>
      <c r="C81" s="8">
        <v>1.9259259259259261E-2</v>
      </c>
      <c r="D81">
        <f>(27*60)+44</f>
        <v>1664</v>
      </c>
      <c r="E81">
        <f t="shared" si="14"/>
        <v>3.7593984962406015</v>
      </c>
      <c r="F81">
        <f t="shared" si="11"/>
        <v>58.842759071592027</v>
      </c>
      <c r="G81">
        <v>30</v>
      </c>
      <c r="H81">
        <v>15.28</v>
      </c>
      <c r="I81">
        <v>0.13139999999999999</v>
      </c>
      <c r="J81">
        <f t="shared" si="12"/>
        <v>99.140052356020945</v>
      </c>
      <c r="K81">
        <v>3</v>
      </c>
      <c r="L81" s="9">
        <f t="shared" si="13"/>
        <v>7.518796992481203</v>
      </c>
    </row>
    <row r="82" spans="1:12" x14ac:dyDescent="0.25">
      <c r="A82" s="7">
        <v>7500</v>
      </c>
      <c r="B82">
        <f t="shared" si="10"/>
        <v>75</v>
      </c>
      <c r="C82" s="8">
        <v>2.0902777777777781E-2</v>
      </c>
      <c r="D82">
        <f>(30*60)+6</f>
        <v>1806</v>
      </c>
      <c r="E82">
        <f t="shared" si="14"/>
        <v>3.5211267605633805</v>
      </c>
      <c r="F82">
        <f t="shared" si="11"/>
        <v>55.113288426209429</v>
      </c>
      <c r="G82">
        <v>30</v>
      </c>
      <c r="H82">
        <v>17.32</v>
      </c>
      <c r="I82">
        <v>0.1615</v>
      </c>
      <c r="J82">
        <f t="shared" si="12"/>
        <v>99.067551963048501</v>
      </c>
      <c r="K82">
        <v>3</v>
      </c>
      <c r="L82" s="9">
        <f t="shared" si="13"/>
        <v>7.0422535211267601</v>
      </c>
    </row>
    <row r="83" spans="1:12" x14ac:dyDescent="0.25">
      <c r="A83" s="7">
        <v>8000</v>
      </c>
      <c r="B83">
        <f t="shared" si="10"/>
        <v>80</v>
      </c>
      <c r="C83" s="8">
        <v>2.2662037037037036E-2</v>
      </c>
      <c r="D83">
        <f>(32*60)+38</f>
        <v>1958</v>
      </c>
      <c r="E83">
        <f t="shared" si="14"/>
        <v>3.2894736842105261</v>
      </c>
      <c r="F83">
        <f t="shared" si="11"/>
        <v>51.487414187643012</v>
      </c>
      <c r="G83">
        <v>30</v>
      </c>
      <c r="H83">
        <v>19.71</v>
      </c>
      <c r="I83">
        <v>0.19600000000000001</v>
      </c>
      <c r="J83">
        <f t="shared" si="12"/>
        <v>99.005580923389147</v>
      </c>
      <c r="K83">
        <v>3</v>
      </c>
      <c r="L83" s="9">
        <f t="shared" si="13"/>
        <v>6.5789473684210513</v>
      </c>
    </row>
    <row r="84" spans="1:12" x14ac:dyDescent="0.25">
      <c r="A84" s="7">
        <v>8500</v>
      </c>
      <c r="B84">
        <f t="shared" si="10"/>
        <v>85</v>
      </c>
      <c r="C84" s="8">
        <v>2.4606481481481479E-2</v>
      </c>
      <c r="D84">
        <f>(35*60)+26</f>
        <v>2126</v>
      </c>
      <c r="E84">
        <f t="shared" si="14"/>
        <v>2.9761904761904763</v>
      </c>
      <c r="F84">
        <f t="shared" si="11"/>
        <v>46.58385093167702</v>
      </c>
      <c r="G84">
        <v>30</v>
      </c>
      <c r="H84">
        <v>24.6</v>
      </c>
      <c r="I84">
        <v>0.25</v>
      </c>
      <c r="J84">
        <f t="shared" si="12"/>
        <v>98.983739837398375</v>
      </c>
      <c r="K84">
        <v>3</v>
      </c>
      <c r="L84" s="9">
        <f t="shared" si="13"/>
        <v>5.9523809523809526</v>
      </c>
    </row>
    <row r="85" spans="1:12" ht="14.4" thickBot="1" x14ac:dyDescent="0.3">
      <c r="A85" s="10">
        <v>9000</v>
      </c>
      <c r="B85" s="11">
        <f t="shared" si="10"/>
        <v>90</v>
      </c>
      <c r="C85" s="12">
        <v>2.6909722222222224E-2</v>
      </c>
      <c r="D85" s="11">
        <f>(38*60)+45</f>
        <v>2325</v>
      </c>
      <c r="E85" s="11">
        <f t="shared" si="14"/>
        <v>2.512562814070352</v>
      </c>
      <c r="F85" s="11">
        <f t="shared" si="11"/>
        <v>39.327070133275072</v>
      </c>
      <c r="G85" s="11">
        <v>30</v>
      </c>
      <c r="H85" s="11">
        <v>29.9</v>
      </c>
      <c r="I85" s="11">
        <v>0.35</v>
      </c>
      <c r="J85" s="11">
        <f t="shared" si="12"/>
        <v>98.829431438127088</v>
      </c>
      <c r="K85" s="11">
        <v>3</v>
      </c>
      <c r="L85" s="13">
        <f t="shared" si="13"/>
        <v>5.025125628140704</v>
      </c>
    </row>
    <row r="89" spans="1:12" ht="14.4" x14ac:dyDescent="0.3">
      <c r="A89" s="88" t="s">
        <v>17</v>
      </c>
    </row>
    <row r="90" spans="1:12" ht="14.4" thickBot="1" x14ac:dyDescent="0.3"/>
    <row r="91" spans="1:12" x14ac:dyDescent="0.25">
      <c r="A91" s="22" t="s">
        <v>18</v>
      </c>
      <c r="B91" s="16" t="s">
        <v>19</v>
      </c>
      <c r="C91" s="16" t="s">
        <v>20</v>
      </c>
      <c r="D91" s="16" t="s">
        <v>21</v>
      </c>
      <c r="E91" s="16" t="s">
        <v>22</v>
      </c>
      <c r="F91" s="16" t="s">
        <v>23</v>
      </c>
      <c r="G91" s="16" t="s">
        <v>24</v>
      </c>
      <c r="H91" s="16" t="s">
        <v>25</v>
      </c>
      <c r="I91" s="23" t="s">
        <v>26</v>
      </c>
    </row>
    <row r="92" spans="1:12" x14ac:dyDescent="0.25">
      <c r="A92" s="90">
        <v>10</v>
      </c>
      <c r="B92" s="91">
        <v>5.0000000000000002E-5</v>
      </c>
      <c r="C92" s="92">
        <v>1</v>
      </c>
      <c r="D92" s="92">
        <v>50</v>
      </c>
      <c r="E92" s="92">
        <v>605600</v>
      </c>
      <c r="F92" s="92">
        <v>0.16822222222222222</v>
      </c>
      <c r="G92" s="92">
        <v>16.822222222222223</v>
      </c>
      <c r="H92" s="92">
        <v>21.027777777777779</v>
      </c>
      <c r="I92" s="93">
        <v>2.8000000000000001E-2</v>
      </c>
    </row>
    <row r="93" spans="1:12" x14ac:dyDescent="0.25">
      <c r="A93" s="90">
        <v>20</v>
      </c>
      <c r="B93" s="91">
        <v>5.0000000000000002E-5</v>
      </c>
      <c r="C93" s="92">
        <v>2</v>
      </c>
      <c r="D93" s="92">
        <v>100</v>
      </c>
      <c r="E93" s="92">
        <v>426800</v>
      </c>
      <c r="F93" s="92">
        <v>0.11855555555555555</v>
      </c>
      <c r="G93" s="92">
        <v>11.855555555555554</v>
      </c>
      <c r="H93" s="92">
        <v>14.819444444444443</v>
      </c>
      <c r="I93" s="93">
        <v>2.8000000000000001E-2</v>
      </c>
    </row>
    <row r="94" spans="1:12" x14ac:dyDescent="0.25">
      <c r="A94" s="90">
        <v>30</v>
      </c>
      <c r="B94" s="91">
        <v>5.0000000000000002E-5</v>
      </c>
      <c r="C94" s="92">
        <v>3</v>
      </c>
      <c r="D94" s="92">
        <v>150</v>
      </c>
      <c r="E94" s="92">
        <v>360000</v>
      </c>
      <c r="F94" s="92">
        <v>0.1</v>
      </c>
      <c r="G94" s="92">
        <v>10</v>
      </c>
      <c r="H94" s="92">
        <v>12.5</v>
      </c>
      <c r="I94" s="93">
        <v>2.8000000000000001E-2</v>
      </c>
    </row>
    <row r="95" spans="1:12" x14ac:dyDescent="0.25">
      <c r="A95" s="90">
        <v>30</v>
      </c>
      <c r="B95" s="91">
        <v>8.3333333333333331E-5</v>
      </c>
      <c r="C95" s="92">
        <v>3</v>
      </c>
      <c r="D95" s="92">
        <v>250</v>
      </c>
      <c r="E95" s="92">
        <v>602500</v>
      </c>
      <c r="F95" s="92">
        <v>0.1673611111111111</v>
      </c>
      <c r="G95" s="92">
        <v>16.736111111111111</v>
      </c>
      <c r="H95" s="92">
        <v>20.920138888888889</v>
      </c>
      <c r="I95" s="93">
        <v>0.14000000000000001</v>
      </c>
    </row>
    <row r="96" spans="1:12" x14ac:dyDescent="0.25">
      <c r="A96" s="90">
        <v>30</v>
      </c>
      <c r="B96" s="91">
        <v>5.0000000000000002E-5</v>
      </c>
      <c r="C96" s="92">
        <v>3</v>
      </c>
      <c r="D96" s="92">
        <v>150</v>
      </c>
      <c r="E96" s="92">
        <v>360000</v>
      </c>
      <c r="F96" s="92">
        <v>0.1</v>
      </c>
      <c r="G96" s="92">
        <v>10</v>
      </c>
      <c r="H96" s="92">
        <v>12.5</v>
      </c>
      <c r="I96" s="93">
        <v>8.4000000000000005E-2</v>
      </c>
    </row>
    <row r="97" spans="1:9" x14ac:dyDescent="0.25">
      <c r="A97" s="90">
        <v>30</v>
      </c>
      <c r="B97" s="91">
        <v>1.6666666666666667E-5</v>
      </c>
      <c r="C97" s="92">
        <v>3</v>
      </c>
      <c r="D97" s="92">
        <v>50</v>
      </c>
      <c r="E97" s="92">
        <v>137450</v>
      </c>
      <c r="F97" s="92">
        <v>3.8180555555555558E-2</v>
      </c>
      <c r="G97" s="92">
        <v>3.8180555555555555</v>
      </c>
      <c r="H97" s="92">
        <v>4.7725694444444446</v>
      </c>
      <c r="I97" s="93">
        <v>2.8000000000000001E-2</v>
      </c>
    </row>
    <row r="98" spans="1:9" x14ac:dyDescent="0.25">
      <c r="A98" s="90"/>
      <c r="B98" s="91"/>
      <c r="C98" s="92"/>
      <c r="D98" s="92"/>
      <c r="E98" s="92"/>
      <c r="F98" s="92"/>
      <c r="G98" s="92"/>
      <c r="H98" s="92"/>
      <c r="I98" s="93"/>
    </row>
    <row r="99" spans="1:9" x14ac:dyDescent="0.25">
      <c r="A99" s="90">
        <v>30</v>
      </c>
      <c r="B99" s="91">
        <v>1.6666666666666667E-5</v>
      </c>
      <c r="C99" s="92">
        <v>3</v>
      </c>
      <c r="D99" s="92">
        <v>50</v>
      </c>
      <c r="E99" s="92">
        <v>137450</v>
      </c>
      <c r="F99" s="92">
        <v>3.8180555555555558E-2</v>
      </c>
      <c r="G99" s="92">
        <v>3.8180555555555555</v>
      </c>
      <c r="H99" s="92">
        <v>4.7725694444444446</v>
      </c>
      <c r="I99" s="93">
        <v>2.8000000000000001E-2</v>
      </c>
    </row>
    <row r="100" spans="1:9" x14ac:dyDescent="0.25">
      <c r="A100" s="90">
        <v>30</v>
      </c>
      <c r="B100" s="91">
        <v>5.0000000000000002E-5</v>
      </c>
      <c r="C100" s="92">
        <v>3</v>
      </c>
      <c r="D100" s="92">
        <v>150</v>
      </c>
      <c r="E100" s="92">
        <v>360000</v>
      </c>
      <c r="F100" s="92">
        <v>0.1</v>
      </c>
      <c r="G100" s="92">
        <v>10</v>
      </c>
      <c r="H100" s="92">
        <v>12.5</v>
      </c>
      <c r="I100" s="93">
        <v>8.4000000000000005E-2</v>
      </c>
    </row>
    <row r="101" spans="1:9" ht="14.4" thickBot="1" x14ac:dyDescent="0.3">
      <c r="A101" s="94">
        <v>30</v>
      </c>
      <c r="B101" s="95">
        <v>8.3333333333333331E-5</v>
      </c>
      <c r="C101" s="96">
        <v>3</v>
      </c>
      <c r="D101" s="96">
        <v>250</v>
      </c>
      <c r="E101" s="96">
        <v>602500</v>
      </c>
      <c r="F101" s="96">
        <v>0.1673611111111111</v>
      </c>
      <c r="G101" s="96">
        <v>16.736111111111111</v>
      </c>
      <c r="H101" s="96">
        <v>20.920138888888889</v>
      </c>
      <c r="I101" s="97">
        <v>0.14000000000000001</v>
      </c>
    </row>
    <row r="103" spans="1:9" ht="14.4" thickBot="1" x14ac:dyDescent="0.3"/>
    <row r="104" spans="1:9" x14ac:dyDescent="0.25">
      <c r="A104" s="22" t="s">
        <v>27</v>
      </c>
      <c r="B104" s="23" t="s">
        <v>28</v>
      </c>
    </row>
    <row r="105" spans="1:9" x14ac:dyDescent="0.25">
      <c r="A105" s="7">
        <v>0</v>
      </c>
      <c r="B105" s="9">
        <v>0.17294940102127251</v>
      </c>
    </row>
    <row r="106" spans="1:9" x14ac:dyDescent="0.25">
      <c r="A106" s="7">
        <v>5</v>
      </c>
      <c r="B106" s="9">
        <v>0.17294940102127251</v>
      </c>
    </row>
    <row r="107" spans="1:9" x14ac:dyDescent="0.25">
      <c r="A107" s="7">
        <v>10</v>
      </c>
      <c r="B107" s="9">
        <v>0.17294940102127251</v>
      </c>
    </row>
    <row r="108" spans="1:9" x14ac:dyDescent="0.25">
      <c r="A108" s="7">
        <v>15</v>
      </c>
      <c r="B108" s="9">
        <v>0.17294940102127251</v>
      </c>
    </row>
    <row r="109" spans="1:9" x14ac:dyDescent="0.25">
      <c r="A109" s="7">
        <v>20</v>
      </c>
      <c r="B109" s="9">
        <v>0.17294940102127251</v>
      </c>
    </row>
    <row r="110" spans="1:9" x14ac:dyDescent="0.25">
      <c r="A110" s="7">
        <v>25</v>
      </c>
      <c r="B110" s="9">
        <v>0.17294940102127251</v>
      </c>
    </row>
    <row r="111" spans="1:9" x14ac:dyDescent="0.25">
      <c r="A111" s="7">
        <v>30</v>
      </c>
      <c r="B111" s="9">
        <v>0.17294940102127251</v>
      </c>
    </row>
    <row r="112" spans="1:9" x14ac:dyDescent="0.25">
      <c r="A112" s="7">
        <v>35</v>
      </c>
      <c r="B112" s="9">
        <v>0.17294940102127251</v>
      </c>
    </row>
    <row r="113" spans="1:2" ht="14.4" thickBot="1" x14ac:dyDescent="0.3">
      <c r="A113" s="10">
        <v>40</v>
      </c>
      <c r="B113" s="13">
        <v>0.17294940102127251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87106-AA8B-43E1-A8CE-3552BC7904C8}">
  <dimension ref="A6:T120"/>
  <sheetViews>
    <sheetView topLeftCell="A4" zoomScale="55" zoomScaleNormal="55" workbookViewId="0">
      <selection activeCell="C128" sqref="C128"/>
    </sheetView>
  </sheetViews>
  <sheetFormatPr defaultRowHeight="13.8" x14ac:dyDescent="0.25"/>
  <sheetData>
    <row r="6" spans="1:20" ht="14.4" thickBot="1" x14ac:dyDescent="0.3"/>
    <row r="7" spans="1:20" ht="15.6" x14ac:dyDescent="0.3">
      <c r="A7" s="1"/>
      <c r="B7" s="2"/>
      <c r="C7" s="67" t="s">
        <v>3</v>
      </c>
      <c r="D7" s="67"/>
      <c r="E7" s="18"/>
      <c r="F7" s="67" t="s">
        <v>2</v>
      </c>
      <c r="G7" s="67"/>
      <c r="H7" s="67"/>
      <c r="I7" s="18"/>
      <c r="J7" s="2"/>
      <c r="K7" s="2" t="s">
        <v>29</v>
      </c>
      <c r="L7" s="2"/>
      <c r="M7" s="2"/>
      <c r="N7" s="2"/>
      <c r="O7" s="2" t="s">
        <v>30</v>
      </c>
      <c r="P7" s="2"/>
      <c r="Q7" s="2"/>
      <c r="R7" s="2"/>
      <c r="S7" s="2"/>
      <c r="T7" s="3"/>
    </row>
    <row r="8" spans="1:20" ht="15.6" x14ac:dyDescent="0.3">
      <c r="A8" s="4" t="s">
        <v>16</v>
      </c>
      <c r="B8" s="5" t="s">
        <v>6</v>
      </c>
      <c r="C8" s="5" t="s">
        <v>31</v>
      </c>
      <c r="D8" s="5" t="s">
        <v>32</v>
      </c>
      <c r="E8" s="5" t="s">
        <v>33</v>
      </c>
      <c r="F8" s="5" t="s">
        <v>10</v>
      </c>
      <c r="G8" s="5" t="s">
        <v>34</v>
      </c>
      <c r="H8" s="5" t="s">
        <v>35</v>
      </c>
      <c r="I8" s="5" t="s">
        <v>36</v>
      </c>
      <c r="J8" s="5" t="s">
        <v>37</v>
      </c>
      <c r="K8" s="5" t="s">
        <v>31</v>
      </c>
      <c r="L8" s="5" t="s">
        <v>32</v>
      </c>
      <c r="M8" s="5" t="s">
        <v>33</v>
      </c>
      <c r="N8" s="5" t="s">
        <v>38</v>
      </c>
      <c r="O8" s="5" t="s">
        <v>31</v>
      </c>
      <c r="P8" s="5" t="s">
        <v>32</v>
      </c>
      <c r="Q8" s="5" t="s">
        <v>33</v>
      </c>
      <c r="R8" s="5" t="s">
        <v>38</v>
      </c>
      <c r="S8" s="5" t="s">
        <v>39</v>
      </c>
      <c r="T8" s="6" t="s">
        <v>14</v>
      </c>
    </row>
    <row r="9" spans="1:20" x14ac:dyDescent="0.25">
      <c r="A9" s="19">
        <v>6.9444444444444447E-4</v>
      </c>
      <c r="B9">
        <v>60</v>
      </c>
      <c r="C9">
        <v>208</v>
      </c>
      <c r="D9">
        <v>224</v>
      </c>
      <c r="E9">
        <v>204</v>
      </c>
      <c r="F9">
        <v>5.46</v>
      </c>
      <c r="G9">
        <v>0.19769999999999999</v>
      </c>
      <c r="H9">
        <v>0.20499999999999999</v>
      </c>
      <c r="I9">
        <v>0.23799999999999999</v>
      </c>
      <c r="J9">
        <v>21.5</v>
      </c>
      <c r="K9">
        <f>(1-(G9/$F9))*100</f>
        <v>96.379120879120876</v>
      </c>
      <c r="L9">
        <f>(1-(H9/$F9))*100</f>
        <v>96.245421245421241</v>
      </c>
      <c r="M9">
        <f>(1-(I9/$F9))*100</f>
        <v>95.641025641025649</v>
      </c>
      <c r="N9">
        <f>(1-((G9+H9+I9)/3)/$F9)*100</f>
        <v>96.088522588522579</v>
      </c>
      <c r="O9">
        <f>(C9/1000)/(0.23*(B9/3600))</f>
        <v>54.260869565217384</v>
      </c>
      <c r="P9">
        <f>(D9/1000)/(0.23*(B9/3600))</f>
        <v>58.434782608695649</v>
      </c>
      <c r="Q9">
        <f>(E9/1000)/(0.23*(B9/3600))</f>
        <v>53.217391304347821</v>
      </c>
      <c r="R9">
        <f>(P9+O9+Q9)/3</f>
        <v>55.304347826086946</v>
      </c>
      <c r="S9">
        <f>100*(C9+D9+E9)/10000</f>
        <v>6.36</v>
      </c>
      <c r="T9" s="9">
        <f>100*(((R9*0.69)/60))/1</f>
        <v>63.59999999999998</v>
      </c>
    </row>
    <row r="10" spans="1:20" x14ac:dyDescent="0.25">
      <c r="A10" s="20">
        <v>1.3888888888888889E-3</v>
      </c>
      <c r="B10">
        <v>120</v>
      </c>
      <c r="C10">
        <v>228</v>
      </c>
      <c r="D10">
        <v>220</v>
      </c>
      <c r="E10">
        <v>194</v>
      </c>
      <c r="F10">
        <v>5.79</v>
      </c>
      <c r="G10">
        <v>6.7500000000000004E-2</v>
      </c>
      <c r="H10">
        <v>0.1497</v>
      </c>
      <c r="I10">
        <v>0.192</v>
      </c>
      <c r="J10">
        <v>21.8</v>
      </c>
      <c r="K10">
        <f>(1-(G10/$F10))*100</f>
        <v>98.834196891191709</v>
      </c>
      <c r="L10">
        <f>(1-(H10/$F10))*100</f>
        <v>97.414507772020727</v>
      </c>
      <c r="M10">
        <f t="shared" ref="M10:M17" si="0">(1-(I10/$F10))*100</f>
        <v>96.683937823834199</v>
      </c>
      <c r="N10">
        <f t="shared" ref="N10:N17" si="1">(1-((G10+H10+I10)/3)/$F10)*100</f>
        <v>97.644214162348874</v>
      </c>
      <c r="O10">
        <f>(C10/1000)/(0.23*((B10-B9)/3600))</f>
        <v>59.478260869565219</v>
      </c>
      <c r="P10">
        <f>(D10/1000)/(0.23*((B10-B9)/3600))</f>
        <v>57.391304347826086</v>
      </c>
      <c r="Q10">
        <f>(E10/1000)/(0.23*((B10-B9)/3600))</f>
        <v>50.608695652173914</v>
      </c>
      <c r="R10">
        <f t="shared" ref="R10:R17" si="2">(P10+O10+Q10)/3</f>
        <v>55.826086956521742</v>
      </c>
      <c r="S10">
        <f>S9+100*(C10+D10+E10)/10000</f>
        <v>12.780000000000001</v>
      </c>
      <c r="T10" s="9">
        <f t="shared" ref="T10:T17" si="3">100*(((R10*0.69)/60))/1</f>
        <v>64.199999999999989</v>
      </c>
    </row>
    <row r="11" spans="1:20" x14ac:dyDescent="0.25">
      <c r="A11" s="19">
        <v>2.7777777777777779E-3</v>
      </c>
      <c r="B11">
        <v>240</v>
      </c>
      <c r="C11">
        <v>450</v>
      </c>
      <c r="D11">
        <v>420</v>
      </c>
      <c r="E11">
        <v>370</v>
      </c>
      <c r="F11">
        <f>(F12-F10)/2 +F10</f>
        <v>6.58</v>
      </c>
      <c r="G11">
        <v>5.3199999999999997E-2</v>
      </c>
      <c r="H11">
        <v>0.16569999999999999</v>
      </c>
      <c r="I11">
        <v>0.19800000000000001</v>
      </c>
      <c r="J11">
        <v>22.3</v>
      </c>
      <c r="K11">
        <f>(1-(G11/$F11))*100</f>
        <v>99.191489361702125</v>
      </c>
      <c r="L11">
        <f>(1-(H11/$F11))*100</f>
        <v>97.481762917933139</v>
      </c>
      <c r="M11">
        <f t="shared" si="0"/>
        <v>96.990881458966555</v>
      </c>
      <c r="N11">
        <f t="shared" si="1"/>
        <v>97.88804457953394</v>
      </c>
      <c r="O11">
        <f>(C11/1000)/(0.23*((B11-B10)/3600))</f>
        <v>58.695652173913039</v>
      </c>
      <c r="P11">
        <f>(D11/1000)/(0.23*((B11-B10)/3600))</f>
        <v>54.782608695652172</v>
      </c>
      <c r="Q11">
        <f t="shared" ref="Q11:Q17" si="4">(E11/1000)/(0.23*((B11-B10)/3600))</f>
        <v>48.260869565217391</v>
      </c>
      <c r="R11">
        <f t="shared" si="2"/>
        <v>53.913043478260875</v>
      </c>
      <c r="S11">
        <f t="shared" ref="S11:S17" si="5">S10+100*(C11+D11+E11)/10000</f>
        <v>25.18</v>
      </c>
      <c r="T11" s="9">
        <f t="shared" si="3"/>
        <v>62</v>
      </c>
    </row>
    <row r="12" spans="1:20" x14ac:dyDescent="0.25">
      <c r="A12" s="19">
        <v>4.1666666666666666E-3</v>
      </c>
      <c r="B12">
        <v>360</v>
      </c>
      <c r="C12">
        <v>445</v>
      </c>
      <c r="D12">
        <v>400</v>
      </c>
      <c r="E12">
        <v>340</v>
      </c>
      <c r="F12">
        <v>7.37</v>
      </c>
      <c r="G12">
        <v>6.0699999999999997E-2</v>
      </c>
      <c r="H12">
        <v>0.1812</v>
      </c>
      <c r="I12">
        <v>0.192</v>
      </c>
      <c r="J12">
        <v>22.9</v>
      </c>
      <c r="K12">
        <f t="shared" ref="K12:L17" si="6">(1-(G12/$F12))*100</f>
        <v>99.1763907734057</v>
      </c>
      <c r="L12">
        <f t="shared" si="6"/>
        <v>97.541383989145174</v>
      </c>
      <c r="M12">
        <f t="shared" si="0"/>
        <v>97.394843962008139</v>
      </c>
      <c r="N12">
        <f t="shared" si="1"/>
        <v>98.037539574853</v>
      </c>
      <c r="O12">
        <f t="shared" ref="O12:O17" si="7">(C12/1000)/(0.23*((B12-B11)/3600))</f>
        <v>58.043478260869563</v>
      </c>
      <c r="P12">
        <f t="shared" ref="P12:P17" si="8">(D12/1000)/(0.23*((B12-B11)/3600))</f>
        <v>52.173913043478258</v>
      </c>
      <c r="Q12">
        <f t="shared" si="4"/>
        <v>44.347826086956523</v>
      </c>
      <c r="R12">
        <f t="shared" si="2"/>
        <v>51.521739130434781</v>
      </c>
      <c r="S12">
        <f t="shared" si="5"/>
        <v>37.03</v>
      </c>
      <c r="T12" s="9">
        <f t="shared" si="3"/>
        <v>59.249999999999993</v>
      </c>
    </row>
    <row r="13" spans="1:20" x14ac:dyDescent="0.25">
      <c r="A13" s="19">
        <v>5.5555555555555558E-3</v>
      </c>
      <c r="B13">
        <f>8*60</f>
        <v>480</v>
      </c>
      <c r="C13">
        <v>460</v>
      </c>
      <c r="D13">
        <v>410</v>
      </c>
      <c r="E13">
        <v>350</v>
      </c>
      <c r="F13">
        <v>8.5</v>
      </c>
      <c r="G13">
        <v>7.1999999999999995E-2</v>
      </c>
      <c r="H13">
        <v>0.189</v>
      </c>
      <c r="I13">
        <v>0.22</v>
      </c>
      <c r="J13">
        <v>23.3</v>
      </c>
      <c r="K13">
        <f t="shared" si="6"/>
        <v>99.152941176470591</v>
      </c>
      <c r="L13">
        <f t="shared" si="6"/>
        <v>97.776470588235298</v>
      </c>
      <c r="M13">
        <f t="shared" si="0"/>
        <v>97.411764705882348</v>
      </c>
      <c r="N13">
        <f t="shared" si="1"/>
        <v>98.113725490196074</v>
      </c>
      <c r="O13">
        <f t="shared" si="7"/>
        <v>60</v>
      </c>
      <c r="P13">
        <f t="shared" si="8"/>
        <v>53.478260869565212</v>
      </c>
      <c r="Q13">
        <f t="shared" si="4"/>
        <v>45.65217391304347</v>
      </c>
      <c r="R13">
        <f t="shared" si="2"/>
        <v>53.043478260869563</v>
      </c>
      <c r="S13">
        <f t="shared" si="5"/>
        <v>49.230000000000004</v>
      </c>
      <c r="T13" s="9">
        <f t="shared" si="3"/>
        <v>60.999999999999986</v>
      </c>
    </row>
    <row r="14" spans="1:20" x14ac:dyDescent="0.25">
      <c r="A14" s="19">
        <v>6.9444444444444441E-3</v>
      </c>
      <c r="B14">
        <v>600</v>
      </c>
      <c r="C14">
        <v>430</v>
      </c>
      <c r="D14">
        <v>380</v>
      </c>
      <c r="E14">
        <v>325</v>
      </c>
      <c r="F14">
        <v>10.26</v>
      </c>
      <c r="G14">
        <v>8.3799999999999999E-2</v>
      </c>
      <c r="H14">
        <v>0.22600000000000001</v>
      </c>
      <c r="I14">
        <v>0.217</v>
      </c>
      <c r="J14">
        <v>23.7</v>
      </c>
      <c r="K14">
        <f t="shared" si="6"/>
        <v>99.183235867446399</v>
      </c>
      <c r="L14">
        <f t="shared" si="6"/>
        <v>97.7972709551657</v>
      </c>
      <c r="M14">
        <f t="shared" si="0"/>
        <v>97.884990253411303</v>
      </c>
      <c r="N14">
        <f t="shared" si="1"/>
        <v>98.288499025341139</v>
      </c>
      <c r="O14">
        <f t="shared" si="7"/>
        <v>56.086956521739125</v>
      </c>
      <c r="P14">
        <f t="shared" si="8"/>
        <v>49.565217391304344</v>
      </c>
      <c r="Q14">
        <f t="shared" si="4"/>
        <v>42.391304347826086</v>
      </c>
      <c r="R14">
        <f t="shared" si="2"/>
        <v>49.347826086956523</v>
      </c>
      <c r="S14">
        <f t="shared" si="5"/>
        <v>60.580000000000005</v>
      </c>
      <c r="T14" s="9">
        <f t="shared" si="3"/>
        <v>56.75</v>
      </c>
    </row>
    <row r="15" spans="1:20" x14ac:dyDescent="0.25">
      <c r="A15" s="19">
        <v>8.9120370370370378E-3</v>
      </c>
      <c r="B15">
        <f>12*60+50</f>
        <v>770</v>
      </c>
      <c r="C15">
        <v>575</v>
      </c>
      <c r="D15">
        <v>485</v>
      </c>
      <c r="E15">
        <v>420</v>
      </c>
      <c r="F15">
        <v>13.28</v>
      </c>
      <c r="G15">
        <v>0.1147</v>
      </c>
      <c r="H15">
        <v>0.316</v>
      </c>
      <c r="I15">
        <v>0.32100000000000001</v>
      </c>
      <c r="J15">
        <v>23.9</v>
      </c>
      <c r="K15">
        <f t="shared" si="6"/>
        <v>99.136295180722882</v>
      </c>
      <c r="L15">
        <f t="shared" si="6"/>
        <v>97.620481927710841</v>
      </c>
      <c r="M15">
        <f t="shared" si="0"/>
        <v>97.5828313253012</v>
      </c>
      <c r="N15">
        <f t="shared" si="1"/>
        <v>98.113202811244975</v>
      </c>
      <c r="O15">
        <f t="shared" si="7"/>
        <v>52.941176470588232</v>
      </c>
      <c r="P15">
        <f t="shared" si="8"/>
        <v>44.654731457800509</v>
      </c>
      <c r="Q15">
        <f t="shared" si="4"/>
        <v>38.670076726342707</v>
      </c>
      <c r="R15">
        <f t="shared" si="2"/>
        <v>45.421994884910482</v>
      </c>
      <c r="S15">
        <f t="shared" si="5"/>
        <v>75.38000000000001</v>
      </c>
      <c r="T15" s="9">
        <f t="shared" si="3"/>
        <v>52.235294117647044</v>
      </c>
    </row>
    <row r="16" spans="1:20" x14ac:dyDescent="0.25">
      <c r="A16" s="19">
        <v>1.0416666666666666E-2</v>
      </c>
      <c r="B16">
        <f>15*60</f>
        <v>900</v>
      </c>
      <c r="C16">
        <v>405</v>
      </c>
      <c r="D16">
        <v>330</v>
      </c>
      <c r="E16">
        <v>295</v>
      </c>
      <c r="F16">
        <v>17.28</v>
      </c>
      <c r="G16">
        <v>0.1633</v>
      </c>
      <c r="H16">
        <v>0.39200000000000002</v>
      </c>
      <c r="I16">
        <v>0.45800000000000002</v>
      </c>
      <c r="J16">
        <v>24</v>
      </c>
      <c r="K16">
        <f t="shared" si="6"/>
        <v>99.054976851851848</v>
      </c>
      <c r="L16">
        <f t="shared" si="6"/>
        <v>97.731481481481481</v>
      </c>
      <c r="M16">
        <f t="shared" si="0"/>
        <v>97.349537037037038</v>
      </c>
      <c r="N16">
        <f t="shared" si="1"/>
        <v>98.045331790123456</v>
      </c>
      <c r="O16">
        <f t="shared" si="7"/>
        <v>48.762541806020067</v>
      </c>
      <c r="P16">
        <f t="shared" si="8"/>
        <v>39.73244147157191</v>
      </c>
      <c r="Q16">
        <f t="shared" si="4"/>
        <v>35.518394648829428</v>
      </c>
      <c r="R16">
        <f t="shared" si="2"/>
        <v>41.337792642140471</v>
      </c>
      <c r="S16">
        <f t="shared" si="5"/>
        <v>85.68</v>
      </c>
      <c r="T16" s="9">
        <f t="shared" si="3"/>
        <v>47.538461538461533</v>
      </c>
    </row>
    <row r="17" spans="1:20" ht="14.4" thickBot="1" x14ac:dyDescent="0.3">
      <c r="A17" s="21">
        <v>1.2499999999999999E-2</v>
      </c>
      <c r="B17" s="11">
        <f>18*60</f>
        <v>1080</v>
      </c>
      <c r="C17" s="11">
        <v>425</v>
      </c>
      <c r="D17" s="11">
        <v>330</v>
      </c>
      <c r="E17" s="11">
        <v>300</v>
      </c>
      <c r="F17" s="11">
        <v>28.1</v>
      </c>
      <c r="G17" s="11">
        <v>0.246</v>
      </c>
      <c r="H17" s="11">
        <v>0.55500000000000005</v>
      </c>
      <c r="I17" s="11">
        <v>0.629</v>
      </c>
      <c r="J17" s="11">
        <v>23.9</v>
      </c>
      <c r="K17" s="11">
        <f t="shared" si="6"/>
        <v>99.12455516014235</v>
      </c>
      <c r="L17" s="11">
        <f t="shared" si="6"/>
        <v>98.02491103202847</v>
      </c>
      <c r="M17" s="11">
        <f t="shared" si="0"/>
        <v>97.761565836298942</v>
      </c>
      <c r="N17" s="11">
        <f t="shared" si="1"/>
        <v>98.303677342823249</v>
      </c>
      <c r="O17" s="11">
        <f t="shared" si="7"/>
        <v>36.95652173913043</v>
      </c>
      <c r="P17" s="11">
        <f t="shared" si="8"/>
        <v>28.695652173913039</v>
      </c>
      <c r="Q17" s="11">
        <f t="shared" si="4"/>
        <v>26.086956521739125</v>
      </c>
      <c r="R17" s="11">
        <f t="shared" si="2"/>
        <v>30.579710144927532</v>
      </c>
      <c r="S17" s="11">
        <f t="shared" si="5"/>
        <v>96.23</v>
      </c>
      <c r="T17" s="13">
        <f t="shared" si="3"/>
        <v>35.166666666666657</v>
      </c>
    </row>
    <row r="24" spans="1:20" ht="14.4" thickBot="1" x14ac:dyDescent="0.3"/>
    <row r="25" spans="1:20" ht="15.6" x14ac:dyDescent="0.3">
      <c r="A25" s="1"/>
      <c r="B25" s="2"/>
      <c r="C25" s="67" t="s">
        <v>3</v>
      </c>
      <c r="D25" s="67"/>
      <c r="E25" s="67" t="s">
        <v>2</v>
      </c>
      <c r="F25" s="67"/>
      <c r="G25" s="67"/>
      <c r="H25" s="2"/>
      <c r="I25" s="2" t="s">
        <v>29</v>
      </c>
      <c r="J25" s="2"/>
      <c r="K25" s="2"/>
      <c r="L25" s="2" t="s">
        <v>30</v>
      </c>
      <c r="M25" s="2"/>
      <c r="N25" s="2"/>
      <c r="O25" s="2"/>
      <c r="P25" s="3"/>
    </row>
    <row r="26" spans="1:20" ht="15.6" x14ac:dyDescent="0.3">
      <c r="A26" s="4" t="s">
        <v>16</v>
      </c>
      <c r="B26" s="5" t="s">
        <v>6</v>
      </c>
      <c r="C26" s="5" t="s">
        <v>31</v>
      </c>
      <c r="D26" s="5" t="s">
        <v>32</v>
      </c>
      <c r="E26" s="5" t="s">
        <v>10</v>
      </c>
      <c r="F26" s="5" t="s">
        <v>34</v>
      </c>
      <c r="G26" s="5" t="s">
        <v>35</v>
      </c>
      <c r="H26" s="5" t="s">
        <v>37</v>
      </c>
      <c r="I26" s="5" t="s">
        <v>31</v>
      </c>
      <c r="J26" s="5" t="s">
        <v>32</v>
      </c>
      <c r="K26" s="5" t="s">
        <v>38</v>
      </c>
      <c r="L26" s="5" t="s">
        <v>31</v>
      </c>
      <c r="M26" s="5" t="s">
        <v>32</v>
      </c>
      <c r="N26" s="5" t="s">
        <v>38</v>
      </c>
      <c r="O26" s="5" t="s">
        <v>39</v>
      </c>
      <c r="P26" s="6" t="s">
        <v>14</v>
      </c>
    </row>
    <row r="27" spans="1:20" x14ac:dyDescent="0.25">
      <c r="A27" s="19">
        <v>6.9444444444444447E-4</v>
      </c>
      <c r="B27">
        <v>60</v>
      </c>
      <c r="C27">
        <v>190</v>
      </c>
      <c r="D27">
        <v>200</v>
      </c>
      <c r="E27">
        <v>5.54</v>
      </c>
      <c r="F27">
        <v>0.187</v>
      </c>
      <c r="G27">
        <v>0.28699999999999998</v>
      </c>
      <c r="H27">
        <v>21.9</v>
      </c>
      <c r="I27">
        <f t="shared" ref="I27:J41" si="9">(1-(F27/$E27))*100</f>
        <v>96.624548736462089</v>
      </c>
      <c r="J27">
        <f t="shared" si="9"/>
        <v>94.819494584837543</v>
      </c>
      <c r="K27">
        <f>(1-((F27+G27)/2)/$E27)*100</f>
        <v>95.72202166064983</v>
      </c>
      <c r="L27">
        <f>(C27/1000)/(0.23*(B27/3600))</f>
        <v>49.565217391304344</v>
      </c>
      <c r="M27">
        <f>(D27/1000)/(0.23*(B27/3600))</f>
        <v>52.173913043478258</v>
      </c>
      <c r="N27">
        <f>(M27+L27)/2</f>
        <v>50.869565217391298</v>
      </c>
      <c r="O27">
        <f>100*(C27+D27)/10000</f>
        <v>3.9</v>
      </c>
      <c r="P27" s="9">
        <f>100*(((N27*0.46)/60))/1</f>
        <v>38.999999999999993</v>
      </c>
    </row>
    <row r="28" spans="1:20" x14ac:dyDescent="0.25">
      <c r="A28" s="20">
        <v>1.3888888888888889E-3</v>
      </c>
      <c r="B28">
        <v>120</v>
      </c>
      <c r="C28">
        <v>235</v>
      </c>
      <c r="D28">
        <v>200</v>
      </c>
      <c r="E28">
        <v>5.72</v>
      </c>
      <c r="F28">
        <v>6.3E-2</v>
      </c>
      <c r="G28">
        <v>0.18</v>
      </c>
      <c r="H28">
        <v>22.1</v>
      </c>
      <c r="I28">
        <f t="shared" si="9"/>
        <v>98.8986013986014</v>
      </c>
      <c r="J28">
        <f>(1-(G28/$E28))*100</f>
        <v>96.853146853146853</v>
      </c>
      <c r="K28">
        <f t="shared" ref="K28:K41" si="10">(1-((F28+G28)/2)/$E28)*100</f>
        <v>97.875874125874134</v>
      </c>
      <c r="L28">
        <f>(C28/1000)/(0.23*((B28-B27)/3600))</f>
        <v>61.304347826086946</v>
      </c>
      <c r="M28">
        <f>(D28/1000)/(0.23*((B28-B27)/3600))</f>
        <v>52.173913043478258</v>
      </c>
      <c r="N28">
        <f>(M28+L28)/2</f>
        <v>56.739130434782602</v>
      </c>
      <c r="O28">
        <f>O27+100*(C28+D28)/10000</f>
        <v>8.25</v>
      </c>
      <c r="P28" s="9">
        <f t="shared" ref="P28:P41" si="11">100*(((N28*0.46)/60))/1</f>
        <v>43.499999999999993</v>
      </c>
    </row>
    <row r="29" spans="1:20" x14ac:dyDescent="0.25">
      <c r="A29" s="19">
        <v>2.7777777777777779E-3</v>
      </c>
      <c r="B29">
        <f>60*4</f>
        <v>240</v>
      </c>
      <c r="C29">
        <v>480</v>
      </c>
      <c r="D29">
        <v>400</v>
      </c>
      <c r="E29">
        <v>6.08</v>
      </c>
      <c r="F29">
        <v>4.8000000000000001E-2</v>
      </c>
      <c r="G29">
        <v>0.1915</v>
      </c>
      <c r="H29">
        <v>22.5</v>
      </c>
      <c r="I29">
        <f t="shared" si="9"/>
        <v>99.210526315789465</v>
      </c>
      <c r="J29">
        <f t="shared" si="9"/>
        <v>96.850328947368425</v>
      </c>
      <c r="K29">
        <f t="shared" si="10"/>
        <v>98.030427631578945</v>
      </c>
      <c r="L29">
        <f t="shared" ref="L29:L39" si="12">(C29/1000)/(0.23*((B29-B28)/3600))</f>
        <v>62.608695652173907</v>
      </c>
      <c r="M29">
        <f t="shared" ref="M29:M41" si="13">(D29/1000)/(0.23*((B29-B28)/3600))</f>
        <v>52.173913043478258</v>
      </c>
      <c r="N29">
        <f t="shared" ref="N29:N41" si="14">(M29+L29)/2</f>
        <v>57.391304347826079</v>
      </c>
      <c r="O29">
        <f t="shared" ref="O29:O41" si="15">O28+100*(C29+D29)/10000</f>
        <v>17.05</v>
      </c>
      <c r="P29" s="9">
        <f t="shared" si="11"/>
        <v>44</v>
      </c>
    </row>
    <row r="30" spans="1:20" x14ac:dyDescent="0.25">
      <c r="A30" s="19">
        <v>4.1666666666666666E-3</v>
      </c>
      <c r="B30">
        <f>6*60</f>
        <v>360</v>
      </c>
      <c r="C30">
        <v>485</v>
      </c>
      <c r="D30">
        <v>410</v>
      </c>
      <c r="E30">
        <v>6.58</v>
      </c>
      <c r="F30">
        <v>5.2200000000000003E-2</v>
      </c>
      <c r="G30">
        <v>0.19639999999999999</v>
      </c>
      <c r="H30">
        <v>22.9</v>
      </c>
      <c r="I30">
        <f t="shared" si="9"/>
        <v>99.20668693009118</v>
      </c>
      <c r="J30">
        <f t="shared" si="9"/>
        <v>97.015197568389056</v>
      </c>
      <c r="K30">
        <f t="shared" si="10"/>
        <v>98.110942249240125</v>
      </c>
      <c r="L30">
        <f t="shared" si="12"/>
        <v>63.260869565217384</v>
      </c>
      <c r="M30">
        <f t="shared" si="13"/>
        <v>53.478260869565212</v>
      </c>
      <c r="N30">
        <f t="shared" si="14"/>
        <v>58.369565217391298</v>
      </c>
      <c r="O30">
        <f t="shared" si="15"/>
        <v>26</v>
      </c>
      <c r="P30" s="9">
        <f t="shared" si="11"/>
        <v>44.749999999999993</v>
      </c>
    </row>
    <row r="31" spans="1:20" x14ac:dyDescent="0.25">
      <c r="A31" s="19">
        <v>5.5555555555555558E-3</v>
      </c>
      <c r="B31">
        <f>8*60</f>
        <v>480</v>
      </c>
      <c r="C31">
        <v>490</v>
      </c>
      <c r="D31">
        <v>395</v>
      </c>
      <c r="E31">
        <v>7.25</v>
      </c>
      <c r="F31">
        <v>5.3999999999999999E-2</v>
      </c>
      <c r="G31">
        <v>0.2</v>
      </c>
      <c r="H31">
        <v>23.3</v>
      </c>
      <c r="I31">
        <f t="shared" si="9"/>
        <v>99.255172413793105</v>
      </c>
      <c r="J31">
        <f t="shared" si="9"/>
        <v>97.241379310344826</v>
      </c>
      <c r="K31">
        <f t="shared" si="10"/>
        <v>98.248275862068965</v>
      </c>
      <c r="L31">
        <f t="shared" si="12"/>
        <v>63.913043478260867</v>
      </c>
      <c r="M31">
        <f t="shared" si="13"/>
        <v>51.521739130434781</v>
      </c>
      <c r="N31">
        <f t="shared" si="14"/>
        <v>57.717391304347828</v>
      </c>
      <c r="O31">
        <f t="shared" si="15"/>
        <v>34.85</v>
      </c>
      <c r="P31" s="9">
        <f t="shared" si="11"/>
        <v>44.25</v>
      </c>
    </row>
    <row r="32" spans="1:20" x14ac:dyDescent="0.25">
      <c r="A32" s="19">
        <v>6.9444444444444441E-3</v>
      </c>
      <c r="B32">
        <v>600</v>
      </c>
      <c r="C32">
        <v>480</v>
      </c>
      <c r="D32">
        <v>390</v>
      </c>
      <c r="E32">
        <v>8.02</v>
      </c>
      <c r="F32">
        <v>6.0100000000000001E-2</v>
      </c>
      <c r="G32">
        <v>0.215</v>
      </c>
      <c r="H32">
        <v>23.6</v>
      </c>
      <c r="I32">
        <f t="shared" si="9"/>
        <v>99.250623441396513</v>
      </c>
      <c r="J32">
        <f t="shared" si="9"/>
        <v>97.319201995012477</v>
      </c>
      <c r="K32">
        <f t="shared" si="10"/>
        <v>98.284912718204481</v>
      </c>
      <c r="L32">
        <f t="shared" si="12"/>
        <v>62.608695652173907</v>
      </c>
      <c r="M32">
        <f t="shared" si="13"/>
        <v>50.869565217391305</v>
      </c>
      <c r="N32">
        <f t="shared" si="14"/>
        <v>56.739130434782609</v>
      </c>
      <c r="O32">
        <f t="shared" si="15"/>
        <v>43.55</v>
      </c>
      <c r="P32" s="9">
        <f t="shared" si="11"/>
        <v>43.5</v>
      </c>
    </row>
    <row r="33" spans="1:16" x14ac:dyDescent="0.25">
      <c r="A33" s="19">
        <v>8.3333333333333332E-3</v>
      </c>
      <c r="B33">
        <f>12*60</f>
        <v>720</v>
      </c>
      <c r="C33">
        <v>465</v>
      </c>
      <c r="D33">
        <v>375</v>
      </c>
      <c r="E33">
        <v>9.0500000000000007</v>
      </c>
      <c r="F33">
        <v>7.0400000000000004E-2</v>
      </c>
      <c r="G33">
        <v>0.24099999999999999</v>
      </c>
      <c r="H33">
        <v>23.9</v>
      </c>
      <c r="I33">
        <f t="shared" si="9"/>
        <v>99.222099447513813</v>
      </c>
      <c r="J33">
        <f t="shared" si="9"/>
        <v>97.337016574585633</v>
      </c>
      <c r="K33">
        <f t="shared" si="10"/>
        <v>98.27955801104973</v>
      </c>
      <c r="L33">
        <f t="shared" si="12"/>
        <v>60.652173913043477</v>
      </c>
      <c r="M33">
        <f t="shared" si="13"/>
        <v>48.913043478260867</v>
      </c>
      <c r="N33">
        <f t="shared" si="14"/>
        <v>54.782608695652172</v>
      </c>
      <c r="O33">
        <f t="shared" si="15"/>
        <v>51.949999999999996</v>
      </c>
      <c r="P33" s="9">
        <f t="shared" si="11"/>
        <v>42</v>
      </c>
    </row>
    <row r="34" spans="1:16" x14ac:dyDescent="0.25">
      <c r="A34" s="19">
        <v>9.7222222222222224E-3</v>
      </c>
      <c r="B34">
        <f>14*60</f>
        <v>840</v>
      </c>
      <c r="C34">
        <v>455</v>
      </c>
      <c r="D34">
        <v>360</v>
      </c>
      <c r="E34">
        <v>10.38</v>
      </c>
      <c r="F34">
        <v>8.48E-2</v>
      </c>
      <c r="G34">
        <v>0.27800000000000002</v>
      </c>
      <c r="H34">
        <v>24.2</v>
      </c>
      <c r="I34">
        <f t="shared" si="9"/>
        <v>99.183044315992291</v>
      </c>
      <c r="J34">
        <f t="shared" si="9"/>
        <v>97.321772639691716</v>
      </c>
      <c r="K34">
        <f t="shared" si="10"/>
        <v>98.252408477841996</v>
      </c>
      <c r="L34">
        <f t="shared" si="12"/>
        <v>59.347826086956523</v>
      </c>
      <c r="M34">
        <f t="shared" si="13"/>
        <v>46.95652173913043</v>
      </c>
      <c r="N34">
        <f t="shared" si="14"/>
        <v>53.152173913043477</v>
      </c>
      <c r="O34">
        <f t="shared" si="15"/>
        <v>60.099999999999994</v>
      </c>
      <c r="P34" s="9">
        <f t="shared" si="11"/>
        <v>40.75</v>
      </c>
    </row>
    <row r="35" spans="1:16" x14ac:dyDescent="0.25">
      <c r="A35" s="19">
        <v>1.1111111111111112E-2</v>
      </c>
      <c r="B35">
        <f>16*60</f>
        <v>960</v>
      </c>
      <c r="C35">
        <v>440</v>
      </c>
      <c r="D35">
        <v>340</v>
      </c>
      <c r="E35">
        <v>11.9</v>
      </c>
      <c r="F35">
        <v>9.8100000000000007E-2</v>
      </c>
      <c r="G35">
        <v>0.30299999999999999</v>
      </c>
      <c r="H35">
        <v>24.3</v>
      </c>
      <c r="I35">
        <f t="shared" si="9"/>
        <v>99.175630252100845</v>
      </c>
      <c r="J35">
        <f t="shared" si="9"/>
        <v>97.453781512605048</v>
      </c>
      <c r="K35">
        <f t="shared" si="10"/>
        <v>98.314705882352939</v>
      </c>
      <c r="L35">
        <f t="shared" si="12"/>
        <v>57.391304347826086</v>
      </c>
      <c r="M35">
        <f t="shared" si="13"/>
        <v>44.347826086956523</v>
      </c>
      <c r="N35">
        <f t="shared" si="14"/>
        <v>50.869565217391305</v>
      </c>
      <c r="O35">
        <f t="shared" si="15"/>
        <v>67.899999999999991</v>
      </c>
      <c r="P35" s="9">
        <f t="shared" si="11"/>
        <v>39</v>
      </c>
    </row>
    <row r="36" spans="1:16" x14ac:dyDescent="0.25">
      <c r="A36" s="19">
        <v>1.2499999999999999E-2</v>
      </c>
      <c r="B36">
        <f>18*60</f>
        <v>1080</v>
      </c>
      <c r="C36">
        <v>420</v>
      </c>
      <c r="D36">
        <v>320</v>
      </c>
      <c r="E36">
        <v>14.05</v>
      </c>
      <c r="F36">
        <v>0.122</v>
      </c>
      <c r="G36">
        <f>((G37-G35)/2)+G35</f>
        <v>0.36149999999999999</v>
      </c>
      <c r="H36">
        <v>24.4</v>
      </c>
      <c r="I36">
        <f t="shared" si="9"/>
        <v>99.131672597864778</v>
      </c>
      <c r="J36">
        <f t="shared" si="9"/>
        <v>97.42704626334519</v>
      </c>
      <c r="K36">
        <f t="shared" si="10"/>
        <v>98.279359430604984</v>
      </c>
      <c r="L36">
        <f t="shared" si="12"/>
        <v>54.782608695652172</v>
      </c>
      <c r="M36">
        <f t="shared" si="13"/>
        <v>41.739130434782609</v>
      </c>
      <c r="N36">
        <f t="shared" si="14"/>
        <v>48.260869565217391</v>
      </c>
      <c r="O36">
        <f t="shared" si="15"/>
        <v>75.3</v>
      </c>
      <c r="P36" s="9">
        <f t="shared" si="11"/>
        <v>37</v>
      </c>
    </row>
    <row r="37" spans="1:16" x14ac:dyDescent="0.25">
      <c r="A37" s="19">
        <v>1.3888888888888888E-2</v>
      </c>
      <c r="B37">
        <f>20*60</f>
        <v>1200</v>
      </c>
      <c r="C37">
        <v>390</v>
      </c>
      <c r="D37">
        <v>285</v>
      </c>
      <c r="E37">
        <v>16.899999999999999</v>
      </c>
      <c r="F37">
        <v>0.15340000000000001</v>
      </c>
      <c r="G37">
        <v>0.42</v>
      </c>
      <c r="H37">
        <v>24.6</v>
      </c>
      <c r="I37">
        <f t="shared" si="9"/>
        <v>99.092307692307685</v>
      </c>
      <c r="J37">
        <f t="shared" si="9"/>
        <v>97.514792899408292</v>
      </c>
      <c r="K37">
        <f t="shared" si="10"/>
        <v>98.303550295857988</v>
      </c>
      <c r="L37">
        <f t="shared" si="12"/>
        <v>50.869565217391305</v>
      </c>
      <c r="M37">
        <f t="shared" si="13"/>
        <v>37.173913043478258</v>
      </c>
      <c r="N37">
        <f t="shared" si="14"/>
        <v>44.021739130434781</v>
      </c>
      <c r="O37">
        <f t="shared" si="15"/>
        <v>82.05</v>
      </c>
      <c r="P37" s="9">
        <f t="shared" si="11"/>
        <v>33.75</v>
      </c>
    </row>
    <row r="38" spans="1:16" x14ac:dyDescent="0.25">
      <c r="A38" s="19">
        <v>1.5277777777777777E-2</v>
      </c>
      <c r="B38">
        <f>22*60</f>
        <v>1320</v>
      </c>
      <c r="C38">
        <v>355</v>
      </c>
      <c r="D38">
        <v>260</v>
      </c>
      <c r="E38">
        <v>19.850000000000001</v>
      </c>
      <c r="F38">
        <v>0.192</v>
      </c>
      <c r="G38">
        <v>0.51600000000000001</v>
      </c>
      <c r="H38">
        <v>24.7</v>
      </c>
      <c r="I38">
        <f t="shared" si="9"/>
        <v>99.032745591939545</v>
      </c>
      <c r="J38">
        <f t="shared" si="9"/>
        <v>97.400503778337537</v>
      </c>
      <c r="K38">
        <f t="shared" si="10"/>
        <v>98.216624685138541</v>
      </c>
      <c r="L38">
        <f t="shared" si="12"/>
        <v>46.304347826086953</v>
      </c>
      <c r="M38">
        <f t="shared" si="13"/>
        <v>33.913043478260867</v>
      </c>
      <c r="N38">
        <f t="shared" si="14"/>
        <v>40.108695652173907</v>
      </c>
      <c r="O38">
        <f t="shared" si="15"/>
        <v>88.2</v>
      </c>
      <c r="P38" s="9">
        <f t="shared" si="11"/>
        <v>30.75</v>
      </c>
    </row>
    <row r="39" spans="1:16" x14ac:dyDescent="0.25">
      <c r="A39" s="19">
        <v>1.6666666666666666E-2</v>
      </c>
      <c r="B39">
        <f>24*60</f>
        <v>1440</v>
      </c>
      <c r="C39">
        <v>295</v>
      </c>
      <c r="D39">
        <v>215</v>
      </c>
      <c r="E39">
        <v>24.1</v>
      </c>
      <c r="F39">
        <v>0.26400000000000001</v>
      </c>
      <c r="G39">
        <v>0.67200000000000004</v>
      </c>
      <c r="H39">
        <v>24.5</v>
      </c>
      <c r="I39">
        <f t="shared" si="9"/>
        <v>98.904564315352701</v>
      </c>
      <c r="J39">
        <f t="shared" si="9"/>
        <v>97.211618257261406</v>
      </c>
      <c r="K39">
        <f t="shared" si="10"/>
        <v>98.058091286307061</v>
      </c>
      <c r="L39">
        <f t="shared" si="12"/>
        <v>38.478260869565212</v>
      </c>
      <c r="M39">
        <f t="shared" si="13"/>
        <v>28.043478260869563</v>
      </c>
      <c r="N39">
        <f t="shared" si="14"/>
        <v>33.260869565217391</v>
      </c>
      <c r="O39">
        <f t="shared" si="15"/>
        <v>93.3</v>
      </c>
      <c r="P39" s="9">
        <f t="shared" si="11"/>
        <v>25.5</v>
      </c>
    </row>
    <row r="40" spans="1:16" x14ac:dyDescent="0.25">
      <c r="A40" s="19">
        <v>1.8055555555555557E-2</v>
      </c>
      <c r="B40">
        <f>26*60</f>
        <v>1560</v>
      </c>
      <c r="C40">
        <v>230</v>
      </c>
      <c r="D40">
        <v>170</v>
      </c>
      <c r="E40">
        <v>31.6</v>
      </c>
      <c r="F40">
        <v>0.41</v>
      </c>
      <c r="G40">
        <v>0.88</v>
      </c>
      <c r="H40">
        <v>24.3</v>
      </c>
      <c r="I40">
        <f t="shared" si="9"/>
        <v>98.702531645569621</v>
      </c>
      <c r="J40">
        <f t="shared" si="9"/>
        <v>97.215189873417714</v>
      </c>
      <c r="K40">
        <f t="shared" si="10"/>
        <v>97.958860759493675</v>
      </c>
      <c r="L40">
        <f>(C40/1000)/(0.23*((B40-B39)/3600))</f>
        <v>30</v>
      </c>
      <c r="M40">
        <f t="shared" si="13"/>
        <v>22.173913043478262</v>
      </c>
      <c r="N40">
        <f t="shared" si="14"/>
        <v>26.086956521739133</v>
      </c>
      <c r="O40">
        <f t="shared" si="15"/>
        <v>97.3</v>
      </c>
      <c r="P40" s="9">
        <f t="shared" si="11"/>
        <v>20.000000000000004</v>
      </c>
    </row>
    <row r="41" spans="1:16" ht="14.4" thickBot="1" x14ac:dyDescent="0.3">
      <c r="A41" s="21">
        <v>1.8668981481481481E-2</v>
      </c>
      <c r="B41" s="11">
        <f>26*60+53</f>
        <v>1613</v>
      </c>
      <c r="C41" s="11">
        <v>110</v>
      </c>
      <c r="D41" s="11">
        <v>85</v>
      </c>
      <c r="E41" s="11">
        <v>38</v>
      </c>
      <c r="F41" s="11">
        <v>0.61699999999999999</v>
      </c>
      <c r="G41" s="11">
        <v>1.1919999999999999</v>
      </c>
      <c r="H41" s="11">
        <v>24.3</v>
      </c>
      <c r="I41" s="11">
        <f t="shared" si="9"/>
        <v>98.376315789473693</v>
      </c>
      <c r="J41" s="11">
        <f t="shared" si="9"/>
        <v>96.863157894736844</v>
      </c>
      <c r="K41" s="11">
        <f t="shared" si="10"/>
        <v>97.619736842105269</v>
      </c>
      <c r="L41" s="11">
        <f>(C41/1000)/(0.23*((B41-B40)/3600))</f>
        <v>32.485643970467599</v>
      </c>
      <c r="M41" s="11">
        <f t="shared" si="13"/>
        <v>25.1025430680886</v>
      </c>
      <c r="N41" s="11">
        <f t="shared" si="14"/>
        <v>28.7940935192781</v>
      </c>
      <c r="O41" s="11">
        <f t="shared" si="15"/>
        <v>99.25</v>
      </c>
      <c r="P41" s="13">
        <f t="shared" si="11"/>
        <v>22.075471698113212</v>
      </c>
    </row>
    <row r="44" spans="1:16" x14ac:dyDescent="0.25">
      <c r="A44" t="s">
        <v>43</v>
      </c>
    </row>
    <row r="46" spans="1:16" x14ac:dyDescent="0.25">
      <c r="A46" t="s">
        <v>40</v>
      </c>
    </row>
    <row r="48" spans="1:16" x14ac:dyDescent="0.25">
      <c r="A48" t="s">
        <v>3</v>
      </c>
      <c r="B48" t="s">
        <v>4</v>
      </c>
      <c r="C48" t="s">
        <v>6</v>
      </c>
      <c r="D48" t="s">
        <v>12</v>
      </c>
      <c r="E48" t="s">
        <v>41</v>
      </c>
      <c r="G48" t="s">
        <v>8</v>
      </c>
      <c r="J48" t="s">
        <v>42</v>
      </c>
    </row>
    <row r="49" spans="1:10" x14ac:dyDescent="0.25">
      <c r="A49">
        <v>500</v>
      </c>
      <c r="B49">
        <v>5</v>
      </c>
      <c r="C49">
        <v>145.33333333333334</v>
      </c>
      <c r="D49">
        <v>96.44702862827215</v>
      </c>
      <c r="E49">
        <v>0.62242885014150828</v>
      </c>
      <c r="F49">
        <v>0.31121442507075414</v>
      </c>
      <c r="G49">
        <v>54.037084022091527</v>
      </c>
      <c r="H49">
        <v>3.1862062054007674</v>
      </c>
      <c r="I49">
        <v>1.5931031027003837</v>
      </c>
      <c r="J49">
        <v>20.71421554180175</v>
      </c>
    </row>
    <row r="50" spans="1:10" x14ac:dyDescent="0.25">
      <c r="A50">
        <v>1000</v>
      </c>
      <c r="B50">
        <v>10</v>
      </c>
      <c r="C50">
        <v>290.66666666666669</v>
      </c>
      <c r="D50">
        <v>97.916811385542019</v>
      </c>
      <c r="E50">
        <v>0.83428675923191353</v>
      </c>
      <c r="F50">
        <v>0.41714337961595677</v>
      </c>
      <c r="G50">
        <v>54.190810017060528</v>
      </c>
      <c r="H50">
        <v>4.387828863244926</v>
      </c>
      <c r="I50">
        <v>2.193914431622463</v>
      </c>
      <c r="J50">
        <v>20.773143839873203</v>
      </c>
    </row>
    <row r="51" spans="1:10" x14ac:dyDescent="0.25">
      <c r="A51">
        <v>1500</v>
      </c>
      <c r="B51">
        <v>15</v>
      </c>
      <c r="C51">
        <v>436.33333333333331</v>
      </c>
      <c r="D51">
        <v>97.982479692455854</v>
      </c>
      <c r="E51">
        <v>0.81792659008465785</v>
      </c>
      <c r="F51">
        <v>0.40896329504232892</v>
      </c>
      <c r="G51">
        <v>54.103039826452779</v>
      </c>
      <c r="H51">
        <v>4.6494758669007892</v>
      </c>
      <c r="I51">
        <v>2.3247379334503946</v>
      </c>
      <c r="J51">
        <v>20.739498600140234</v>
      </c>
    </row>
    <row r="52" spans="1:10" x14ac:dyDescent="0.25">
      <c r="A52">
        <v>2000</v>
      </c>
      <c r="B52">
        <v>20</v>
      </c>
      <c r="C52">
        <v>577</v>
      </c>
      <c r="D52">
        <v>98.003592719816993</v>
      </c>
      <c r="E52">
        <v>0.81031024040572852</v>
      </c>
      <c r="F52">
        <v>0.40515512020286426</v>
      </c>
      <c r="G52">
        <v>55.956333128650783</v>
      </c>
      <c r="H52">
        <v>4.1886319984282281</v>
      </c>
      <c r="I52">
        <v>2.094315999214114</v>
      </c>
      <c r="J52">
        <v>21.449927699316135</v>
      </c>
    </row>
    <row r="53" spans="1:10" x14ac:dyDescent="0.25">
      <c r="A53">
        <v>2500</v>
      </c>
      <c r="B53">
        <v>25</v>
      </c>
      <c r="C53">
        <v>722.33333333333337</v>
      </c>
      <c r="D53">
        <v>97.996943286330861</v>
      </c>
      <c r="E53">
        <v>0.81738587166766485</v>
      </c>
      <c r="F53">
        <v>0.40869293583383243</v>
      </c>
      <c r="G53">
        <v>54.135306146483515</v>
      </c>
      <c r="H53">
        <v>4.0230190932652148</v>
      </c>
      <c r="I53">
        <v>2.0115095466326074</v>
      </c>
      <c r="J53">
        <v>20.751867356152019</v>
      </c>
    </row>
    <row r="54" spans="1:10" x14ac:dyDescent="0.25">
      <c r="A54">
        <v>3000</v>
      </c>
      <c r="B54">
        <v>30</v>
      </c>
      <c r="C54">
        <v>866</v>
      </c>
      <c r="D54">
        <v>98.049474591067607</v>
      </c>
      <c r="E54">
        <v>0.75645652246961126</v>
      </c>
      <c r="F54">
        <v>0.37822826123480563</v>
      </c>
      <c r="G54">
        <v>54.788351047198368</v>
      </c>
      <c r="H54">
        <v>4.2413060862381338</v>
      </c>
      <c r="I54">
        <v>2.1206530431190669</v>
      </c>
      <c r="J54">
        <v>21.002201234759376</v>
      </c>
    </row>
    <row r="55" spans="1:10" x14ac:dyDescent="0.25">
      <c r="A55">
        <v>3500</v>
      </c>
      <c r="B55">
        <v>35</v>
      </c>
      <c r="C55">
        <v>1014.3333333333334</v>
      </c>
      <c r="D55">
        <v>98.013262012655446</v>
      </c>
      <c r="E55">
        <v>0.77274284077178046</v>
      </c>
      <c r="F55">
        <v>0.38637142038589023</v>
      </c>
      <c r="G55">
        <v>53.103872355740911</v>
      </c>
      <c r="H55">
        <v>4.3906972245995703</v>
      </c>
      <c r="I55">
        <v>2.1953486122997852</v>
      </c>
      <c r="J55">
        <v>20.356484403034017</v>
      </c>
    </row>
    <row r="56" spans="1:10" x14ac:dyDescent="0.25">
      <c r="A56">
        <v>4000</v>
      </c>
      <c r="B56">
        <v>40</v>
      </c>
      <c r="C56">
        <v>1165</v>
      </c>
      <c r="D56">
        <v>98.087877996885524</v>
      </c>
      <c r="E56">
        <v>0.70584195734848265</v>
      </c>
      <c r="F56">
        <v>0.35292097867424133</v>
      </c>
      <c r="G56">
        <v>52.243915197390692</v>
      </c>
      <c r="H56">
        <v>4.0676069682859612</v>
      </c>
      <c r="I56">
        <v>2.0338034841429806</v>
      </c>
      <c r="J56">
        <v>20.026834158999765</v>
      </c>
    </row>
    <row r="57" spans="1:10" x14ac:dyDescent="0.25">
      <c r="A57">
        <v>4500</v>
      </c>
      <c r="B57">
        <v>45</v>
      </c>
      <c r="C57">
        <v>1317</v>
      </c>
      <c r="D57">
        <v>98.111324954255039</v>
      </c>
      <c r="E57">
        <v>0.67067914741495105</v>
      </c>
      <c r="F57">
        <v>0.33533957370747552</v>
      </c>
      <c r="G57">
        <v>51.879036700221349</v>
      </c>
      <c r="H57">
        <v>4.639864547134307</v>
      </c>
      <c r="I57">
        <v>2.3199322735671535</v>
      </c>
      <c r="J57">
        <v>19.88696406841818</v>
      </c>
    </row>
    <row r="58" spans="1:10" x14ac:dyDescent="0.25">
      <c r="A58">
        <v>5000</v>
      </c>
      <c r="B58">
        <v>50</v>
      </c>
      <c r="C58">
        <v>1476.6666666666667</v>
      </c>
      <c r="D58">
        <v>98.074950166395709</v>
      </c>
      <c r="E58">
        <v>0.66479819650093652</v>
      </c>
      <c r="F58">
        <v>0.33239909825046826</v>
      </c>
      <c r="G58">
        <v>49.374606456828808</v>
      </c>
      <c r="H58">
        <v>4.3400218317007431</v>
      </c>
      <c r="I58">
        <v>2.1700109158503715</v>
      </c>
      <c r="J58">
        <v>18.926932475117709</v>
      </c>
    </row>
    <row r="59" spans="1:10" x14ac:dyDescent="0.25">
      <c r="A59">
        <v>5500</v>
      </c>
      <c r="B59">
        <v>55.000000000000007</v>
      </c>
      <c r="C59">
        <v>1638.6666666666667</v>
      </c>
      <c r="D59">
        <v>98.091223176330274</v>
      </c>
      <c r="E59">
        <v>0.69888012240935005</v>
      </c>
      <c r="F59">
        <v>0.34944006120467502</v>
      </c>
      <c r="G59">
        <v>48.708868432395235</v>
      </c>
      <c r="H59">
        <v>4.5491715980483898</v>
      </c>
      <c r="I59">
        <v>2.2745857990241949</v>
      </c>
      <c r="J59">
        <v>18.671732899084841</v>
      </c>
    </row>
    <row r="60" spans="1:10" x14ac:dyDescent="0.25">
      <c r="A60">
        <v>6000</v>
      </c>
      <c r="B60">
        <v>60</v>
      </c>
      <c r="C60">
        <v>1806</v>
      </c>
      <c r="D60">
        <v>98.048882188238281</v>
      </c>
      <c r="E60">
        <v>0.67741625716717002</v>
      </c>
      <c r="F60">
        <v>0.33870812858358501</v>
      </c>
      <c r="G60">
        <v>47.178965542625029</v>
      </c>
      <c r="H60">
        <v>4.5427154334715372</v>
      </c>
      <c r="I60">
        <v>2.2713577167357686</v>
      </c>
      <c r="J60">
        <v>18.085270124672927</v>
      </c>
    </row>
    <row r="61" spans="1:10" x14ac:dyDescent="0.25">
      <c r="A61">
        <v>6500</v>
      </c>
      <c r="B61">
        <v>65</v>
      </c>
      <c r="C61">
        <v>1981.6666666666667</v>
      </c>
      <c r="D61">
        <v>98.020730022066786</v>
      </c>
      <c r="E61">
        <v>0.71815679951938871</v>
      </c>
      <c r="F61">
        <v>0.35907839975969436</v>
      </c>
      <c r="G61">
        <v>44.919898417062882</v>
      </c>
      <c r="H61">
        <v>4.196334336102109</v>
      </c>
      <c r="I61">
        <v>2.0981671680510545</v>
      </c>
      <c r="J61">
        <v>17.219294393207438</v>
      </c>
    </row>
    <row r="62" spans="1:10" x14ac:dyDescent="0.25">
      <c r="A62">
        <v>7000</v>
      </c>
      <c r="B62">
        <v>70</v>
      </c>
      <c r="C62">
        <v>2166.3333333333335</v>
      </c>
      <c r="D62">
        <v>97.978616527727965</v>
      </c>
      <c r="E62">
        <v>0.7007635286545274</v>
      </c>
      <c r="F62">
        <v>0.3503817643272637</v>
      </c>
      <c r="G62">
        <v>42.824231370222719</v>
      </c>
      <c r="H62">
        <v>4.5237086555888881</v>
      </c>
      <c r="I62">
        <v>2.2618543277944441</v>
      </c>
      <c r="J62">
        <v>16.415955358585375</v>
      </c>
    </row>
    <row r="63" spans="1:10" x14ac:dyDescent="0.25">
      <c r="A63">
        <v>7500</v>
      </c>
      <c r="B63">
        <v>75</v>
      </c>
      <c r="C63">
        <v>2363.3333333333335</v>
      </c>
      <c r="D63">
        <v>97.969642881776508</v>
      </c>
      <c r="E63">
        <v>0.6801345238139419</v>
      </c>
      <c r="F63">
        <v>0.34006726190697095</v>
      </c>
      <c r="G63">
        <v>40.074397812635738</v>
      </c>
      <c r="H63">
        <v>3.8540677012085336</v>
      </c>
      <c r="I63">
        <v>1.9270338506042668</v>
      </c>
      <c r="J63">
        <v>15.361852494843701</v>
      </c>
    </row>
    <row r="64" spans="1:10" x14ac:dyDescent="0.25">
      <c r="A64">
        <v>8000</v>
      </c>
      <c r="B64">
        <v>80</v>
      </c>
      <c r="C64">
        <v>2584</v>
      </c>
      <c r="D64">
        <v>97.837715515085961</v>
      </c>
      <c r="E64">
        <v>0.77365460223561844</v>
      </c>
      <c r="F64">
        <v>0.38682730111780922</v>
      </c>
      <c r="G64">
        <v>35.904468528581994</v>
      </c>
      <c r="H64">
        <v>4.1044632415951927</v>
      </c>
      <c r="I64">
        <v>2.0522316207975964</v>
      </c>
      <c r="J64">
        <v>13.763379602623102</v>
      </c>
    </row>
    <row r="65" spans="1:16" x14ac:dyDescent="0.25">
      <c r="A65">
        <v>8500</v>
      </c>
      <c r="B65">
        <v>85</v>
      </c>
      <c r="C65">
        <v>2832</v>
      </c>
      <c r="D65">
        <v>97.81225087092794</v>
      </c>
      <c r="E65">
        <v>0.74813634366174309</v>
      </c>
      <c r="F65">
        <v>0.37406817183087154</v>
      </c>
      <c r="G65">
        <v>32.027046677330226</v>
      </c>
      <c r="H65">
        <v>4.0222325100839642</v>
      </c>
      <c r="I65">
        <v>2.0111162550419821</v>
      </c>
      <c r="J65">
        <v>12.277034559643255</v>
      </c>
    </row>
    <row r="66" spans="1:16" x14ac:dyDescent="0.25">
      <c r="A66">
        <v>9000</v>
      </c>
      <c r="B66">
        <v>90</v>
      </c>
      <c r="C66">
        <v>3135</v>
      </c>
      <c r="D66">
        <v>97.622635921303143</v>
      </c>
      <c r="E66">
        <v>0.70512315901371658</v>
      </c>
      <c r="F66">
        <v>0.35256157950685829</v>
      </c>
      <c r="G66">
        <v>22.108367894107317</v>
      </c>
      <c r="H66">
        <v>2.6796958130653277</v>
      </c>
      <c r="I66">
        <v>1.3398479065326638</v>
      </c>
      <c r="J66">
        <v>8.4748743594078064</v>
      </c>
    </row>
    <row r="67" spans="1:16" x14ac:dyDescent="0.25">
      <c r="A67">
        <v>9500</v>
      </c>
      <c r="B67">
        <v>95</v>
      </c>
      <c r="C67">
        <v>3552.6666666666665</v>
      </c>
      <c r="D67">
        <v>97.203945520107141</v>
      </c>
      <c r="E67">
        <v>0.69973428042381691</v>
      </c>
      <c r="F67">
        <v>0.34986714021190846</v>
      </c>
      <c r="G67">
        <v>16.090023798121283</v>
      </c>
      <c r="H67">
        <v>1.8637587225971837</v>
      </c>
      <c r="I67">
        <v>0.93187936129859184</v>
      </c>
      <c r="J67">
        <v>6.1678424559464915</v>
      </c>
    </row>
    <row r="74" spans="1:16" ht="14.4" thickBot="1" x14ac:dyDescent="0.3"/>
    <row r="75" spans="1:16" x14ac:dyDescent="0.25">
      <c r="A75" s="22" t="s">
        <v>44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23"/>
    </row>
    <row r="76" spans="1:16" ht="15.6" x14ac:dyDescent="0.3">
      <c r="A76" s="4"/>
      <c r="B76" s="5"/>
      <c r="C76" s="68" t="s">
        <v>3</v>
      </c>
      <c r="D76" s="68"/>
      <c r="E76" s="68" t="s">
        <v>2</v>
      </c>
      <c r="F76" s="68"/>
      <c r="G76" s="68"/>
      <c r="H76" s="5"/>
      <c r="I76" s="5" t="s">
        <v>29</v>
      </c>
      <c r="J76" s="5"/>
      <c r="K76" s="5"/>
      <c r="L76" s="5" t="s">
        <v>30</v>
      </c>
      <c r="M76" s="5"/>
      <c r="N76" s="5"/>
      <c r="O76" s="5"/>
      <c r="P76" s="6"/>
    </row>
    <row r="77" spans="1:16" ht="15.6" x14ac:dyDescent="0.3">
      <c r="A77" s="4" t="s">
        <v>16</v>
      </c>
      <c r="B77" s="5" t="s">
        <v>6</v>
      </c>
      <c r="C77" s="5" t="s">
        <v>31</v>
      </c>
      <c r="D77" s="5" t="s">
        <v>32</v>
      </c>
      <c r="E77" s="5" t="s">
        <v>10</v>
      </c>
      <c r="F77" s="5" t="s">
        <v>34</v>
      </c>
      <c r="G77" s="5" t="s">
        <v>35</v>
      </c>
      <c r="H77" s="5" t="s">
        <v>37</v>
      </c>
      <c r="I77" s="5" t="s">
        <v>31</v>
      </c>
      <c r="J77" s="5" t="s">
        <v>32</v>
      </c>
      <c r="K77" s="5" t="s">
        <v>38</v>
      </c>
      <c r="L77" s="5" t="s">
        <v>31</v>
      </c>
      <c r="M77" s="5" t="s">
        <v>32</v>
      </c>
      <c r="N77" s="5" t="s">
        <v>38</v>
      </c>
      <c r="O77" s="5" t="s">
        <v>39</v>
      </c>
      <c r="P77" s="6" t="s">
        <v>14</v>
      </c>
    </row>
    <row r="78" spans="1:16" x14ac:dyDescent="0.25">
      <c r="A78" s="19">
        <v>1.1342592592592591E-3</v>
      </c>
      <c r="B78">
        <v>108</v>
      </c>
      <c r="C78">
        <v>330</v>
      </c>
      <c r="D78">
        <v>290</v>
      </c>
      <c r="E78">
        <v>6.11</v>
      </c>
      <c r="F78">
        <v>0.20699999999999999</v>
      </c>
      <c r="G78">
        <v>0.27100000000000002</v>
      </c>
      <c r="H78">
        <v>21.5</v>
      </c>
      <c r="I78">
        <f t="shared" ref="I78:J89" si="16">(1-(F78/$E78))*100</f>
        <v>96.612111292962354</v>
      </c>
      <c r="J78">
        <f t="shared" si="16"/>
        <v>95.56464811783961</v>
      </c>
      <c r="K78">
        <f>(1-((F78+G78)/2)/$E78)*100</f>
        <v>96.088379705400982</v>
      </c>
      <c r="L78">
        <f>(C78/1000)/(0.23*(B78/3600))</f>
        <v>47.826086956521742</v>
      </c>
      <c r="M78">
        <f>(D78/1000)/(0.23*(B78/3600))</f>
        <v>42.028985507246375</v>
      </c>
      <c r="N78">
        <f>(M78+L78)/2</f>
        <v>44.927536231884062</v>
      </c>
      <c r="O78">
        <f>100*(C78+D78)/10000</f>
        <v>6.2</v>
      </c>
      <c r="P78" s="9">
        <f>100*(((N78*0.46)/60))/2</f>
        <v>17.222222222222221</v>
      </c>
    </row>
    <row r="79" spans="1:16" x14ac:dyDescent="0.25">
      <c r="A79" s="20">
        <v>2.6041666666666665E-3</v>
      </c>
      <c r="B79">
        <v>225</v>
      </c>
      <c r="C79">
        <v>470</v>
      </c>
      <c r="D79">
        <v>385</v>
      </c>
      <c r="E79">
        <v>6.62</v>
      </c>
      <c r="F79">
        <v>6.3299999999999995E-2</v>
      </c>
      <c r="G79">
        <v>0.221</v>
      </c>
      <c r="H79">
        <v>22.2</v>
      </c>
      <c r="I79">
        <f t="shared" si="16"/>
        <v>99.043806646525681</v>
      </c>
      <c r="J79">
        <f>(1-(G79/$E79))*100</f>
        <v>96.661631419939582</v>
      </c>
      <c r="K79">
        <f t="shared" ref="K79:K89" si="17">(1-((F79+G79)/2)/$E79)*100</f>
        <v>97.852719033232631</v>
      </c>
      <c r="L79">
        <f>(C79/1000)/(0.23*((B79-B78)/3600))</f>
        <v>62.876254180601997</v>
      </c>
      <c r="M79">
        <f>(D79/1000)/(0.23*((B79-B78)/3600))</f>
        <v>51.505016722408023</v>
      </c>
      <c r="N79">
        <f>(M79+L79)/2</f>
        <v>57.19063545150501</v>
      </c>
      <c r="O79">
        <f>O78+100*(C79+D79)/10000</f>
        <v>14.75</v>
      </c>
      <c r="P79" s="9">
        <f t="shared" ref="P79:P89" si="18">100*(((N79*0.46)/60))/2</f>
        <v>21.923076923076923</v>
      </c>
    </row>
    <row r="80" spans="1:16" x14ac:dyDescent="0.25">
      <c r="A80" s="19">
        <v>4.155092592592593E-3</v>
      </c>
      <c r="B80">
        <f>(5*60)+59</f>
        <v>359</v>
      </c>
      <c r="C80">
        <v>500</v>
      </c>
      <c r="D80">
        <v>395</v>
      </c>
      <c r="E80">
        <v>7.17</v>
      </c>
      <c r="F80">
        <v>6.6600000000000006E-2</v>
      </c>
      <c r="G80">
        <v>0.23200000000000001</v>
      </c>
      <c r="H80">
        <v>22.9</v>
      </c>
      <c r="I80">
        <f t="shared" si="16"/>
        <v>99.071129707112974</v>
      </c>
      <c r="J80">
        <f t="shared" si="16"/>
        <v>96.764295676429569</v>
      </c>
      <c r="K80">
        <f t="shared" si="17"/>
        <v>97.917712691771257</v>
      </c>
      <c r="L80">
        <f t="shared" ref="L80:L89" si="19">(C80/1000)/(0.23*((B80-B79)/3600))</f>
        <v>58.403634003893572</v>
      </c>
      <c r="M80">
        <f t="shared" ref="M80:M89" si="20">(D80/1000)/(0.23*((B80-B79)/3600))</f>
        <v>46.138870863075923</v>
      </c>
      <c r="N80">
        <f t="shared" ref="N80:N89" si="21">(M80+L80)/2</f>
        <v>52.271252433484747</v>
      </c>
      <c r="O80">
        <f t="shared" ref="O80:O89" si="22">O79+100*(C80+D80)/10000</f>
        <v>23.7</v>
      </c>
      <c r="P80" s="9">
        <f t="shared" si="18"/>
        <v>20.03731343283582</v>
      </c>
    </row>
    <row r="81" spans="1:16" x14ac:dyDescent="0.25">
      <c r="A81" s="19">
        <v>5.6597222222222222E-3</v>
      </c>
      <c r="B81">
        <f>(8*60)+9</f>
        <v>489</v>
      </c>
      <c r="C81">
        <v>480</v>
      </c>
      <c r="D81">
        <v>370</v>
      </c>
      <c r="E81">
        <v>7.8</v>
      </c>
      <c r="F81">
        <v>7.2599999999999998E-2</v>
      </c>
      <c r="G81">
        <v>0.25600000000000001</v>
      </c>
      <c r="H81">
        <v>23.5</v>
      </c>
      <c r="I81">
        <f t="shared" si="16"/>
        <v>99.069230769230771</v>
      </c>
      <c r="J81">
        <f t="shared" si="16"/>
        <v>96.717948717948715</v>
      </c>
      <c r="K81">
        <f t="shared" si="17"/>
        <v>97.893589743589743</v>
      </c>
      <c r="L81">
        <f t="shared" si="19"/>
        <v>57.792642140468224</v>
      </c>
      <c r="M81">
        <f t="shared" si="20"/>
        <v>44.548494983277592</v>
      </c>
      <c r="N81">
        <f t="shared" si="21"/>
        <v>51.170568561872912</v>
      </c>
      <c r="O81">
        <f t="shared" si="22"/>
        <v>32.200000000000003</v>
      </c>
      <c r="P81" s="9">
        <f t="shared" si="18"/>
        <v>19.615384615384617</v>
      </c>
    </row>
    <row r="82" spans="1:16" x14ac:dyDescent="0.25">
      <c r="A82" s="19">
        <v>7.1759259259259259E-3</v>
      </c>
      <c r="B82">
        <f>600+20</f>
        <v>620</v>
      </c>
      <c r="C82">
        <v>490</v>
      </c>
      <c r="D82">
        <v>365</v>
      </c>
      <c r="E82">
        <v>8.83</v>
      </c>
      <c r="F82">
        <v>7.8700000000000006E-2</v>
      </c>
      <c r="G82">
        <v>0.28399999999999997</v>
      </c>
      <c r="H82">
        <v>24.1</v>
      </c>
      <c r="I82">
        <f t="shared" si="16"/>
        <v>99.108720271800678</v>
      </c>
      <c r="J82">
        <f t="shared" si="16"/>
        <v>96.783691959229898</v>
      </c>
      <c r="K82">
        <f t="shared" si="17"/>
        <v>97.946206115515295</v>
      </c>
      <c r="L82">
        <f t="shared" si="19"/>
        <v>58.546299369399264</v>
      </c>
      <c r="M82">
        <f t="shared" si="20"/>
        <v>43.611018918021898</v>
      </c>
      <c r="N82">
        <f t="shared" si="21"/>
        <v>51.078659143710581</v>
      </c>
      <c r="O82">
        <f t="shared" si="22"/>
        <v>40.75</v>
      </c>
      <c r="P82" s="9">
        <f t="shared" si="18"/>
        <v>19.580152671755719</v>
      </c>
    </row>
    <row r="83" spans="1:16" x14ac:dyDescent="0.25">
      <c r="A83" s="19">
        <v>8.7384259259259255E-3</v>
      </c>
      <c r="B83">
        <f>(12*60)+35</f>
        <v>755</v>
      </c>
      <c r="C83">
        <v>480</v>
      </c>
      <c r="D83">
        <v>360</v>
      </c>
      <c r="E83">
        <v>9.84</v>
      </c>
      <c r="F83">
        <v>9.2499999999999999E-2</v>
      </c>
      <c r="G83">
        <v>0.316</v>
      </c>
      <c r="H83">
        <v>24.4</v>
      </c>
      <c r="I83">
        <f t="shared" si="16"/>
        <v>99.059959349593498</v>
      </c>
      <c r="J83">
        <f t="shared" si="16"/>
        <v>96.788617886178869</v>
      </c>
      <c r="K83">
        <f t="shared" si="17"/>
        <v>97.924288617886177</v>
      </c>
      <c r="L83">
        <f t="shared" si="19"/>
        <v>55.65217391304347</v>
      </c>
      <c r="M83">
        <f t="shared" si="20"/>
        <v>41.739130434782602</v>
      </c>
      <c r="N83">
        <f t="shared" si="21"/>
        <v>48.695652173913032</v>
      </c>
      <c r="O83">
        <f t="shared" si="22"/>
        <v>49.15</v>
      </c>
      <c r="P83" s="9">
        <f t="shared" si="18"/>
        <v>18.666666666666661</v>
      </c>
    </row>
    <row r="84" spans="1:16" x14ac:dyDescent="0.25">
      <c r="A84" s="19">
        <v>1.0335648148148148E-2</v>
      </c>
      <c r="B84">
        <f>(14*60)+53</f>
        <v>893</v>
      </c>
      <c r="C84">
        <v>480</v>
      </c>
      <c r="D84">
        <v>365</v>
      </c>
      <c r="E84">
        <v>11.37</v>
      </c>
      <c r="F84">
        <v>0.1081</v>
      </c>
      <c r="G84">
        <v>0.35199999999999998</v>
      </c>
      <c r="H84">
        <v>24.8</v>
      </c>
      <c r="I84">
        <f t="shared" si="16"/>
        <v>99.049252418645565</v>
      </c>
      <c r="J84">
        <f t="shared" si="16"/>
        <v>96.90413368513633</v>
      </c>
      <c r="K84">
        <f t="shared" si="17"/>
        <v>97.976693051890933</v>
      </c>
      <c r="L84">
        <f t="shared" si="19"/>
        <v>54.442344045368614</v>
      </c>
      <c r="M84">
        <f t="shared" si="20"/>
        <v>41.398865784499051</v>
      </c>
      <c r="N84">
        <f t="shared" si="21"/>
        <v>47.920604914933833</v>
      </c>
      <c r="O84">
        <f t="shared" si="22"/>
        <v>57.599999999999994</v>
      </c>
      <c r="P84" s="9">
        <f t="shared" si="18"/>
        <v>18.369565217391301</v>
      </c>
    </row>
    <row r="85" spans="1:16" x14ac:dyDescent="0.25">
      <c r="A85" s="19">
        <v>1.2060185185185186E-2</v>
      </c>
      <c r="B85">
        <f>(17*60)+22</f>
        <v>1042</v>
      </c>
      <c r="C85">
        <v>500</v>
      </c>
      <c r="D85">
        <v>355</v>
      </c>
      <c r="E85">
        <v>13.26</v>
      </c>
      <c r="F85">
        <v>0.13370000000000001</v>
      </c>
      <c r="G85">
        <v>0.42499999999999999</v>
      </c>
      <c r="H85">
        <v>25</v>
      </c>
      <c r="I85">
        <f t="shared" si="16"/>
        <v>98.991704374057306</v>
      </c>
      <c r="J85">
        <f t="shared" si="16"/>
        <v>96.794871794871796</v>
      </c>
      <c r="K85">
        <f t="shared" si="17"/>
        <v>97.893288084464558</v>
      </c>
      <c r="L85">
        <f t="shared" si="19"/>
        <v>52.524073533702946</v>
      </c>
      <c r="M85">
        <f t="shared" si="20"/>
        <v>37.292092208929091</v>
      </c>
      <c r="N85">
        <f t="shared" si="21"/>
        <v>44.908082871316019</v>
      </c>
      <c r="O85">
        <f t="shared" si="22"/>
        <v>66.149999999999991</v>
      </c>
      <c r="P85" s="9">
        <f t="shared" si="18"/>
        <v>17.214765100671141</v>
      </c>
    </row>
    <row r="86" spans="1:16" x14ac:dyDescent="0.25">
      <c r="A86" s="19">
        <v>1.3703703703703704E-2</v>
      </c>
      <c r="B86">
        <f>(19*60)+44</f>
        <v>1184</v>
      </c>
      <c r="C86">
        <v>450</v>
      </c>
      <c r="D86">
        <v>310</v>
      </c>
      <c r="E86">
        <v>15.74</v>
      </c>
      <c r="F86">
        <v>0.16370000000000001</v>
      </c>
      <c r="G86">
        <v>0.48399999999999999</v>
      </c>
      <c r="H86">
        <v>25.1</v>
      </c>
      <c r="I86">
        <f t="shared" si="16"/>
        <v>98.959974587039383</v>
      </c>
      <c r="J86">
        <f t="shared" si="16"/>
        <v>96.92503176620076</v>
      </c>
      <c r="K86">
        <f t="shared" si="17"/>
        <v>97.942503176620079</v>
      </c>
      <c r="L86">
        <f t="shared" si="19"/>
        <v>49.601959583588489</v>
      </c>
      <c r="M86">
        <f t="shared" si="20"/>
        <v>34.170238824249843</v>
      </c>
      <c r="N86">
        <f t="shared" si="21"/>
        <v>41.886099203919166</v>
      </c>
      <c r="O86">
        <f t="shared" si="22"/>
        <v>73.749999999999986</v>
      </c>
      <c r="P86" s="9">
        <f t="shared" si="18"/>
        <v>16.056338028169012</v>
      </c>
    </row>
    <row r="87" spans="1:16" x14ac:dyDescent="0.25">
      <c r="A87" s="19">
        <v>1.554398148148148E-2</v>
      </c>
      <c r="B87">
        <f>(22*60)+23</f>
        <v>1343</v>
      </c>
      <c r="C87">
        <v>455</v>
      </c>
      <c r="D87">
        <v>310</v>
      </c>
      <c r="E87">
        <v>18.899999999999999</v>
      </c>
      <c r="F87">
        <v>0.19500000000000001</v>
      </c>
      <c r="G87">
        <v>0.57999999999999996</v>
      </c>
      <c r="H87">
        <v>25.2</v>
      </c>
      <c r="I87">
        <f t="shared" si="16"/>
        <v>98.968253968253975</v>
      </c>
      <c r="J87">
        <f t="shared" si="16"/>
        <v>96.931216931216937</v>
      </c>
      <c r="K87">
        <f t="shared" si="17"/>
        <v>97.949735449735456</v>
      </c>
      <c r="L87">
        <f t="shared" si="19"/>
        <v>44.790812141099259</v>
      </c>
      <c r="M87">
        <f t="shared" si="20"/>
        <v>30.516817063166528</v>
      </c>
      <c r="N87">
        <f t="shared" si="21"/>
        <v>37.653814602132897</v>
      </c>
      <c r="O87">
        <f t="shared" si="22"/>
        <v>81.399999999999991</v>
      </c>
      <c r="P87" s="9">
        <f t="shared" si="18"/>
        <v>14.433962264150946</v>
      </c>
    </row>
    <row r="88" spans="1:16" x14ac:dyDescent="0.25">
      <c r="A88" s="19">
        <v>1.7361111111111112E-2</v>
      </c>
      <c r="B88">
        <f>(25*60)</f>
        <v>1500</v>
      </c>
      <c r="C88">
        <v>380</v>
      </c>
      <c r="D88">
        <v>255</v>
      </c>
      <c r="E88">
        <v>25.4</v>
      </c>
      <c r="F88">
        <v>0.29499999999999998</v>
      </c>
      <c r="G88">
        <v>0.8</v>
      </c>
      <c r="H88">
        <v>25.2</v>
      </c>
      <c r="I88">
        <f t="shared" si="16"/>
        <v>98.838582677165348</v>
      </c>
      <c r="J88">
        <f t="shared" si="16"/>
        <v>96.850393700787393</v>
      </c>
      <c r="K88">
        <f t="shared" si="17"/>
        <v>97.844488188976371</v>
      </c>
      <c r="L88">
        <f t="shared" si="19"/>
        <v>37.884242592079751</v>
      </c>
      <c r="M88">
        <f t="shared" si="20"/>
        <v>25.422320686790361</v>
      </c>
      <c r="N88">
        <f t="shared" si="21"/>
        <v>31.653281639435058</v>
      </c>
      <c r="O88">
        <f t="shared" si="22"/>
        <v>87.749999999999986</v>
      </c>
      <c r="P88" s="9">
        <f t="shared" si="18"/>
        <v>12.13375796178344</v>
      </c>
    </row>
    <row r="89" spans="1:16" ht="14.4" thickBot="1" x14ac:dyDescent="0.3">
      <c r="A89" s="21">
        <v>1.9756944444444445E-2</v>
      </c>
      <c r="B89" s="11">
        <f>(28*60)+27</f>
        <v>1707</v>
      </c>
      <c r="C89" s="11">
        <v>390</v>
      </c>
      <c r="D89" s="11">
        <v>255</v>
      </c>
      <c r="E89" s="11">
        <v>34.5</v>
      </c>
      <c r="F89" s="11">
        <v>0.46</v>
      </c>
      <c r="G89" s="11">
        <v>1.1040000000000001</v>
      </c>
      <c r="H89" s="11">
        <v>25.2</v>
      </c>
      <c r="I89" s="11">
        <f t="shared" si="16"/>
        <v>98.666666666666671</v>
      </c>
      <c r="J89" s="11">
        <f t="shared" si="16"/>
        <v>96.8</v>
      </c>
      <c r="K89" s="11">
        <f t="shared" si="17"/>
        <v>97.733333333333334</v>
      </c>
      <c r="L89" s="11">
        <f t="shared" si="19"/>
        <v>29.48960302457467</v>
      </c>
      <c r="M89" s="11">
        <f t="shared" si="20"/>
        <v>19.281663516068054</v>
      </c>
      <c r="N89" s="11">
        <f t="shared" si="21"/>
        <v>24.385633270321364</v>
      </c>
      <c r="O89" s="11">
        <f t="shared" si="22"/>
        <v>94.199999999999989</v>
      </c>
      <c r="P89" s="13">
        <f t="shared" si="18"/>
        <v>9.3478260869565233</v>
      </c>
    </row>
    <row r="97" spans="1:20" ht="14.4" thickBot="1" x14ac:dyDescent="0.3"/>
    <row r="98" spans="1:20" ht="15.6" x14ac:dyDescent="0.3">
      <c r="A98" s="1"/>
      <c r="B98" s="2"/>
      <c r="C98" s="67" t="s">
        <v>3</v>
      </c>
      <c r="D98" s="67"/>
      <c r="E98" s="18"/>
      <c r="F98" s="67" t="s">
        <v>2</v>
      </c>
      <c r="G98" s="67"/>
      <c r="H98" s="67"/>
      <c r="I98" s="18"/>
      <c r="J98" s="2"/>
      <c r="K98" s="2" t="s">
        <v>29</v>
      </c>
      <c r="L98" s="2"/>
      <c r="M98" s="2"/>
      <c r="N98" s="2"/>
      <c r="O98" s="2" t="s">
        <v>30</v>
      </c>
      <c r="P98" s="2"/>
      <c r="Q98" s="2"/>
      <c r="R98" s="2"/>
      <c r="S98" s="2"/>
      <c r="T98" s="3"/>
    </row>
    <row r="99" spans="1:20" ht="15.6" x14ac:dyDescent="0.3">
      <c r="A99" s="4" t="s">
        <v>16</v>
      </c>
      <c r="B99" s="5" t="s">
        <v>6</v>
      </c>
      <c r="C99" s="5" t="s">
        <v>31</v>
      </c>
      <c r="D99" s="5" t="s">
        <v>32</v>
      </c>
      <c r="E99" s="5" t="s">
        <v>33</v>
      </c>
      <c r="F99" s="5" t="s">
        <v>10</v>
      </c>
      <c r="G99" s="5" t="s">
        <v>34</v>
      </c>
      <c r="H99" s="5" t="s">
        <v>35</v>
      </c>
      <c r="I99" s="5" t="s">
        <v>36</v>
      </c>
      <c r="J99" s="5" t="s">
        <v>37</v>
      </c>
      <c r="K99" s="5" t="s">
        <v>31</v>
      </c>
      <c r="L99" s="5" t="s">
        <v>32</v>
      </c>
      <c r="M99" s="5" t="s">
        <v>33</v>
      </c>
      <c r="N99" s="5" t="s">
        <v>38</v>
      </c>
      <c r="O99" s="5" t="s">
        <v>31</v>
      </c>
      <c r="P99" s="5" t="s">
        <v>32</v>
      </c>
      <c r="Q99" s="5" t="s">
        <v>33</v>
      </c>
      <c r="R99" s="5" t="s">
        <v>38</v>
      </c>
      <c r="S99" s="5" t="s">
        <v>39</v>
      </c>
      <c r="T99" s="6" t="s">
        <v>14</v>
      </c>
    </row>
    <row r="100" spans="1:20" x14ac:dyDescent="0.25">
      <c r="A100" s="19">
        <v>6.9444444444444447E-4</v>
      </c>
      <c r="B100">
        <v>60</v>
      </c>
      <c r="C100">
        <v>158</v>
      </c>
      <c r="D100">
        <v>206</v>
      </c>
      <c r="E100">
        <v>158</v>
      </c>
      <c r="F100">
        <v>5.65</v>
      </c>
      <c r="G100">
        <v>0.193</v>
      </c>
      <c r="H100">
        <v>0.25800000000000001</v>
      </c>
      <c r="I100">
        <v>0.25900000000000001</v>
      </c>
      <c r="J100">
        <v>20.5</v>
      </c>
      <c r="K100">
        <f>(1-(G100/$F100))*100</f>
        <v>96.584070796460182</v>
      </c>
      <c r="L100">
        <f>(1-(H100/$F100))*100</f>
        <v>95.43362831858407</v>
      </c>
      <c r="M100">
        <f>(1-(I100/$F100))*100</f>
        <v>95.415929203539832</v>
      </c>
      <c r="N100">
        <f>(1-((G100+H100+I100)/3)/$F100)*100</f>
        <v>95.811209439528028</v>
      </c>
      <c r="O100">
        <f>(C100/1000)/(0.23*(B100/3600))</f>
        <v>41.217391304347821</v>
      </c>
      <c r="P100">
        <f>(D100/1000)/(0.23*(B100/3600))</f>
        <v>53.739130434782602</v>
      </c>
      <c r="Q100">
        <f>(E100/1000)/(0.23*(B100/3600))</f>
        <v>41.217391304347821</v>
      </c>
      <c r="R100">
        <f>(P100+O100+Q100)/3</f>
        <v>45.391304347826086</v>
      </c>
      <c r="S100">
        <f>100*(C100+D100+E100)/10000</f>
        <v>5.22</v>
      </c>
      <c r="T100" s="9">
        <f>100*(((R100*0.69)/60))/3</f>
        <v>17.399999999999995</v>
      </c>
    </row>
    <row r="101" spans="1:20" x14ac:dyDescent="0.25">
      <c r="A101" s="20">
        <v>1.3888888888888889E-3</v>
      </c>
      <c r="B101">
        <v>120</v>
      </c>
      <c r="C101">
        <v>190</v>
      </c>
      <c r="D101">
        <v>208</v>
      </c>
      <c r="E101">
        <v>195</v>
      </c>
      <c r="F101">
        <v>5.97</v>
      </c>
      <c r="G101">
        <v>7.8299999999999995E-2</v>
      </c>
      <c r="H101">
        <v>0.18099999999999999</v>
      </c>
      <c r="I101">
        <v>0.189</v>
      </c>
      <c r="J101">
        <v>21</v>
      </c>
      <c r="K101">
        <f>(1-(G101/$F101))*100</f>
        <v>98.688442211055275</v>
      </c>
      <c r="L101">
        <f>(1-(H101/$F101))*100</f>
        <v>96.968174204355108</v>
      </c>
      <c r="M101">
        <f t="shared" ref="M101:M110" si="23">(1-(I101/$F101))*100</f>
        <v>96.834170854271349</v>
      </c>
      <c r="N101">
        <f t="shared" ref="N101:N110" si="24">(1-((G101+H101+I101)/3)/$F101)*100</f>
        <v>97.496929089893911</v>
      </c>
      <c r="O101">
        <f>(C101/1000)/(0.23*((B101-B100)/3600))</f>
        <v>49.565217391304344</v>
      </c>
      <c r="P101">
        <f>(D101/1000)/(0.23*((B101-B100)/3600))</f>
        <v>54.260869565217384</v>
      </c>
      <c r="Q101">
        <f>(E101/1000)/(0.23*((B101-B100)/3600))</f>
        <v>50.869565217391305</v>
      </c>
      <c r="R101">
        <f t="shared" ref="R101:R110" si="25">(P101+O101+Q101)/3</f>
        <v>51.565217391304344</v>
      </c>
      <c r="S101">
        <f>S100+100*(C101+D101+E101)/10000</f>
        <v>11.149999999999999</v>
      </c>
      <c r="T101" s="9">
        <f t="shared" ref="T101:T110" si="26">100*(((R101*0.69)/60))/3</f>
        <v>19.766666666666662</v>
      </c>
    </row>
    <row r="102" spans="1:20" x14ac:dyDescent="0.25">
      <c r="A102" s="19">
        <v>2.7777777777777779E-3</v>
      </c>
      <c r="B102">
        <v>240</v>
      </c>
      <c r="C102">
        <v>415</v>
      </c>
      <c r="D102">
        <v>355</v>
      </c>
      <c r="E102">
        <v>340</v>
      </c>
      <c r="F102">
        <v>6.57</v>
      </c>
      <c r="G102">
        <v>7.3700000000000002E-2</v>
      </c>
      <c r="H102">
        <v>0.20300000000000001</v>
      </c>
      <c r="I102">
        <v>0.186</v>
      </c>
      <c r="J102">
        <v>21.7</v>
      </c>
      <c r="K102">
        <f>(1-(G102/$F102))*100</f>
        <v>98.87823439878234</v>
      </c>
      <c r="L102">
        <f>(1-(H102/$F102))*100</f>
        <v>96.910197869101978</v>
      </c>
      <c r="M102">
        <f t="shared" si="23"/>
        <v>97.168949771689498</v>
      </c>
      <c r="N102">
        <f t="shared" si="24"/>
        <v>97.652460679857938</v>
      </c>
      <c r="O102">
        <f>(C102/1000)/(0.23*((B102-B101)/3600))</f>
        <v>54.130434782608688</v>
      </c>
      <c r="P102">
        <f>(D102/1000)/(0.23*((B102-B101)/3600))</f>
        <v>46.304347826086953</v>
      </c>
      <c r="Q102">
        <f t="shared" ref="Q102:Q110" si="27">(E102/1000)/(0.23*((B102-B101)/3600))</f>
        <v>44.347826086956523</v>
      </c>
      <c r="R102">
        <f t="shared" si="25"/>
        <v>48.260869565217384</v>
      </c>
      <c r="S102">
        <f t="shared" ref="S102:S110" si="28">S101+100*(C102+D102+E102)/10000</f>
        <v>22.25</v>
      </c>
      <c r="T102" s="9">
        <f t="shared" si="26"/>
        <v>18.499999999999996</v>
      </c>
    </row>
    <row r="103" spans="1:20" x14ac:dyDescent="0.25">
      <c r="A103" s="19">
        <v>4.1666666666666666E-3</v>
      </c>
      <c r="B103">
        <v>360</v>
      </c>
      <c r="C103">
        <v>415</v>
      </c>
      <c r="D103">
        <v>380</v>
      </c>
      <c r="E103">
        <v>360</v>
      </c>
      <c r="F103">
        <v>7.49</v>
      </c>
      <c r="G103">
        <v>7.6700000000000004E-2</v>
      </c>
      <c r="H103">
        <v>0.187</v>
      </c>
      <c r="I103">
        <v>0.187</v>
      </c>
      <c r="J103">
        <v>22.5</v>
      </c>
      <c r="K103">
        <f t="shared" ref="K103:L110" si="29">(1-(G103/$F103))*100</f>
        <v>98.975967957276367</v>
      </c>
      <c r="L103">
        <f t="shared" si="29"/>
        <v>97.503337783711615</v>
      </c>
      <c r="M103">
        <f t="shared" si="23"/>
        <v>97.503337783711615</v>
      </c>
      <c r="N103">
        <f t="shared" si="24"/>
        <v>97.994214508233199</v>
      </c>
      <c r="O103">
        <f t="shared" ref="O103:O110" si="30">(C103/1000)/(0.23*((B103-B102)/3600))</f>
        <v>54.130434782608688</v>
      </c>
      <c r="P103">
        <f t="shared" ref="P103:P110" si="31">(D103/1000)/(0.23*((B103-B102)/3600))</f>
        <v>49.565217391304344</v>
      </c>
      <c r="Q103">
        <f t="shared" si="27"/>
        <v>46.95652173913043</v>
      </c>
      <c r="R103">
        <f t="shared" si="25"/>
        <v>50.217391304347821</v>
      </c>
      <c r="S103">
        <f t="shared" si="28"/>
        <v>33.799999999999997</v>
      </c>
      <c r="T103" s="9">
        <f t="shared" si="26"/>
        <v>19.249999999999996</v>
      </c>
    </row>
    <row r="104" spans="1:20" x14ac:dyDescent="0.25">
      <c r="A104" s="19">
        <v>5.5555555555555558E-3</v>
      </c>
      <c r="B104">
        <f>8*60</f>
        <v>480</v>
      </c>
      <c r="C104">
        <v>410</v>
      </c>
      <c r="D104">
        <v>360</v>
      </c>
      <c r="E104">
        <v>345</v>
      </c>
      <c r="F104">
        <v>8.5299999999999994</v>
      </c>
      <c r="G104">
        <v>8.9499999999999996E-2</v>
      </c>
      <c r="H104">
        <v>0.215</v>
      </c>
      <c r="I104">
        <v>0.21299999999999999</v>
      </c>
      <c r="J104">
        <v>23</v>
      </c>
      <c r="K104">
        <f t="shared" si="29"/>
        <v>98.950762016412668</v>
      </c>
      <c r="L104">
        <f t="shared" si="29"/>
        <v>97.47948417350527</v>
      </c>
      <c r="M104">
        <f t="shared" si="23"/>
        <v>97.502930832356398</v>
      </c>
      <c r="N104">
        <f t="shared" si="24"/>
        <v>97.977725674091445</v>
      </c>
      <c r="O104">
        <f t="shared" si="30"/>
        <v>53.478260869565212</v>
      </c>
      <c r="P104">
        <f t="shared" si="31"/>
        <v>46.95652173913043</v>
      </c>
      <c r="Q104">
        <f t="shared" si="27"/>
        <v>44.999999999999993</v>
      </c>
      <c r="R104">
        <f t="shared" si="25"/>
        <v>48.478260869565212</v>
      </c>
      <c r="S104">
        <f t="shared" si="28"/>
        <v>44.949999999999996</v>
      </c>
      <c r="T104" s="9">
        <f t="shared" si="26"/>
        <v>18.583333333333329</v>
      </c>
    </row>
    <row r="105" spans="1:20" x14ac:dyDescent="0.25">
      <c r="A105" s="19">
        <v>6.9444444444444441E-3</v>
      </c>
      <c r="B105">
        <v>600</v>
      </c>
      <c r="C105">
        <v>400</v>
      </c>
      <c r="D105">
        <v>360</v>
      </c>
      <c r="E105">
        <v>340</v>
      </c>
      <c r="F105">
        <v>10.050000000000001</v>
      </c>
      <c r="G105">
        <v>0.108</v>
      </c>
      <c r="H105">
        <v>0.27200000000000002</v>
      </c>
      <c r="I105">
        <v>0.254</v>
      </c>
      <c r="J105">
        <v>23.6</v>
      </c>
      <c r="K105">
        <f t="shared" si="29"/>
        <v>98.925373134328353</v>
      </c>
      <c r="L105">
        <f t="shared" si="29"/>
        <v>97.293532338308452</v>
      </c>
      <c r="M105">
        <f t="shared" si="23"/>
        <v>97.472636815920396</v>
      </c>
      <c r="N105">
        <f t="shared" si="24"/>
        <v>97.897180762852415</v>
      </c>
      <c r="O105">
        <f t="shared" si="30"/>
        <v>52.173913043478258</v>
      </c>
      <c r="P105">
        <f t="shared" si="31"/>
        <v>46.95652173913043</v>
      </c>
      <c r="Q105">
        <f t="shared" si="27"/>
        <v>44.347826086956523</v>
      </c>
      <c r="R105">
        <f t="shared" si="25"/>
        <v>47.826086956521742</v>
      </c>
      <c r="S105">
        <f t="shared" si="28"/>
        <v>55.949999999999996</v>
      </c>
      <c r="T105" s="9">
        <f t="shared" si="26"/>
        <v>18.333333333333336</v>
      </c>
    </row>
    <row r="106" spans="1:20" x14ac:dyDescent="0.25">
      <c r="A106" s="19">
        <v>8.3333333333333332E-3</v>
      </c>
      <c r="B106">
        <f>12*60</f>
        <v>720</v>
      </c>
      <c r="C106">
        <v>380</v>
      </c>
      <c r="D106">
        <v>330</v>
      </c>
      <c r="E106">
        <v>310</v>
      </c>
      <c r="F106">
        <v>12.2</v>
      </c>
      <c r="G106">
        <v>0.13919999999999999</v>
      </c>
      <c r="H106">
        <v>0.32200000000000001</v>
      </c>
      <c r="I106">
        <v>0.30499999999999999</v>
      </c>
      <c r="K106">
        <v>0.38300000000000001</v>
      </c>
      <c r="L106">
        <v>0.38600000000000001</v>
      </c>
      <c r="M106">
        <f t="shared" si="23"/>
        <v>97.5</v>
      </c>
      <c r="N106">
        <f t="shared" si="24"/>
        <v>97.906557377049168</v>
      </c>
      <c r="O106">
        <f t="shared" si="30"/>
        <v>49.565217391304344</v>
      </c>
      <c r="P106">
        <f t="shared" si="31"/>
        <v>43.043478260869563</v>
      </c>
      <c r="Q106">
        <f t="shared" si="27"/>
        <v>40.434782608695649</v>
      </c>
      <c r="R106">
        <f t="shared" si="25"/>
        <v>44.347826086956523</v>
      </c>
      <c r="S106">
        <f t="shared" si="28"/>
        <v>66.149999999999991</v>
      </c>
      <c r="T106" s="9">
        <f t="shared" si="26"/>
        <v>17</v>
      </c>
    </row>
    <row r="107" spans="1:20" x14ac:dyDescent="0.25">
      <c r="A107" s="19">
        <v>9.7222222222222224E-3</v>
      </c>
      <c r="B107">
        <f>14*60</f>
        <v>840</v>
      </c>
      <c r="C107">
        <v>350</v>
      </c>
      <c r="D107">
        <v>300</v>
      </c>
      <c r="E107">
        <v>280</v>
      </c>
      <c r="F107">
        <v>15.5</v>
      </c>
      <c r="G107">
        <v>0.17630000000000001</v>
      </c>
      <c r="H107">
        <v>0.38300000000000001</v>
      </c>
      <c r="I107">
        <v>0.38600000000000001</v>
      </c>
      <c r="J107">
        <v>24.3</v>
      </c>
      <c r="K107">
        <f t="shared" si="29"/>
        <v>98.862580645161287</v>
      </c>
      <c r="L107">
        <f t="shared" si="29"/>
        <v>97.529032258064518</v>
      </c>
      <c r="M107">
        <f t="shared" si="23"/>
        <v>97.50967741935483</v>
      </c>
      <c r="N107">
        <f t="shared" si="24"/>
        <v>97.96709677419355</v>
      </c>
      <c r="O107">
        <f t="shared" si="30"/>
        <v>45.65217391304347</v>
      </c>
      <c r="P107">
        <f t="shared" si="31"/>
        <v>39.130434782608695</v>
      </c>
      <c r="Q107">
        <f t="shared" si="27"/>
        <v>36.521739130434781</v>
      </c>
      <c r="R107">
        <f t="shared" si="25"/>
        <v>40.434782608695649</v>
      </c>
      <c r="S107">
        <f t="shared" si="28"/>
        <v>75.449999999999989</v>
      </c>
      <c r="T107" s="9">
        <f t="shared" si="26"/>
        <v>15.499999999999998</v>
      </c>
    </row>
    <row r="108" spans="1:20" x14ac:dyDescent="0.25">
      <c r="A108" s="19">
        <v>1.1111111111111112E-2</v>
      </c>
      <c r="B108">
        <f>16*60</f>
        <v>960</v>
      </c>
      <c r="C108">
        <v>320</v>
      </c>
      <c r="D108">
        <v>260</v>
      </c>
      <c r="E108">
        <v>250</v>
      </c>
      <c r="F108">
        <v>17.96</v>
      </c>
      <c r="G108">
        <v>0.21</v>
      </c>
      <c r="H108">
        <v>0.48099999999999998</v>
      </c>
      <c r="I108">
        <v>0.48</v>
      </c>
      <c r="J108">
        <v>24.4</v>
      </c>
      <c r="K108">
        <f t="shared" si="29"/>
        <v>98.830734966592431</v>
      </c>
      <c r="L108">
        <f t="shared" si="29"/>
        <v>97.321826280623611</v>
      </c>
      <c r="M108">
        <f t="shared" si="23"/>
        <v>97.327394209354125</v>
      </c>
      <c r="N108">
        <f t="shared" si="24"/>
        <v>97.826651818856732</v>
      </c>
      <c r="O108">
        <f t="shared" si="30"/>
        <v>41.739130434782609</v>
      </c>
      <c r="P108">
        <f t="shared" si="31"/>
        <v>33.913043478260867</v>
      </c>
      <c r="Q108">
        <f t="shared" si="27"/>
        <v>32.608695652173914</v>
      </c>
      <c r="R108">
        <f t="shared" si="25"/>
        <v>36.086956521739125</v>
      </c>
      <c r="S108">
        <f t="shared" si="28"/>
        <v>83.749999999999986</v>
      </c>
      <c r="T108" s="9">
        <f t="shared" si="26"/>
        <v>13.83333333333333</v>
      </c>
    </row>
    <row r="109" spans="1:20" x14ac:dyDescent="0.25">
      <c r="A109" s="19">
        <v>1.2499999999999999E-2</v>
      </c>
      <c r="B109">
        <f>18*60</f>
        <v>1080</v>
      </c>
      <c r="C109">
        <v>270</v>
      </c>
      <c r="D109">
        <v>220</v>
      </c>
      <c r="E109">
        <v>205</v>
      </c>
      <c r="F109">
        <v>24</v>
      </c>
      <c r="G109">
        <v>0.28699999999999998</v>
      </c>
      <c r="H109">
        <v>0.62</v>
      </c>
      <c r="I109">
        <v>0.61599999999999999</v>
      </c>
      <c r="J109">
        <v>24.4</v>
      </c>
      <c r="K109">
        <f t="shared" si="29"/>
        <v>98.804166666666674</v>
      </c>
      <c r="L109">
        <f t="shared" si="29"/>
        <v>97.416666666666657</v>
      </c>
      <c r="M109">
        <f t="shared" si="23"/>
        <v>97.433333333333337</v>
      </c>
      <c r="N109">
        <f t="shared" si="24"/>
        <v>97.884722222222223</v>
      </c>
      <c r="O109">
        <f t="shared" si="30"/>
        <v>35.217391304347828</v>
      </c>
      <c r="P109">
        <f t="shared" si="31"/>
        <v>28.695652173913043</v>
      </c>
      <c r="Q109">
        <f t="shared" si="27"/>
        <v>26.739130434782606</v>
      </c>
      <c r="R109">
        <f t="shared" si="25"/>
        <v>30.217391304347828</v>
      </c>
      <c r="S109">
        <f t="shared" si="28"/>
        <v>90.699999999999989</v>
      </c>
      <c r="T109" s="9">
        <f t="shared" si="26"/>
        <v>11.583333333333334</v>
      </c>
    </row>
    <row r="110" spans="1:20" ht="14.4" thickBot="1" x14ac:dyDescent="0.3">
      <c r="A110" s="21">
        <v>1.3483796296296298E-2</v>
      </c>
      <c r="B110" s="11">
        <f>19*60+25</f>
        <v>1165</v>
      </c>
      <c r="C110" s="11">
        <v>150</v>
      </c>
      <c r="D110" s="11">
        <v>125</v>
      </c>
      <c r="E110" s="11">
        <v>120</v>
      </c>
      <c r="F110" s="11">
        <v>27.9</v>
      </c>
      <c r="G110" s="11">
        <v>0.39100000000000001</v>
      </c>
      <c r="H110" s="11">
        <v>0.79200000000000004</v>
      </c>
      <c r="I110" s="11">
        <v>0.755</v>
      </c>
      <c r="J110" s="11">
        <v>24.5</v>
      </c>
      <c r="K110" s="11">
        <f t="shared" si="29"/>
        <v>98.598566308243733</v>
      </c>
      <c r="L110" s="11">
        <f t="shared" si="29"/>
        <v>97.161290322580641</v>
      </c>
      <c r="M110" s="11">
        <f t="shared" si="23"/>
        <v>97.29390681003585</v>
      </c>
      <c r="N110" s="11">
        <f t="shared" si="24"/>
        <v>97.68458781362007</v>
      </c>
      <c r="O110" s="11">
        <f t="shared" si="30"/>
        <v>27.621483375959077</v>
      </c>
      <c r="P110" s="11">
        <f t="shared" si="31"/>
        <v>23.017902813299234</v>
      </c>
      <c r="Q110" s="11">
        <f t="shared" si="27"/>
        <v>22.097186700767264</v>
      </c>
      <c r="R110" s="11">
        <f t="shared" si="25"/>
        <v>24.245524296675189</v>
      </c>
      <c r="S110" s="11">
        <f t="shared" si="28"/>
        <v>94.649999999999991</v>
      </c>
      <c r="T110" s="13">
        <f t="shared" si="26"/>
        <v>9.2941176470588207</v>
      </c>
    </row>
    <row r="113" spans="1:13" x14ac:dyDescent="0.25">
      <c r="A113" t="s">
        <v>168</v>
      </c>
    </row>
    <row r="114" spans="1:13" ht="14.4" thickBot="1" x14ac:dyDescent="0.3"/>
    <row r="115" spans="1:13" x14ac:dyDescent="0.25">
      <c r="A115" s="22"/>
      <c r="B115" s="16" t="s">
        <v>45</v>
      </c>
      <c r="C115" s="16" t="s">
        <v>46</v>
      </c>
      <c r="D115" s="16" t="s">
        <v>18</v>
      </c>
      <c r="E115" s="16" t="s">
        <v>19</v>
      </c>
      <c r="F115" s="16" t="s">
        <v>20</v>
      </c>
      <c r="G115" s="16" t="s">
        <v>21</v>
      </c>
      <c r="H115" s="16" t="s">
        <v>22</v>
      </c>
      <c r="I115" s="16" t="s">
        <v>47</v>
      </c>
      <c r="J115" s="16" t="s">
        <v>48</v>
      </c>
      <c r="K115" s="16" t="s">
        <v>49</v>
      </c>
      <c r="L115" s="16" t="s">
        <v>50</v>
      </c>
      <c r="M115" s="23" t="s">
        <v>51</v>
      </c>
    </row>
    <row r="116" spans="1:13" x14ac:dyDescent="0.25">
      <c r="A116" s="7"/>
      <c r="B116" s="89">
        <v>0.23</v>
      </c>
      <c r="C116" s="89">
        <v>1</v>
      </c>
      <c r="D116" s="89">
        <v>30</v>
      </c>
      <c r="E116" s="89">
        <v>1.6666666666666667E-5</v>
      </c>
      <c r="F116" s="89">
        <v>3</v>
      </c>
      <c r="G116" s="89">
        <v>50</v>
      </c>
      <c r="H116" s="89">
        <v>141600</v>
      </c>
      <c r="I116" s="89">
        <v>3.9333333333333331E-2</v>
      </c>
      <c r="J116" s="89">
        <v>3.9333333333333331</v>
      </c>
      <c r="K116" s="89">
        <v>4.9166666666666661</v>
      </c>
      <c r="L116" s="89">
        <v>2.806889671750358E-2</v>
      </c>
      <c r="M116" s="9">
        <v>100</v>
      </c>
    </row>
    <row r="117" spans="1:13" x14ac:dyDescent="0.25">
      <c r="A117" s="7" t="s">
        <v>52</v>
      </c>
      <c r="B117" s="89">
        <v>0.46</v>
      </c>
      <c r="C117" s="89">
        <v>2</v>
      </c>
      <c r="D117" s="89">
        <v>30</v>
      </c>
      <c r="E117" s="89">
        <v>1.6666666666666667E-5</v>
      </c>
      <c r="F117" s="89">
        <v>3</v>
      </c>
      <c r="G117" s="89">
        <v>50</v>
      </c>
      <c r="H117" s="89">
        <v>66000</v>
      </c>
      <c r="I117" s="89">
        <v>1.8333333333333333E-2</v>
      </c>
      <c r="J117" s="89">
        <v>1.8333333333333333</v>
      </c>
      <c r="K117" s="89">
        <v>2.2916666666666665</v>
      </c>
      <c r="L117" s="89">
        <v>2.806889671750358E-2</v>
      </c>
      <c r="M117" s="9">
        <v>200</v>
      </c>
    </row>
    <row r="118" spans="1:13" x14ac:dyDescent="0.25">
      <c r="A118" s="7" t="s">
        <v>52</v>
      </c>
      <c r="B118" s="89">
        <v>0.69</v>
      </c>
      <c r="C118" s="89">
        <v>3</v>
      </c>
      <c r="D118" s="89">
        <v>30</v>
      </c>
      <c r="E118" s="89">
        <v>1.6666666666666667E-5</v>
      </c>
      <c r="F118" s="89">
        <v>3</v>
      </c>
      <c r="G118" s="89">
        <v>50</v>
      </c>
      <c r="H118" s="89">
        <v>45000</v>
      </c>
      <c r="I118" s="89">
        <v>1.2500000000000001E-2</v>
      </c>
      <c r="J118" s="89">
        <v>1.25</v>
      </c>
      <c r="K118" s="89">
        <v>1.5625</v>
      </c>
      <c r="L118" s="89">
        <v>2.806889671750358E-2</v>
      </c>
      <c r="M118" s="9">
        <v>300</v>
      </c>
    </row>
    <row r="119" spans="1:13" x14ac:dyDescent="0.25">
      <c r="A119" s="7" t="s">
        <v>53</v>
      </c>
      <c r="B119" s="89">
        <v>0.46</v>
      </c>
      <c r="C119" s="89">
        <v>2</v>
      </c>
      <c r="D119" s="89">
        <v>30</v>
      </c>
      <c r="E119" s="89">
        <v>3.3333333333333335E-5</v>
      </c>
      <c r="F119" s="89">
        <v>3</v>
      </c>
      <c r="G119" s="89">
        <v>100</v>
      </c>
      <c r="H119" s="89">
        <v>142150</v>
      </c>
      <c r="I119" s="89">
        <v>3.9486111111111111E-2</v>
      </c>
      <c r="J119" s="89">
        <v>3.9486111111111111</v>
      </c>
      <c r="K119" s="89">
        <v>4.9357638888888893</v>
      </c>
      <c r="L119" s="89">
        <v>2.806889671750358E-2</v>
      </c>
      <c r="M119" s="9">
        <v>200</v>
      </c>
    </row>
    <row r="120" spans="1:13" ht="14.4" thickBot="1" x14ac:dyDescent="0.3">
      <c r="A120" s="10" t="s">
        <v>53</v>
      </c>
      <c r="B120" s="11">
        <v>0.69</v>
      </c>
      <c r="C120" s="11">
        <v>3</v>
      </c>
      <c r="D120" s="11">
        <v>30</v>
      </c>
      <c r="E120" s="11">
        <v>5.0000000000000002E-5</v>
      </c>
      <c r="F120" s="11">
        <v>3</v>
      </c>
      <c r="G120" s="11">
        <v>150</v>
      </c>
      <c r="H120" s="11">
        <v>144000</v>
      </c>
      <c r="I120" s="11">
        <v>0.04</v>
      </c>
      <c r="J120" s="11">
        <v>4</v>
      </c>
      <c r="K120" s="11">
        <v>5</v>
      </c>
      <c r="L120" s="11">
        <v>2.8068896717503584E-2</v>
      </c>
      <c r="M120" s="13">
        <v>300</v>
      </c>
    </row>
  </sheetData>
  <mergeCells count="8">
    <mergeCell ref="C98:D98"/>
    <mergeCell ref="F98:H98"/>
    <mergeCell ref="C7:D7"/>
    <mergeCell ref="F7:H7"/>
    <mergeCell ref="C25:D25"/>
    <mergeCell ref="E25:G25"/>
    <mergeCell ref="C76:D76"/>
    <mergeCell ref="E76:G7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67ED-74EF-402A-B121-3C81EA74C25C}">
  <dimension ref="A1:BA63"/>
  <sheetViews>
    <sheetView topLeftCell="A22" zoomScale="40" zoomScaleNormal="40" workbookViewId="0">
      <selection activeCell="V23" sqref="V23"/>
    </sheetView>
  </sheetViews>
  <sheetFormatPr defaultRowHeight="13.8" x14ac:dyDescent="0.25"/>
  <cols>
    <col min="1" max="1" width="22.3984375" bestFit="1" customWidth="1"/>
    <col min="2" max="2" width="19" bestFit="1" customWidth="1"/>
    <col min="3" max="3" width="16.69921875" bestFit="1" customWidth="1"/>
    <col min="5" max="5" width="21.296875" bestFit="1" customWidth="1"/>
    <col min="6" max="6" width="17.09765625" bestFit="1" customWidth="1"/>
    <col min="7" max="7" width="14.296875" bestFit="1" customWidth="1"/>
    <col min="8" max="8" width="19.5" bestFit="1" customWidth="1"/>
    <col min="9" max="9" width="22.69921875" bestFit="1" customWidth="1"/>
    <col min="10" max="10" width="26.59765625" bestFit="1" customWidth="1"/>
    <col min="11" max="11" width="11.59765625" bestFit="1" customWidth="1"/>
    <col min="12" max="12" width="18.59765625" bestFit="1" customWidth="1"/>
    <col min="13" max="13" width="29.796875" bestFit="1" customWidth="1"/>
    <col min="14" max="14" width="12.296875" bestFit="1" customWidth="1"/>
    <col min="15" max="15" width="14" bestFit="1" customWidth="1"/>
    <col min="16" max="16" width="10.59765625" bestFit="1" customWidth="1"/>
    <col min="17" max="17" width="12.69921875" bestFit="1" customWidth="1"/>
    <col min="18" max="18" width="24.3984375" bestFit="1" customWidth="1"/>
    <col min="19" max="19" width="22.5" bestFit="1" customWidth="1"/>
    <col min="20" max="20" width="22.296875" bestFit="1" customWidth="1"/>
    <col min="21" max="21" width="32.19921875" bestFit="1" customWidth="1"/>
    <col min="22" max="22" width="29.69921875" bestFit="1" customWidth="1"/>
    <col min="23" max="23" width="10.69921875" bestFit="1" customWidth="1"/>
  </cols>
  <sheetData>
    <row r="1" spans="1:53" x14ac:dyDescent="0.25">
      <c r="H1" s="22"/>
      <c r="I1" s="24" t="s">
        <v>10</v>
      </c>
      <c r="J1" s="25" t="s">
        <v>54</v>
      </c>
    </row>
    <row r="2" spans="1:53" x14ac:dyDescent="0.25">
      <c r="H2" s="7" t="s">
        <v>55</v>
      </c>
      <c r="I2">
        <v>3.68</v>
      </c>
      <c r="J2" s="9">
        <v>12.6</v>
      </c>
    </row>
    <row r="3" spans="1:53" ht="24.6" x14ac:dyDescent="0.4">
      <c r="H3" s="7" t="s">
        <v>56</v>
      </c>
      <c r="I3">
        <v>2150</v>
      </c>
      <c r="J3" s="9">
        <v>13400</v>
      </c>
      <c r="AV3" s="41" t="s">
        <v>82</v>
      </c>
    </row>
    <row r="4" spans="1:53" ht="14.4" thickBot="1" x14ac:dyDescent="0.3">
      <c r="H4" s="7" t="s">
        <v>57</v>
      </c>
      <c r="I4">
        <v>147</v>
      </c>
      <c r="J4" s="9">
        <v>560</v>
      </c>
    </row>
    <row r="5" spans="1:53" x14ac:dyDescent="0.25">
      <c r="H5" s="7" t="s">
        <v>58</v>
      </c>
      <c r="I5">
        <v>1900</v>
      </c>
      <c r="J5" s="9">
        <v>4000</v>
      </c>
      <c r="AX5" s="78" t="s">
        <v>83</v>
      </c>
      <c r="AY5" s="79"/>
      <c r="AZ5" s="22" t="s">
        <v>84</v>
      </c>
      <c r="BA5" s="23">
        <v>32.274000000000001</v>
      </c>
    </row>
    <row r="6" spans="1:53" ht="14.4" thickBot="1" x14ac:dyDescent="0.3">
      <c r="H6" s="7" t="s">
        <v>59</v>
      </c>
      <c r="I6">
        <v>85</v>
      </c>
      <c r="J6" s="9">
        <v>290</v>
      </c>
      <c r="AX6" s="80"/>
      <c r="AY6" s="81"/>
      <c r="AZ6" s="10" t="s">
        <v>85</v>
      </c>
      <c r="BA6" s="13">
        <v>13.41</v>
      </c>
    </row>
    <row r="7" spans="1:53" ht="27" thickBot="1" x14ac:dyDescent="0.3">
      <c r="H7" s="10" t="s">
        <v>60</v>
      </c>
      <c r="I7" s="11">
        <v>8.14</v>
      </c>
      <c r="J7" s="13">
        <v>8.15</v>
      </c>
      <c r="AV7" s="42" t="s">
        <v>86</v>
      </c>
      <c r="AW7" s="43" t="s">
        <v>87</v>
      </c>
      <c r="AX7" s="82" t="s">
        <v>88</v>
      </c>
      <c r="AY7" s="82"/>
      <c r="AZ7" s="82" t="s">
        <v>89</v>
      </c>
      <c r="BA7" s="82"/>
    </row>
    <row r="8" spans="1:53" ht="27" thickBot="1" x14ac:dyDescent="0.3">
      <c r="AV8" s="69" t="s">
        <v>90</v>
      </c>
      <c r="AW8" s="44" t="s">
        <v>91</v>
      </c>
      <c r="AX8" s="71">
        <v>8001</v>
      </c>
      <c r="AY8" s="71"/>
      <c r="AZ8" s="72">
        <f>AX8*0.4155047407</f>
        <v>3324.4534303406999</v>
      </c>
      <c r="BA8" s="72"/>
    </row>
    <row r="9" spans="1:53" ht="26.4" x14ac:dyDescent="0.3">
      <c r="A9" s="1" t="s">
        <v>3</v>
      </c>
      <c r="B9" s="2" t="s">
        <v>4</v>
      </c>
      <c r="C9" s="2" t="s">
        <v>16</v>
      </c>
      <c r="D9" s="2" t="s">
        <v>6</v>
      </c>
      <c r="E9" s="2" t="s">
        <v>7</v>
      </c>
      <c r="F9" s="2" t="s">
        <v>15</v>
      </c>
      <c r="G9" s="2" t="s">
        <v>9</v>
      </c>
      <c r="H9" s="2" t="s">
        <v>61</v>
      </c>
      <c r="I9" s="2" t="s">
        <v>62</v>
      </c>
      <c r="J9" s="2" t="s">
        <v>63</v>
      </c>
      <c r="K9" s="2" t="s">
        <v>12</v>
      </c>
      <c r="L9" s="2" t="s">
        <v>13</v>
      </c>
      <c r="M9" s="2" t="s">
        <v>14</v>
      </c>
      <c r="N9" s="2" t="s">
        <v>64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60</v>
      </c>
      <c r="U9" s="2" t="s">
        <v>70</v>
      </c>
      <c r="V9" s="3" t="s">
        <v>71</v>
      </c>
      <c r="AV9" s="70"/>
      <c r="AW9" s="44" t="s">
        <v>92</v>
      </c>
      <c r="AX9" s="73">
        <v>1641</v>
      </c>
      <c r="AY9" s="73"/>
      <c r="AZ9" s="74">
        <f t="shared" ref="AZ9:AZ20" si="0">AX9*0.4155047407</f>
        <v>681.84327948869998</v>
      </c>
      <c r="BA9" s="74"/>
    </row>
    <row r="10" spans="1:53" ht="26.4" x14ac:dyDescent="0.25">
      <c r="A10" s="7">
        <f>370.3-232.22+5</f>
        <v>143.08000000000001</v>
      </c>
      <c r="B10">
        <f>100*(A10/2865)</f>
        <v>4.9940663176265279</v>
      </c>
      <c r="C10" s="14">
        <v>4.8611111111111104E-4</v>
      </c>
      <c r="D10" s="17">
        <v>42</v>
      </c>
      <c r="E10">
        <f>A10/D10</f>
        <v>3.4066666666666672</v>
      </c>
      <c r="F10">
        <f>((E10/1000)*3600)/0.23</f>
        <v>53.321739130434786</v>
      </c>
      <c r="G10">
        <v>30</v>
      </c>
      <c r="H10">
        <v>24.2</v>
      </c>
      <c r="I10">
        <v>3.86</v>
      </c>
      <c r="J10">
        <v>0.1</v>
      </c>
      <c r="K10">
        <f>100*(1-(J10/I10))</f>
        <v>97.409326424870471</v>
      </c>
      <c r="L10">
        <v>1</v>
      </c>
      <c r="M10">
        <f>100*((E10*60)/1000)/L10</f>
        <v>20.440000000000001</v>
      </c>
      <c r="N10">
        <v>71</v>
      </c>
      <c r="O10">
        <v>10.8</v>
      </c>
      <c r="P10">
        <v>510</v>
      </c>
      <c r="Q10">
        <f>(1-(P10/$I$5))*100</f>
        <v>73.15789473684211</v>
      </c>
      <c r="R10">
        <v>0.09</v>
      </c>
      <c r="S10">
        <f>(1-(R10/$I$6))*100</f>
        <v>99.89411764705882</v>
      </c>
      <c r="T10">
        <v>8.51</v>
      </c>
      <c r="U10">
        <v>0</v>
      </c>
      <c r="V10" s="9">
        <f>LOG10(0.01)</f>
        <v>-2</v>
      </c>
      <c r="AV10" s="70"/>
      <c r="AW10" s="44" t="s">
        <v>93</v>
      </c>
      <c r="AX10" s="73">
        <v>661</v>
      </c>
      <c r="AY10" s="73"/>
      <c r="AZ10" s="74">
        <f t="shared" si="0"/>
        <v>274.64863360269999</v>
      </c>
      <c r="BA10" s="74"/>
    </row>
    <row r="11" spans="1:53" ht="27" thickBot="1" x14ac:dyDescent="0.3">
      <c r="A11" s="7">
        <f>A10+5+389.77-251.67</f>
        <v>286.18000000000006</v>
      </c>
      <c r="B11">
        <f t="shared" ref="B11:B27" si="1">100*(A11/2865)</f>
        <v>9.9888307155322895</v>
      </c>
      <c r="C11" s="14">
        <v>9.6064814814814808E-4</v>
      </c>
      <c r="D11" s="17">
        <f>83</f>
        <v>83</v>
      </c>
      <c r="E11">
        <f t="shared" ref="E11:E27" si="2">A11/D11</f>
        <v>3.4479518072289164</v>
      </c>
      <c r="F11">
        <f t="shared" ref="F11:F26" si="3">((E11/1000)*3600)/0.23</f>
        <v>53.96794133053956</v>
      </c>
      <c r="G11">
        <v>30</v>
      </c>
      <c r="H11">
        <v>24.3</v>
      </c>
      <c r="I11">
        <v>4.01</v>
      </c>
      <c r="J11">
        <v>4.8000000000000001E-2</v>
      </c>
      <c r="K11">
        <f>100*(1-(J11/I11))</f>
        <v>98.802992518703235</v>
      </c>
      <c r="L11">
        <v>1</v>
      </c>
      <c r="M11">
        <f t="shared" ref="M11:M27" si="4">100*((E11*60)/1000)/L11</f>
        <v>20.687710843373498</v>
      </c>
      <c r="N11">
        <v>79</v>
      </c>
      <c r="O11">
        <v>8.8000000000000007</v>
      </c>
      <c r="P11">
        <v>470</v>
      </c>
      <c r="Q11">
        <f t="shared" ref="Q11:Q27" si="5">(1-(P11/$I$5))*100</f>
        <v>75.26315789473685</v>
      </c>
      <c r="R11">
        <v>7.0000000000000007E-2</v>
      </c>
      <c r="S11">
        <f t="shared" ref="S11:S27" si="6">(1-(R11/$I$6))*100</f>
        <v>99.917647058823533</v>
      </c>
      <c r="T11">
        <v>8.6300000000000008</v>
      </c>
      <c r="U11">
        <v>0</v>
      </c>
      <c r="V11" s="9">
        <f t="shared" ref="V11:V27" si="7">LOG10(0.01)</f>
        <v>-2</v>
      </c>
      <c r="AV11" s="70"/>
      <c r="AW11" s="44" t="s">
        <v>94</v>
      </c>
      <c r="AX11" s="73">
        <v>2632</v>
      </c>
      <c r="AY11" s="73"/>
      <c r="AZ11" s="74">
        <f t="shared" si="0"/>
        <v>1093.6084775223999</v>
      </c>
      <c r="BA11" s="74"/>
    </row>
    <row r="12" spans="1:53" ht="26.4" x14ac:dyDescent="0.3">
      <c r="A12" s="7">
        <f>A11+5+371.79-232.05</f>
        <v>430.92</v>
      </c>
      <c r="B12">
        <f t="shared" si="1"/>
        <v>15.04083769633508</v>
      </c>
      <c r="C12" s="14">
        <v>1.423611111111111E-3</v>
      </c>
      <c r="D12" s="17">
        <f>123</f>
        <v>123</v>
      </c>
      <c r="E12">
        <f t="shared" si="2"/>
        <v>3.5034146341463415</v>
      </c>
      <c r="F12">
        <f t="shared" si="3"/>
        <v>54.836055143160124</v>
      </c>
      <c r="G12">
        <v>30</v>
      </c>
      <c r="H12">
        <v>24.5</v>
      </c>
      <c r="I12">
        <v>4.16</v>
      </c>
      <c r="J12">
        <v>4.5999999999999999E-2</v>
      </c>
      <c r="K12">
        <f t="shared" ref="K12:K27" si="8">100*(1-(J12/I12))</f>
        <v>98.894230769230774</v>
      </c>
      <c r="L12">
        <v>1</v>
      </c>
      <c r="M12">
        <f t="shared" si="4"/>
        <v>21.020487804878048</v>
      </c>
      <c r="N12">
        <v>75</v>
      </c>
      <c r="O12">
        <v>9.1999999999999993</v>
      </c>
      <c r="P12">
        <v>480</v>
      </c>
      <c r="Q12">
        <f t="shared" si="5"/>
        <v>74.73684210526315</v>
      </c>
      <c r="R12">
        <v>0.06</v>
      </c>
      <c r="S12">
        <f t="shared" si="6"/>
        <v>99.929411764705875</v>
      </c>
      <c r="T12">
        <v>8.66</v>
      </c>
      <c r="U12">
        <v>0</v>
      </c>
      <c r="V12" s="9">
        <f t="shared" si="7"/>
        <v>-2</v>
      </c>
      <c r="Y12" s="1" t="s">
        <v>0</v>
      </c>
      <c r="Z12" s="2"/>
      <c r="AA12" s="2">
        <v>8.76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/>
      <c r="AV12" s="70"/>
      <c r="AW12" s="44" t="s">
        <v>95</v>
      </c>
      <c r="AX12" s="73">
        <v>783</v>
      </c>
      <c r="AY12" s="73"/>
      <c r="AZ12" s="74">
        <f t="shared" si="0"/>
        <v>325.34021196809999</v>
      </c>
      <c r="BA12" s="74"/>
    </row>
    <row r="13" spans="1:53" ht="39.6" x14ac:dyDescent="0.3">
      <c r="A13" s="7">
        <f>A12+5+391.22-250.71</f>
        <v>576.43000000000006</v>
      </c>
      <c r="B13">
        <f t="shared" si="1"/>
        <v>20.11972076788831</v>
      </c>
      <c r="C13" s="14">
        <v>1.9328703703703704E-3</v>
      </c>
      <c r="D13" s="17">
        <f>167</f>
        <v>167</v>
      </c>
      <c r="E13">
        <f t="shared" si="2"/>
        <v>3.4516766467065874</v>
      </c>
      <c r="F13">
        <f t="shared" si="3"/>
        <v>54.026243165842239</v>
      </c>
      <c r="G13">
        <v>30</v>
      </c>
      <c r="H13">
        <v>24.6</v>
      </c>
      <c r="I13">
        <v>4.32</v>
      </c>
      <c r="J13">
        <v>4.5999999999999999E-2</v>
      </c>
      <c r="K13">
        <f t="shared" si="8"/>
        <v>98.935185185185176</v>
      </c>
      <c r="L13">
        <v>1</v>
      </c>
      <c r="M13">
        <f t="shared" si="4"/>
        <v>20.710059880239523</v>
      </c>
      <c r="N13">
        <v>75</v>
      </c>
      <c r="O13">
        <v>8.6999999999999993</v>
      </c>
      <c r="P13">
        <v>490</v>
      </c>
      <c r="Q13">
        <f t="shared" si="5"/>
        <v>74.210526315789465</v>
      </c>
      <c r="R13">
        <v>7.0000000000000007E-2</v>
      </c>
      <c r="S13">
        <f t="shared" si="6"/>
        <v>99.917647058823533</v>
      </c>
      <c r="T13">
        <v>8.68</v>
      </c>
      <c r="U13">
        <v>0</v>
      </c>
      <c r="V13" s="9">
        <f t="shared" si="7"/>
        <v>-2</v>
      </c>
      <c r="Y13" s="4"/>
      <c r="Z13" s="5"/>
      <c r="AA13" s="5"/>
      <c r="AB13" s="5"/>
      <c r="AC13" s="5"/>
      <c r="AD13" s="5"/>
      <c r="AE13" s="5"/>
      <c r="AF13" s="5" t="s">
        <v>1</v>
      </c>
      <c r="AG13" s="5" t="s">
        <v>2</v>
      </c>
      <c r="AH13" s="5"/>
      <c r="AI13" s="5"/>
      <c r="AJ13" s="5"/>
      <c r="AK13" s="5"/>
      <c r="AL13" s="5" t="s">
        <v>56</v>
      </c>
      <c r="AM13" s="68" t="s">
        <v>57</v>
      </c>
      <c r="AN13" s="68"/>
      <c r="AO13" s="5" t="s">
        <v>58</v>
      </c>
      <c r="AP13" s="5" t="s">
        <v>58</v>
      </c>
      <c r="AQ13" s="5" t="s">
        <v>59</v>
      </c>
      <c r="AR13" s="6" t="s">
        <v>60</v>
      </c>
      <c r="AV13" s="70" t="s">
        <v>96</v>
      </c>
      <c r="AW13" s="44" t="s">
        <v>97</v>
      </c>
      <c r="AX13" s="73">
        <v>1250</v>
      </c>
      <c r="AY13" s="73"/>
      <c r="AZ13" s="74">
        <f t="shared" si="0"/>
        <v>519.380925875</v>
      </c>
      <c r="BA13" s="74"/>
    </row>
    <row r="14" spans="1:53" ht="26.4" x14ac:dyDescent="0.3">
      <c r="A14" s="7">
        <f>A13+5+372.22-232.55</f>
        <v>721.10000000000014</v>
      </c>
      <c r="B14">
        <f t="shared" si="1"/>
        <v>25.169284467713794</v>
      </c>
      <c r="C14" s="14">
        <v>2.4652777777777776E-3</v>
      </c>
      <c r="D14" s="17">
        <f>3*60+33</f>
        <v>213</v>
      </c>
      <c r="E14">
        <f t="shared" si="2"/>
        <v>3.3854460093896721</v>
      </c>
      <c r="F14">
        <f t="shared" si="3"/>
        <v>52.989589712186167</v>
      </c>
      <c r="G14">
        <v>30</v>
      </c>
      <c r="H14">
        <v>24.7</v>
      </c>
      <c r="I14">
        <v>4.51</v>
      </c>
      <c r="J14">
        <v>4.87E-2</v>
      </c>
      <c r="K14">
        <f t="shared" si="8"/>
        <v>98.920177383592019</v>
      </c>
      <c r="L14">
        <v>1</v>
      </c>
      <c r="M14">
        <f t="shared" si="4"/>
        <v>20.312676056338031</v>
      </c>
      <c r="N14">
        <v>75</v>
      </c>
      <c r="O14">
        <v>8.6999999999999993</v>
      </c>
      <c r="P14">
        <v>480</v>
      </c>
      <c r="Q14">
        <f t="shared" si="5"/>
        <v>74.73684210526315</v>
      </c>
      <c r="R14">
        <v>7.0000000000000007E-2</v>
      </c>
      <c r="S14">
        <f t="shared" si="6"/>
        <v>99.917647058823533</v>
      </c>
      <c r="T14">
        <v>8.67</v>
      </c>
      <c r="U14">
        <v>0</v>
      </c>
      <c r="V14" s="9">
        <f t="shared" si="7"/>
        <v>-2</v>
      </c>
      <c r="Y14" s="4" t="s">
        <v>3</v>
      </c>
      <c r="Z14" s="5" t="s">
        <v>4</v>
      </c>
      <c r="AA14" s="5" t="s">
        <v>5</v>
      </c>
      <c r="AB14" s="5" t="s">
        <v>6</v>
      </c>
      <c r="AC14" s="5" t="s">
        <v>7</v>
      </c>
      <c r="AD14" s="5" t="s">
        <v>15</v>
      </c>
      <c r="AE14" s="5" t="s">
        <v>9</v>
      </c>
      <c r="AF14" s="5" t="s">
        <v>10</v>
      </c>
      <c r="AG14" s="5" t="s">
        <v>10</v>
      </c>
      <c r="AH14" s="5" t="s">
        <v>11</v>
      </c>
      <c r="AI14" s="5" t="s">
        <v>12</v>
      </c>
      <c r="AJ14" s="5" t="s">
        <v>13</v>
      </c>
      <c r="AK14" s="5" t="s">
        <v>14</v>
      </c>
      <c r="AL14" s="5" t="s">
        <v>79</v>
      </c>
      <c r="AM14" s="5" t="s">
        <v>79</v>
      </c>
      <c r="AN14" s="5" t="s">
        <v>12</v>
      </c>
      <c r="AO14" s="5" t="s">
        <v>79</v>
      </c>
      <c r="AP14" s="5" t="s">
        <v>12</v>
      </c>
      <c r="AQ14" s="5" t="s">
        <v>79</v>
      </c>
      <c r="AR14" s="6"/>
      <c r="AV14" s="70"/>
      <c r="AW14" s="44" t="s">
        <v>98</v>
      </c>
      <c r="AX14" s="73">
        <v>88</v>
      </c>
      <c r="AY14" s="73"/>
      <c r="AZ14" s="74">
        <f t="shared" si="0"/>
        <v>36.5644171816</v>
      </c>
      <c r="BA14" s="74"/>
    </row>
    <row r="15" spans="1:53" ht="26.4" x14ac:dyDescent="0.25">
      <c r="A15" s="7">
        <f>A14+5+379.73-244.17</f>
        <v>861.6600000000002</v>
      </c>
      <c r="B15">
        <f t="shared" si="1"/>
        <v>30.075392670157076</v>
      </c>
      <c r="C15" s="14">
        <v>3.0092592592592588E-3</v>
      </c>
      <c r="D15" s="17">
        <f>4*60+20</f>
        <v>260</v>
      </c>
      <c r="E15">
        <f t="shared" si="2"/>
        <v>3.3140769230769238</v>
      </c>
      <c r="F15">
        <f t="shared" si="3"/>
        <v>51.872508361204027</v>
      </c>
      <c r="G15">
        <v>30</v>
      </c>
      <c r="H15">
        <v>24.8</v>
      </c>
      <c r="I15">
        <v>4.8</v>
      </c>
      <c r="J15">
        <v>5.1180000000000003E-2</v>
      </c>
      <c r="K15">
        <f t="shared" si="8"/>
        <v>98.933750000000003</v>
      </c>
      <c r="L15">
        <v>1</v>
      </c>
      <c r="M15">
        <f t="shared" si="4"/>
        <v>19.884461538461544</v>
      </c>
      <c r="N15">
        <v>71</v>
      </c>
      <c r="O15">
        <v>9.9</v>
      </c>
      <c r="P15">
        <v>490</v>
      </c>
      <c r="Q15">
        <f t="shared" si="5"/>
        <v>74.210526315789465</v>
      </c>
      <c r="R15">
        <v>7.0000000000000007E-2</v>
      </c>
      <c r="S15">
        <f t="shared" si="6"/>
        <v>99.917647058823533</v>
      </c>
      <c r="T15">
        <v>8.5</v>
      </c>
      <c r="U15">
        <v>0</v>
      </c>
      <c r="V15" s="9">
        <f t="shared" si="7"/>
        <v>-2</v>
      </c>
      <c r="Y15" s="7" t="s">
        <v>10</v>
      </c>
      <c r="AL15">
        <v>2370</v>
      </c>
      <c r="AM15">
        <v>108</v>
      </c>
      <c r="AO15">
        <v>2600</v>
      </c>
      <c r="AR15" s="9">
        <v>8.1</v>
      </c>
      <c r="AV15" s="70"/>
      <c r="AW15" s="44" t="s">
        <v>99</v>
      </c>
      <c r="AX15" s="73">
        <v>756</v>
      </c>
      <c r="AY15" s="73"/>
      <c r="AZ15" s="74">
        <f t="shared" si="0"/>
        <v>314.1215839692</v>
      </c>
      <c r="BA15" s="74"/>
    </row>
    <row r="16" spans="1:53" ht="26.4" x14ac:dyDescent="0.25">
      <c r="A16" s="7">
        <f>A15+5+371.77-230.65</f>
        <v>1007.7800000000003</v>
      </c>
      <c r="B16">
        <f t="shared" si="1"/>
        <v>35.175567190226886</v>
      </c>
      <c r="C16" s="14">
        <v>3.5995370370370369E-3</v>
      </c>
      <c r="D16" s="17">
        <f>5*60+11</f>
        <v>311</v>
      </c>
      <c r="E16">
        <f t="shared" si="2"/>
        <v>3.2404501607717053</v>
      </c>
      <c r="F16">
        <f t="shared" si="3"/>
        <v>50.72008947294843</v>
      </c>
      <c r="G16">
        <v>30</v>
      </c>
      <c r="H16">
        <v>24.9</v>
      </c>
      <c r="I16">
        <v>5.0199999999999996</v>
      </c>
      <c r="J16">
        <v>5.4179999999999999E-2</v>
      </c>
      <c r="K16">
        <f t="shared" si="8"/>
        <v>98.920717131474106</v>
      </c>
      <c r="L16">
        <v>1</v>
      </c>
      <c r="M16">
        <f t="shared" si="4"/>
        <v>19.44270096463023</v>
      </c>
      <c r="N16">
        <v>87</v>
      </c>
      <c r="O16">
        <v>10</v>
      </c>
      <c r="P16">
        <v>500</v>
      </c>
      <c r="Q16">
        <f t="shared" si="5"/>
        <v>73.684210526315795</v>
      </c>
      <c r="R16">
        <v>0.09</v>
      </c>
      <c r="S16">
        <f t="shared" si="6"/>
        <v>99.89411764705882</v>
      </c>
      <c r="T16">
        <v>8.6300000000000008</v>
      </c>
      <c r="U16">
        <v>0</v>
      </c>
      <c r="V16" s="9">
        <f t="shared" si="7"/>
        <v>-2</v>
      </c>
      <c r="Y16" s="7">
        <v>500</v>
      </c>
      <c r="Z16">
        <f>100*(Y16/10000)</f>
        <v>5</v>
      </c>
      <c r="AA16" s="14">
        <v>1.9097222222222222E-3</v>
      </c>
      <c r="AB16">
        <f>165</f>
        <v>165</v>
      </c>
      <c r="AC16">
        <f>500/AB16</f>
        <v>3.0303030303030303</v>
      </c>
      <c r="AD16">
        <f>((AC16/1000)*3600)/0.23</f>
        <v>47.430830039525688</v>
      </c>
      <c r="AE16">
        <v>30</v>
      </c>
      <c r="AF16">
        <v>23.7</v>
      </c>
      <c r="AG16">
        <v>9.2200000000000006</v>
      </c>
      <c r="AH16">
        <v>9.5200000000000007E-2</v>
      </c>
      <c r="AI16">
        <f>100*(1-(AH16/AG16))</f>
        <v>98.967462039045557</v>
      </c>
      <c r="AJ16">
        <v>3</v>
      </c>
      <c r="AK16">
        <f>100*((AC16*60)/1000)/AJ16</f>
        <v>6.0606060606060614</v>
      </c>
      <c r="AL16">
        <v>73</v>
      </c>
      <c r="AM16">
        <v>6.3</v>
      </c>
      <c r="AN16">
        <f>(1-(AM16/$O$10))*100</f>
        <v>41.666666666666671</v>
      </c>
      <c r="AO16">
        <v>830</v>
      </c>
      <c r="AP16">
        <f>(1-(AO16/$Q$10))*100</f>
        <v>-1034.5323741007194</v>
      </c>
      <c r="AQ16">
        <v>100</v>
      </c>
      <c r="AR16" s="9">
        <v>8.5</v>
      </c>
      <c r="AV16" s="70"/>
      <c r="AW16" s="44" t="s">
        <v>100</v>
      </c>
      <c r="AX16" s="73">
        <v>394</v>
      </c>
      <c r="AY16" s="73"/>
      <c r="AZ16" s="74">
        <f t="shared" si="0"/>
        <v>163.70886783579999</v>
      </c>
      <c r="BA16" s="74"/>
    </row>
    <row r="17" spans="1:53" x14ac:dyDescent="0.25">
      <c r="A17" s="7">
        <f>A16+5+371.58-228.5</f>
        <v>1155.8600000000004</v>
      </c>
      <c r="B17">
        <f t="shared" si="1"/>
        <v>40.344153577661444</v>
      </c>
      <c r="C17" s="14">
        <v>4.2592592592592595E-3</v>
      </c>
      <c r="D17" s="17">
        <f>6*60+8</f>
        <v>368</v>
      </c>
      <c r="E17">
        <f t="shared" si="2"/>
        <v>3.1409239130434794</v>
      </c>
      <c r="F17">
        <f t="shared" si="3"/>
        <v>49.162287334593586</v>
      </c>
      <c r="G17">
        <v>30</v>
      </c>
      <c r="H17">
        <v>25</v>
      </c>
      <c r="I17">
        <v>5.29</v>
      </c>
      <c r="J17">
        <v>5.6989999999999999E-2</v>
      </c>
      <c r="K17">
        <f t="shared" si="8"/>
        <v>98.922684310018909</v>
      </c>
      <c r="L17">
        <v>1</v>
      </c>
      <c r="M17">
        <f t="shared" si="4"/>
        <v>18.845543478260876</v>
      </c>
      <c r="N17">
        <v>68</v>
      </c>
      <c r="O17">
        <v>9.5</v>
      </c>
      <c r="P17">
        <v>510</v>
      </c>
      <c r="Q17">
        <f t="shared" si="5"/>
        <v>73.15789473684211</v>
      </c>
      <c r="R17">
        <v>0.16</v>
      </c>
      <c r="S17">
        <f t="shared" si="6"/>
        <v>99.811764705882354</v>
      </c>
      <c r="T17">
        <v>8.6999999999999993</v>
      </c>
      <c r="U17">
        <v>0</v>
      </c>
      <c r="V17" s="9">
        <f t="shared" si="7"/>
        <v>-2</v>
      </c>
      <c r="Y17" s="7">
        <v>1000</v>
      </c>
      <c r="Z17">
        <f t="shared" ref="Z17:Z34" si="9">100*(Y17/10000)</f>
        <v>10</v>
      </c>
      <c r="AA17" s="14">
        <v>3.8657407407407408E-3</v>
      </c>
      <c r="AB17">
        <f>(5*60)+34</f>
        <v>334</v>
      </c>
      <c r="AC17">
        <f>500/(AB17-AB16)</f>
        <v>2.9585798816568047</v>
      </c>
      <c r="AD17">
        <f t="shared" ref="AD17:AD34" si="10">((AC17/1000)*3600)/0.23</f>
        <v>46.308206843323894</v>
      </c>
      <c r="AE17">
        <v>30</v>
      </c>
      <c r="AF17">
        <v>24.5</v>
      </c>
      <c r="AG17">
        <v>9.68</v>
      </c>
      <c r="AH17">
        <v>7.7299999999999994E-2</v>
      </c>
      <c r="AI17">
        <f t="shared" ref="AI17:AI34" si="11">100*(1-(AH17/AG17))</f>
        <v>99.201446280991732</v>
      </c>
      <c r="AJ17">
        <v>3</v>
      </c>
      <c r="AK17">
        <f t="shared" ref="AK17:AK34" si="12">100*((AC17*60)/1000)/AJ17</f>
        <v>5.9171597633136104</v>
      </c>
      <c r="AL17">
        <v>62</v>
      </c>
      <c r="AM17">
        <v>4</v>
      </c>
      <c r="AN17">
        <f t="shared" ref="AN17:AN34" si="13">(1-(AM17/$O$10))*100</f>
        <v>62.962962962962962</v>
      </c>
      <c r="AO17">
        <v>850</v>
      </c>
      <c r="AP17">
        <f t="shared" ref="AP17:AP34" si="14">(1-(AO17/$Q$10))*100</f>
        <v>-1061.8705035971223</v>
      </c>
      <c r="AQ17">
        <v>100</v>
      </c>
      <c r="AR17" s="9">
        <v>7.68</v>
      </c>
      <c r="AV17" s="70" t="s">
        <v>101</v>
      </c>
      <c r="AW17" s="44" t="s">
        <v>102</v>
      </c>
      <c r="AX17" s="73">
        <v>13400</v>
      </c>
      <c r="AY17" s="73"/>
      <c r="AZ17" s="74">
        <f t="shared" si="0"/>
        <v>5567.7635253799999</v>
      </c>
      <c r="BA17" s="74"/>
    </row>
    <row r="18" spans="1:53" x14ac:dyDescent="0.25">
      <c r="A18" s="7">
        <f>A17+5+375.05-231.5</f>
        <v>1304.4100000000003</v>
      </c>
      <c r="B18">
        <f t="shared" si="1"/>
        <v>45.529144851657946</v>
      </c>
      <c r="C18" s="14">
        <v>4.9537037037037041E-3</v>
      </c>
      <c r="D18" s="17">
        <f>7*60+8</f>
        <v>428</v>
      </c>
      <c r="E18">
        <f t="shared" si="2"/>
        <v>3.047686915887851</v>
      </c>
      <c r="F18">
        <f t="shared" si="3"/>
        <v>47.702925639983754</v>
      </c>
      <c r="G18">
        <v>30</v>
      </c>
      <c r="H18">
        <v>25.1</v>
      </c>
      <c r="I18">
        <v>5.62</v>
      </c>
      <c r="J18">
        <v>5.9389999999999998E-2</v>
      </c>
      <c r="K18">
        <f t="shared" si="8"/>
        <v>98.943238434163703</v>
      </c>
      <c r="L18">
        <v>1</v>
      </c>
      <c r="M18">
        <f t="shared" si="4"/>
        <v>18.286121495327105</v>
      </c>
      <c r="N18">
        <v>80</v>
      </c>
      <c r="O18">
        <v>9.6999999999999993</v>
      </c>
      <c r="P18">
        <v>530</v>
      </c>
      <c r="Q18">
        <f t="shared" si="5"/>
        <v>72.10526315789474</v>
      </c>
      <c r="R18">
        <v>0.09</v>
      </c>
      <c r="S18">
        <f t="shared" si="6"/>
        <v>99.89411764705882</v>
      </c>
      <c r="T18">
        <v>8.67</v>
      </c>
      <c r="U18">
        <v>0</v>
      </c>
      <c r="V18" s="9">
        <f t="shared" si="7"/>
        <v>-2</v>
      </c>
      <c r="Y18" s="7">
        <v>1500</v>
      </c>
      <c r="Z18">
        <f t="shared" si="9"/>
        <v>15</v>
      </c>
      <c r="AA18" s="14">
        <v>5.7291666666666671E-3</v>
      </c>
      <c r="AB18">
        <f>(8*60)+15</f>
        <v>495</v>
      </c>
      <c r="AC18">
        <f t="shared" ref="AC18:AC34" si="15">500/(AB18-AB17)</f>
        <v>3.1055900621118013</v>
      </c>
      <c r="AD18">
        <f t="shared" si="10"/>
        <v>48.60923575479341</v>
      </c>
      <c r="AE18">
        <v>30</v>
      </c>
      <c r="AF18">
        <v>25.1</v>
      </c>
      <c r="AG18">
        <v>10.220000000000001</v>
      </c>
      <c r="AH18">
        <v>6.9199999999999998E-2</v>
      </c>
      <c r="AI18">
        <f t="shared" si="11"/>
        <v>99.322896281800382</v>
      </c>
      <c r="AJ18">
        <v>3</v>
      </c>
      <c r="AK18">
        <f t="shared" si="12"/>
        <v>6.2111801242236027</v>
      </c>
      <c r="AL18">
        <v>65</v>
      </c>
      <c r="AM18">
        <v>2.8</v>
      </c>
      <c r="AN18">
        <f t="shared" si="13"/>
        <v>74.074074074074076</v>
      </c>
      <c r="AO18">
        <v>900</v>
      </c>
      <c r="AP18">
        <f t="shared" si="14"/>
        <v>-1130.2158273381294</v>
      </c>
      <c r="AQ18">
        <v>100</v>
      </c>
      <c r="AR18" s="9">
        <v>7.13</v>
      </c>
      <c r="AV18" s="70"/>
      <c r="AW18" s="44" t="s">
        <v>103</v>
      </c>
      <c r="AX18" s="73">
        <v>1504</v>
      </c>
      <c r="AY18" s="73"/>
      <c r="AZ18" s="74">
        <f t="shared" si="0"/>
        <v>624.9191300128</v>
      </c>
      <c r="BA18" s="74"/>
    </row>
    <row r="19" spans="1:53" x14ac:dyDescent="0.25">
      <c r="A19" s="7">
        <f>A18+5+372.7-231.18</f>
        <v>1450.9300000000003</v>
      </c>
      <c r="B19">
        <f t="shared" si="1"/>
        <v>50.643280977312401</v>
      </c>
      <c r="C19" s="14">
        <v>5.6944444444444438E-3</v>
      </c>
      <c r="D19" s="17">
        <f>8*60+12</f>
        <v>492</v>
      </c>
      <c r="E19">
        <f t="shared" si="2"/>
        <v>2.9490447154471551</v>
      </c>
      <c r="F19">
        <f t="shared" si="3"/>
        <v>46.158960763520689</v>
      </c>
      <c r="G19">
        <v>30</v>
      </c>
      <c r="H19">
        <v>25.2</v>
      </c>
      <c r="I19">
        <v>6.06</v>
      </c>
      <c r="J19">
        <v>6.4259999999999998E-2</v>
      </c>
      <c r="K19">
        <f t="shared" si="8"/>
        <v>98.939603960396042</v>
      </c>
      <c r="L19">
        <v>1</v>
      </c>
      <c r="M19">
        <f t="shared" si="4"/>
        <v>17.694268292682931</v>
      </c>
      <c r="N19">
        <v>73</v>
      </c>
      <c r="O19">
        <v>8.8000000000000007</v>
      </c>
      <c r="P19">
        <v>550</v>
      </c>
      <c r="Q19">
        <f t="shared" si="5"/>
        <v>71.05263157894737</v>
      </c>
      <c r="R19">
        <v>0.15</v>
      </c>
      <c r="S19">
        <f t="shared" si="6"/>
        <v>99.82352941176471</v>
      </c>
      <c r="T19">
        <v>8.6999999999999993</v>
      </c>
      <c r="U19">
        <v>0</v>
      </c>
      <c r="V19" s="9">
        <f t="shared" si="7"/>
        <v>-2</v>
      </c>
      <c r="Y19" s="7">
        <v>2000</v>
      </c>
      <c r="Z19">
        <f t="shared" si="9"/>
        <v>20</v>
      </c>
      <c r="AA19" s="14">
        <v>7.6157407407407415E-3</v>
      </c>
      <c r="AB19">
        <f>(10*60)+58</f>
        <v>658</v>
      </c>
      <c r="AC19">
        <f t="shared" si="15"/>
        <v>3.0674846625766872</v>
      </c>
      <c r="AD19">
        <f t="shared" si="10"/>
        <v>48.012803414243798</v>
      </c>
      <c r="AE19">
        <v>30</v>
      </c>
      <c r="AF19">
        <v>25.4</v>
      </c>
      <c r="AG19">
        <v>10.68</v>
      </c>
      <c r="AH19">
        <v>7.2499999999999995E-2</v>
      </c>
      <c r="AI19">
        <f t="shared" si="11"/>
        <v>99.321161048689149</v>
      </c>
      <c r="AJ19">
        <v>3</v>
      </c>
      <c r="AK19">
        <f t="shared" si="12"/>
        <v>6.1349693251533743</v>
      </c>
      <c r="AL19">
        <v>68</v>
      </c>
      <c r="AM19">
        <v>3.9</v>
      </c>
      <c r="AN19">
        <f t="shared" si="13"/>
        <v>63.888888888888886</v>
      </c>
      <c r="AO19">
        <v>940</v>
      </c>
      <c r="AP19">
        <f t="shared" si="14"/>
        <v>-1184.8920863309352</v>
      </c>
      <c r="AQ19">
        <v>100</v>
      </c>
      <c r="AR19" s="9">
        <v>7</v>
      </c>
      <c r="AV19" s="70"/>
      <c r="AW19" s="44" t="s">
        <v>104</v>
      </c>
      <c r="AX19" s="73">
        <v>373</v>
      </c>
      <c r="AY19" s="73"/>
      <c r="AZ19" s="74">
        <f t="shared" si="0"/>
        <v>154.98326828109998</v>
      </c>
      <c r="BA19" s="74"/>
    </row>
    <row r="20" spans="1:53" ht="14.4" thickBot="1" x14ac:dyDescent="0.3">
      <c r="A20" s="7">
        <f>A19+5+379.69-243.56</f>
        <v>1592.0600000000004</v>
      </c>
      <c r="B20">
        <f t="shared" si="1"/>
        <v>55.5692844677138</v>
      </c>
      <c r="C20" s="14">
        <v>6.4930555555555549E-3</v>
      </c>
      <c r="D20" s="17">
        <f>9*60+21</f>
        <v>561</v>
      </c>
      <c r="E20">
        <f t="shared" si="2"/>
        <v>2.8378966131907317</v>
      </c>
      <c r="F20">
        <f t="shared" si="3"/>
        <v>44.419251336898405</v>
      </c>
      <c r="G20">
        <v>30</v>
      </c>
      <c r="H20">
        <v>25.3</v>
      </c>
      <c r="I20">
        <v>6.45</v>
      </c>
      <c r="J20">
        <v>7.0800000000000002E-2</v>
      </c>
      <c r="K20">
        <f t="shared" si="8"/>
        <v>98.902325581395345</v>
      </c>
      <c r="L20">
        <v>1</v>
      </c>
      <c r="M20">
        <f t="shared" si="4"/>
        <v>17.027379679144392</v>
      </c>
      <c r="N20">
        <v>76</v>
      </c>
      <c r="O20">
        <v>7.4</v>
      </c>
      <c r="P20">
        <v>560</v>
      </c>
      <c r="Q20">
        <f t="shared" si="5"/>
        <v>70.526315789473685</v>
      </c>
      <c r="R20">
        <v>0.14000000000000001</v>
      </c>
      <c r="S20">
        <f t="shared" si="6"/>
        <v>99.835294117647052</v>
      </c>
      <c r="T20">
        <v>8.68</v>
      </c>
      <c r="U20">
        <v>0</v>
      </c>
      <c r="V20" s="9">
        <f t="shared" si="7"/>
        <v>-2</v>
      </c>
      <c r="Y20" s="7">
        <v>2500</v>
      </c>
      <c r="Z20">
        <f t="shared" si="9"/>
        <v>25</v>
      </c>
      <c r="AA20" s="14">
        <v>9.571759259259259E-3</v>
      </c>
      <c r="AB20">
        <f>(13*60)+47</f>
        <v>827</v>
      </c>
      <c r="AC20">
        <f t="shared" si="15"/>
        <v>2.9585798816568047</v>
      </c>
      <c r="AD20">
        <f t="shared" si="10"/>
        <v>46.308206843323894</v>
      </c>
      <c r="AE20">
        <v>30</v>
      </c>
      <c r="AF20">
        <v>25.7</v>
      </c>
      <c r="AG20">
        <v>11.3</v>
      </c>
      <c r="AH20">
        <v>7.8399999999999997E-2</v>
      </c>
      <c r="AI20">
        <f t="shared" si="11"/>
        <v>99.306194690265485</v>
      </c>
      <c r="AJ20">
        <v>3</v>
      </c>
      <c r="AK20">
        <f t="shared" si="12"/>
        <v>5.9171597633136104</v>
      </c>
      <c r="AL20">
        <v>78</v>
      </c>
      <c r="AM20">
        <v>6.6</v>
      </c>
      <c r="AN20">
        <f t="shared" si="13"/>
        <v>38.888888888888893</v>
      </c>
      <c r="AO20">
        <v>1030</v>
      </c>
      <c r="AP20">
        <f t="shared" si="14"/>
        <v>-1307.9136690647481</v>
      </c>
      <c r="AQ20">
        <v>100</v>
      </c>
      <c r="AR20" s="9">
        <v>6.72</v>
      </c>
      <c r="AV20" s="83"/>
      <c r="AW20" s="45" t="s">
        <v>105</v>
      </c>
      <c r="AX20" s="84">
        <v>315</v>
      </c>
      <c r="AY20" s="84"/>
      <c r="AZ20" s="85">
        <f t="shared" si="0"/>
        <v>130.8839933205</v>
      </c>
      <c r="BA20" s="85"/>
    </row>
    <row r="21" spans="1:53" x14ac:dyDescent="0.25">
      <c r="A21" s="7">
        <f>A20+5+378.27-240.64</f>
        <v>1734.6900000000005</v>
      </c>
      <c r="B21">
        <f t="shared" si="1"/>
        <v>60.547643979057611</v>
      </c>
      <c r="C21" s="14">
        <v>7.4189814814814813E-3</v>
      </c>
      <c r="D21" s="17">
        <f>10*60+41</f>
        <v>641</v>
      </c>
      <c r="E21">
        <f t="shared" si="2"/>
        <v>2.7062246489859603</v>
      </c>
      <c r="F21">
        <f t="shared" si="3"/>
        <v>42.358298853693292</v>
      </c>
      <c r="G21">
        <v>30</v>
      </c>
      <c r="H21">
        <v>25.4</v>
      </c>
      <c r="I21">
        <v>6.97</v>
      </c>
      <c r="J21">
        <v>8.1240000000000007E-2</v>
      </c>
      <c r="K21">
        <f t="shared" si="8"/>
        <v>98.83443328550932</v>
      </c>
      <c r="L21">
        <v>1</v>
      </c>
      <c r="M21">
        <f t="shared" si="4"/>
        <v>16.237347893915764</v>
      </c>
      <c r="N21">
        <v>82</v>
      </c>
      <c r="O21">
        <v>10.1</v>
      </c>
      <c r="P21">
        <v>740</v>
      </c>
      <c r="Q21">
        <f t="shared" si="5"/>
        <v>61.05263157894737</v>
      </c>
      <c r="R21">
        <v>0.2</v>
      </c>
      <c r="S21">
        <f t="shared" si="6"/>
        <v>99.764705882352942</v>
      </c>
      <c r="T21">
        <v>8.6999999999999993</v>
      </c>
      <c r="U21">
        <v>0</v>
      </c>
      <c r="V21" s="9">
        <f t="shared" si="7"/>
        <v>-2</v>
      </c>
      <c r="Y21" s="7">
        <v>3000</v>
      </c>
      <c r="Z21">
        <f t="shared" si="9"/>
        <v>30</v>
      </c>
      <c r="AA21" s="14">
        <v>1.1481481481481483E-2</v>
      </c>
      <c r="AB21">
        <f>(16*60)+32</f>
        <v>992</v>
      </c>
      <c r="AC21">
        <f t="shared" si="15"/>
        <v>3.0303030303030303</v>
      </c>
      <c r="AD21">
        <f t="shared" si="10"/>
        <v>47.430830039525688</v>
      </c>
      <c r="AE21">
        <v>30</v>
      </c>
      <c r="AF21">
        <v>26</v>
      </c>
      <c r="AG21">
        <v>11.94</v>
      </c>
      <c r="AH21">
        <v>8.6300000000000002E-2</v>
      </c>
      <c r="AI21">
        <f t="shared" si="11"/>
        <v>99.277219430485758</v>
      </c>
      <c r="AJ21">
        <v>3</v>
      </c>
      <c r="AK21">
        <f t="shared" si="12"/>
        <v>6.0606060606060614</v>
      </c>
      <c r="AL21">
        <v>82</v>
      </c>
      <c r="AM21">
        <v>7</v>
      </c>
      <c r="AN21">
        <f t="shared" si="13"/>
        <v>35.185185185185183</v>
      </c>
      <c r="AO21">
        <v>1060</v>
      </c>
      <c r="AP21">
        <f t="shared" si="14"/>
        <v>-1348.9208633093524</v>
      </c>
      <c r="AQ21">
        <v>100</v>
      </c>
      <c r="AR21" s="9">
        <v>6.83</v>
      </c>
    </row>
    <row r="22" spans="1:53" x14ac:dyDescent="0.25">
      <c r="A22" s="7">
        <f>A21+5+379.75-241.93</f>
        <v>1877.5100000000004</v>
      </c>
      <c r="B22">
        <f t="shared" si="1"/>
        <v>65.53263525305411</v>
      </c>
      <c r="C22" s="14">
        <v>8.3449074074074085E-3</v>
      </c>
      <c r="D22" s="17">
        <f>12*60+1</f>
        <v>721</v>
      </c>
      <c r="E22">
        <f t="shared" si="2"/>
        <v>2.6040360610263531</v>
      </c>
      <c r="F22">
        <f t="shared" si="3"/>
        <v>40.758825303021176</v>
      </c>
      <c r="G22">
        <v>30</v>
      </c>
      <c r="H22">
        <v>25.5</v>
      </c>
      <c r="I22">
        <v>7.43</v>
      </c>
      <c r="J22">
        <v>9.0440000000000006E-2</v>
      </c>
      <c r="K22">
        <f t="shared" si="8"/>
        <v>98.782772543741586</v>
      </c>
      <c r="L22">
        <v>1</v>
      </c>
      <c r="M22">
        <f t="shared" si="4"/>
        <v>15.624216366158116</v>
      </c>
      <c r="N22">
        <v>86</v>
      </c>
      <c r="O22">
        <v>11</v>
      </c>
      <c r="P22">
        <v>640</v>
      </c>
      <c r="Q22">
        <f t="shared" si="5"/>
        <v>66.31578947368422</v>
      </c>
      <c r="R22">
        <v>0.3</v>
      </c>
      <c r="S22">
        <f t="shared" si="6"/>
        <v>99.647058823529406</v>
      </c>
      <c r="T22">
        <v>8.75</v>
      </c>
      <c r="U22">
        <v>0</v>
      </c>
      <c r="V22" s="9">
        <f t="shared" si="7"/>
        <v>-2</v>
      </c>
      <c r="Y22" s="7">
        <v>3500</v>
      </c>
      <c r="Z22">
        <f t="shared" si="9"/>
        <v>35</v>
      </c>
      <c r="AA22" s="14">
        <v>1.3449074074074073E-2</v>
      </c>
      <c r="AB22">
        <f>(19*60)+22</f>
        <v>1162</v>
      </c>
      <c r="AC22">
        <f t="shared" si="15"/>
        <v>2.9411764705882355</v>
      </c>
      <c r="AD22">
        <f t="shared" si="10"/>
        <v>46.035805626598467</v>
      </c>
      <c r="AE22">
        <v>30</v>
      </c>
      <c r="AF22">
        <v>26.1</v>
      </c>
      <c r="AG22">
        <v>13.3</v>
      </c>
      <c r="AH22">
        <v>9.4200000000000006E-2</v>
      </c>
      <c r="AI22">
        <f t="shared" si="11"/>
        <v>99.291729323308275</v>
      </c>
      <c r="AJ22">
        <v>3</v>
      </c>
      <c r="AK22">
        <f t="shared" si="12"/>
        <v>5.8823529411764719</v>
      </c>
      <c r="AL22">
        <v>70</v>
      </c>
      <c r="AM22">
        <v>6.3</v>
      </c>
      <c r="AN22">
        <f t="shared" si="13"/>
        <v>41.666666666666671</v>
      </c>
      <c r="AO22">
        <v>1110</v>
      </c>
      <c r="AP22">
        <f t="shared" si="14"/>
        <v>-1417.2661870503596</v>
      </c>
      <c r="AQ22">
        <v>100</v>
      </c>
      <c r="AR22" s="9">
        <v>6.93</v>
      </c>
    </row>
    <row r="23" spans="1:53" x14ac:dyDescent="0.25">
      <c r="A23" s="7">
        <f>A22+5+373.92-234.65</f>
        <v>2021.7800000000002</v>
      </c>
      <c r="B23">
        <f t="shared" si="1"/>
        <v>70.568237347294954</v>
      </c>
      <c r="C23" s="14">
        <v>9.7222222222222224E-3</v>
      </c>
      <c r="D23" s="17">
        <f>14*60</f>
        <v>840</v>
      </c>
      <c r="E23">
        <f t="shared" si="2"/>
        <v>2.4068809523809525</v>
      </c>
      <c r="F23">
        <f t="shared" si="3"/>
        <v>37.672919254658389</v>
      </c>
      <c r="G23">
        <v>30</v>
      </c>
      <c r="H23">
        <v>25.6</v>
      </c>
      <c r="I23">
        <v>8.1</v>
      </c>
      <c r="J23">
        <v>0.1106</v>
      </c>
      <c r="K23">
        <f t="shared" si="8"/>
        <v>98.634567901234576</v>
      </c>
      <c r="L23">
        <v>1</v>
      </c>
      <c r="M23">
        <f t="shared" si="4"/>
        <v>14.441285714285716</v>
      </c>
      <c r="N23">
        <v>81</v>
      </c>
      <c r="O23">
        <v>12.4</v>
      </c>
      <c r="P23">
        <v>660</v>
      </c>
      <c r="Q23">
        <f t="shared" si="5"/>
        <v>65.26315789473685</v>
      </c>
      <c r="R23">
        <v>0.4</v>
      </c>
      <c r="S23">
        <f t="shared" si="6"/>
        <v>99.529411764705884</v>
      </c>
      <c r="T23">
        <v>8.7100000000000009</v>
      </c>
      <c r="U23">
        <v>0</v>
      </c>
      <c r="V23" s="9">
        <f t="shared" si="7"/>
        <v>-2</v>
      </c>
      <c r="Y23" s="7">
        <v>4000</v>
      </c>
      <c r="Z23">
        <f t="shared" si="9"/>
        <v>40</v>
      </c>
      <c r="AA23" s="14">
        <v>1.5509259259259257E-2</v>
      </c>
      <c r="AB23">
        <f>(22*60)+20</f>
        <v>1340</v>
      </c>
      <c r="AC23">
        <f t="shared" si="15"/>
        <v>2.808988764044944</v>
      </c>
      <c r="AD23">
        <f t="shared" si="10"/>
        <v>43.966780654616514</v>
      </c>
      <c r="AE23">
        <v>30</v>
      </c>
      <c r="AF23">
        <v>26.2</v>
      </c>
      <c r="AG23">
        <v>14.18</v>
      </c>
      <c r="AH23">
        <v>0.1045</v>
      </c>
      <c r="AI23">
        <f t="shared" si="11"/>
        <v>99.263046544428761</v>
      </c>
      <c r="AJ23">
        <v>3</v>
      </c>
      <c r="AK23">
        <f t="shared" si="12"/>
        <v>5.617977528089888</v>
      </c>
      <c r="AL23">
        <v>68</v>
      </c>
      <c r="AM23">
        <v>6.1</v>
      </c>
      <c r="AN23">
        <f t="shared" si="13"/>
        <v>43.518518518518526</v>
      </c>
      <c r="AO23">
        <v>1180</v>
      </c>
      <c r="AP23">
        <f t="shared" si="14"/>
        <v>-1512.9496402877696</v>
      </c>
      <c r="AQ23">
        <v>100</v>
      </c>
      <c r="AR23" s="9">
        <v>7.03</v>
      </c>
    </row>
    <row r="24" spans="1:53" x14ac:dyDescent="0.25">
      <c r="A24" s="7">
        <f>A23+5+396.44-255.66</f>
        <v>2167.5600000000004</v>
      </c>
      <c r="B24">
        <f t="shared" si="1"/>
        <v>75.65654450261782</v>
      </c>
      <c r="C24" s="14">
        <v>1.1805555555555555E-2</v>
      </c>
      <c r="D24" s="17">
        <f>17*60</f>
        <v>1020</v>
      </c>
      <c r="E24">
        <f t="shared" si="2"/>
        <v>2.1250588235294123</v>
      </c>
      <c r="F24">
        <f t="shared" si="3"/>
        <v>33.26179028132993</v>
      </c>
      <c r="G24">
        <v>30</v>
      </c>
      <c r="H24">
        <v>25.9</v>
      </c>
      <c r="I24">
        <v>8.8699999999999992</v>
      </c>
      <c r="J24">
        <v>0.14680000000000001</v>
      </c>
      <c r="K24">
        <f t="shared" si="8"/>
        <v>98.344983089064257</v>
      </c>
      <c r="L24">
        <v>1</v>
      </c>
      <c r="M24">
        <f t="shared" si="4"/>
        <v>12.750352941176473</v>
      </c>
      <c r="N24">
        <v>86</v>
      </c>
      <c r="O24">
        <v>12.6</v>
      </c>
      <c r="P24">
        <v>730</v>
      </c>
      <c r="Q24">
        <f t="shared" si="5"/>
        <v>61.578947368421055</v>
      </c>
      <c r="R24">
        <v>0.6</v>
      </c>
      <c r="S24">
        <f t="shared" si="6"/>
        <v>99.294117647058826</v>
      </c>
      <c r="T24">
        <v>8.75</v>
      </c>
      <c r="U24">
        <v>0</v>
      </c>
      <c r="V24" s="9">
        <f t="shared" si="7"/>
        <v>-2</v>
      </c>
      <c r="Y24" s="7">
        <v>4500</v>
      </c>
      <c r="Z24">
        <f t="shared" si="9"/>
        <v>45</v>
      </c>
      <c r="AA24" s="14">
        <v>1.7638888888888888E-2</v>
      </c>
      <c r="AB24">
        <f>(25*60)+24</f>
        <v>1524</v>
      </c>
      <c r="AC24">
        <f t="shared" si="15"/>
        <v>2.7173913043478262</v>
      </c>
      <c r="AD24">
        <f t="shared" si="10"/>
        <v>42.533081285444233</v>
      </c>
      <c r="AE24">
        <v>30</v>
      </c>
      <c r="AF24">
        <v>26.3</v>
      </c>
      <c r="AG24">
        <v>15.2</v>
      </c>
      <c r="AH24">
        <v>0.1172</v>
      </c>
      <c r="AI24">
        <f t="shared" si="11"/>
        <v>99.228947368421046</v>
      </c>
      <c r="AJ24">
        <v>3</v>
      </c>
      <c r="AK24">
        <f t="shared" si="12"/>
        <v>5.4347826086956523</v>
      </c>
      <c r="AL24">
        <v>95</v>
      </c>
      <c r="AM24">
        <v>7.4</v>
      </c>
      <c r="AN24">
        <f t="shared" si="13"/>
        <v>31.481481481481488</v>
      </c>
      <c r="AO24">
        <v>1270</v>
      </c>
      <c r="AP24">
        <f t="shared" si="14"/>
        <v>-1635.9712230215828</v>
      </c>
      <c r="AQ24">
        <v>100</v>
      </c>
      <c r="AR24" s="9">
        <v>6.7</v>
      </c>
    </row>
    <row r="25" spans="1:53" x14ac:dyDescent="0.25">
      <c r="A25" s="7">
        <f>A24+5+372.54-233.33</f>
        <v>2311.7700000000004</v>
      </c>
      <c r="B25">
        <f t="shared" si="1"/>
        <v>80.690052356020956</v>
      </c>
      <c r="C25" s="14">
        <v>1.5752314814814813E-2</v>
      </c>
      <c r="D25" s="17">
        <f>22*60+41</f>
        <v>1361</v>
      </c>
      <c r="E25">
        <f t="shared" si="2"/>
        <v>1.6985819250551069</v>
      </c>
      <c r="F25">
        <f t="shared" si="3"/>
        <v>26.586499696514718</v>
      </c>
      <c r="G25">
        <v>30</v>
      </c>
      <c r="H25">
        <v>26.3</v>
      </c>
      <c r="I25">
        <v>9.8800000000000008</v>
      </c>
      <c r="J25">
        <v>0.23180000000000001</v>
      </c>
      <c r="K25">
        <f t="shared" si="8"/>
        <v>97.65384615384616</v>
      </c>
      <c r="L25">
        <v>1</v>
      </c>
      <c r="M25">
        <f t="shared" si="4"/>
        <v>10.191491550330642</v>
      </c>
      <c r="N25">
        <v>111</v>
      </c>
      <c r="O25">
        <v>16.8</v>
      </c>
      <c r="P25">
        <v>760</v>
      </c>
      <c r="Q25">
        <f t="shared" si="5"/>
        <v>60</v>
      </c>
      <c r="R25">
        <v>1.2</v>
      </c>
      <c r="S25">
        <f t="shared" si="6"/>
        <v>98.588235294117638</v>
      </c>
      <c r="T25">
        <v>8.7899999999999991</v>
      </c>
      <c r="U25">
        <v>0</v>
      </c>
      <c r="V25" s="9">
        <f t="shared" si="7"/>
        <v>-2</v>
      </c>
      <c r="Y25" s="7">
        <v>5000</v>
      </c>
      <c r="Z25">
        <f t="shared" si="9"/>
        <v>50</v>
      </c>
      <c r="AA25" s="14">
        <v>1.9872685185185184E-2</v>
      </c>
      <c r="AB25">
        <f>(28*60)+37</f>
        <v>1717</v>
      </c>
      <c r="AC25">
        <f t="shared" si="15"/>
        <v>2.5906735751295336</v>
      </c>
      <c r="AD25">
        <f t="shared" si="10"/>
        <v>40.549673349853563</v>
      </c>
      <c r="AE25">
        <v>30</v>
      </c>
      <c r="AF25">
        <v>26.3</v>
      </c>
      <c r="AG25">
        <v>16.38</v>
      </c>
      <c r="AH25">
        <v>0.13350000000000001</v>
      </c>
      <c r="AI25">
        <f t="shared" si="11"/>
        <v>99.184981684981693</v>
      </c>
      <c r="AJ25">
        <v>3</v>
      </c>
      <c r="AK25">
        <f t="shared" si="12"/>
        <v>5.1813471502590671</v>
      </c>
      <c r="AL25">
        <v>84</v>
      </c>
      <c r="AM25">
        <v>8.1</v>
      </c>
      <c r="AN25">
        <f t="shared" si="13"/>
        <v>25.000000000000011</v>
      </c>
      <c r="AO25">
        <v>1350</v>
      </c>
      <c r="AP25">
        <f t="shared" si="14"/>
        <v>-1745.3237410071943</v>
      </c>
      <c r="AQ25">
        <v>100</v>
      </c>
      <c r="AR25" s="9">
        <v>7.59</v>
      </c>
    </row>
    <row r="26" spans="1:53" x14ac:dyDescent="0.25">
      <c r="A26" s="7">
        <f>A25+5+388.62-242.62</f>
        <v>2462.7700000000004</v>
      </c>
      <c r="B26">
        <f t="shared" si="1"/>
        <v>85.960558464223396</v>
      </c>
      <c r="C26" s="14">
        <v>2.476851851851852E-2</v>
      </c>
      <c r="D26" s="17">
        <f>35*60+40</f>
        <v>2140</v>
      </c>
      <c r="E26">
        <f t="shared" si="2"/>
        <v>1.1508271028037385</v>
      </c>
      <c r="F26">
        <f t="shared" si="3"/>
        <v>18.012945956928082</v>
      </c>
      <c r="G26">
        <v>30</v>
      </c>
      <c r="H26">
        <v>27.1</v>
      </c>
      <c r="I26">
        <v>10.98</v>
      </c>
      <c r="J26">
        <v>0.45169999999999999</v>
      </c>
      <c r="K26">
        <f t="shared" si="8"/>
        <v>95.886156648451731</v>
      </c>
      <c r="L26">
        <v>1</v>
      </c>
      <c r="M26">
        <f t="shared" si="4"/>
        <v>6.9049626168224316</v>
      </c>
      <c r="N26">
        <v>141</v>
      </c>
      <c r="O26">
        <v>26.9</v>
      </c>
      <c r="P26">
        <v>700</v>
      </c>
      <c r="Q26">
        <f t="shared" si="5"/>
        <v>63.157894736842103</v>
      </c>
      <c r="R26">
        <v>3</v>
      </c>
      <c r="S26">
        <f t="shared" si="6"/>
        <v>96.470588235294116</v>
      </c>
      <c r="T26">
        <v>8.81</v>
      </c>
      <c r="U26">
        <v>0</v>
      </c>
      <c r="V26" s="9">
        <f t="shared" si="7"/>
        <v>-2</v>
      </c>
      <c r="Y26" s="7">
        <v>5500</v>
      </c>
      <c r="Z26">
        <f t="shared" si="9"/>
        <v>55.000000000000007</v>
      </c>
      <c r="AA26" s="14">
        <v>2.2210648148148149E-2</v>
      </c>
      <c r="AB26">
        <f>(31*60)+59</f>
        <v>1919</v>
      </c>
      <c r="AC26">
        <f t="shared" si="15"/>
        <v>2.4752475247524752</v>
      </c>
      <c r="AD26">
        <f t="shared" si="10"/>
        <v>38.743004735256136</v>
      </c>
      <c r="AE26">
        <v>30</v>
      </c>
      <c r="AF26">
        <v>26.3</v>
      </c>
      <c r="AG26">
        <v>17.79</v>
      </c>
      <c r="AH26">
        <v>0.154</v>
      </c>
      <c r="AI26">
        <f t="shared" si="11"/>
        <v>99.134345137717816</v>
      </c>
      <c r="AJ26">
        <v>3</v>
      </c>
      <c r="AK26">
        <f t="shared" si="12"/>
        <v>4.9504950495049505</v>
      </c>
      <c r="AL26">
        <v>90</v>
      </c>
      <c r="AM26">
        <v>7.5</v>
      </c>
      <c r="AN26">
        <f t="shared" si="13"/>
        <v>30.555555555555557</v>
      </c>
      <c r="AO26">
        <v>1460</v>
      </c>
      <c r="AP26">
        <f t="shared" si="14"/>
        <v>-1895.6834532374098</v>
      </c>
      <c r="AQ26">
        <v>100</v>
      </c>
      <c r="AR26" s="9">
        <v>8.4600000000000009</v>
      </c>
    </row>
    <row r="27" spans="1:53" ht="14.4" thickBot="1" x14ac:dyDescent="0.3">
      <c r="A27" s="10">
        <f>A26+5+381.94-232.45</f>
        <v>2617.2600000000007</v>
      </c>
      <c r="B27" s="11">
        <f t="shared" si="1"/>
        <v>91.352879581151853</v>
      </c>
      <c r="C27" s="15">
        <v>3.7604166666666668E-2</v>
      </c>
      <c r="D27" s="26">
        <f>54*60+9</f>
        <v>3249</v>
      </c>
      <c r="E27" s="11">
        <f t="shared" si="2"/>
        <v>0.80555863342566969</v>
      </c>
      <c r="F27" s="11">
        <f>((E27/1000)*3600)/0.23</f>
        <v>12.608743827532221</v>
      </c>
      <c r="G27" s="11">
        <v>30</v>
      </c>
      <c r="H27" s="11">
        <v>27.2</v>
      </c>
      <c r="I27" s="11">
        <v>12.4</v>
      </c>
      <c r="J27" s="11">
        <v>0.75590000000000002</v>
      </c>
      <c r="K27" s="11">
        <f t="shared" si="8"/>
        <v>93.904032258064518</v>
      </c>
      <c r="L27" s="11">
        <v>1</v>
      </c>
      <c r="M27" s="11">
        <f t="shared" si="4"/>
        <v>4.8333518005540181</v>
      </c>
      <c r="N27" s="11">
        <v>200</v>
      </c>
      <c r="O27" s="11">
        <v>38.799999999999997</v>
      </c>
      <c r="P27" s="11">
        <v>690</v>
      </c>
      <c r="Q27" s="11">
        <f t="shared" si="5"/>
        <v>63.684210526315788</v>
      </c>
      <c r="R27" s="11">
        <v>2.9</v>
      </c>
      <c r="S27" s="11">
        <f t="shared" si="6"/>
        <v>96.588235294117638</v>
      </c>
      <c r="T27" s="11">
        <v>8.85</v>
      </c>
      <c r="U27" s="11">
        <v>0</v>
      </c>
      <c r="V27" s="13">
        <f t="shared" si="7"/>
        <v>-2</v>
      </c>
      <c r="Y27" s="7">
        <v>6000</v>
      </c>
      <c r="Z27">
        <f t="shared" si="9"/>
        <v>60</v>
      </c>
      <c r="AA27" s="14">
        <v>2.4710648148148148E-2</v>
      </c>
      <c r="AB27">
        <f>(35*60)+35</f>
        <v>2135</v>
      </c>
      <c r="AC27">
        <f t="shared" si="15"/>
        <v>2.3148148148148149</v>
      </c>
      <c r="AD27">
        <f t="shared" si="10"/>
        <v>36.231884057971008</v>
      </c>
      <c r="AE27">
        <v>30</v>
      </c>
      <c r="AF27">
        <v>26.4</v>
      </c>
      <c r="AG27">
        <v>19.25</v>
      </c>
      <c r="AH27">
        <v>0.17799999999999999</v>
      </c>
      <c r="AI27">
        <f t="shared" si="11"/>
        <v>99.075324675324666</v>
      </c>
      <c r="AJ27">
        <v>3</v>
      </c>
      <c r="AK27">
        <f t="shared" si="12"/>
        <v>4.6296296296296298</v>
      </c>
      <c r="AL27">
        <v>92</v>
      </c>
      <c r="AM27">
        <v>7.7</v>
      </c>
      <c r="AN27">
        <f t="shared" si="13"/>
        <v>28.703703703703709</v>
      </c>
      <c r="AO27">
        <v>1570</v>
      </c>
      <c r="AP27">
        <f t="shared" si="14"/>
        <v>-2046.0431654676256</v>
      </c>
      <c r="AQ27">
        <v>100</v>
      </c>
      <c r="AR27" s="9">
        <v>8.7100000000000009</v>
      </c>
    </row>
    <row r="28" spans="1:53" x14ac:dyDescent="0.25">
      <c r="Y28" s="7">
        <v>6500</v>
      </c>
      <c r="Z28">
        <f t="shared" si="9"/>
        <v>65</v>
      </c>
      <c r="AA28" s="14">
        <v>2.7418981481481485E-2</v>
      </c>
      <c r="AB28">
        <f>(39*60)+29</f>
        <v>2369</v>
      </c>
      <c r="AC28">
        <f t="shared" si="15"/>
        <v>2.1367521367521367</v>
      </c>
      <c r="AD28">
        <f t="shared" si="10"/>
        <v>33.444816053511701</v>
      </c>
      <c r="AE28">
        <v>30</v>
      </c>
      <c r="AF28">
        <v>26.4</v>
      </c>
      <c r="AG28">
        <v>22.7</v>
      </c>
      <c r="AH28">
        <v>0.20499999999999999</v>
      </c>
      <c r="AI28">
        <f t="shared" si="11"/>
        <v>99.096916299559467</v>
      </c>
      <c r="AJ28">
        <v>3</v>
      </c>
      <c r="AK28">
        <f t="shared" si="12"/>
        <v>4.2735042735042734</v>
      </c>
      <c r="AL28">
        <v>97</v>
      </c>
      <c r="AM28">
        <v>9.5</v>
      </c>
      <c r="AN28">
        <f t="shared" si="13"/>
        <v>12.037037037037045</v>
      </c>
      <c r="AO28">
        <v>1690</v>
      </c>
      <c r="AP28">
        <f t="shared" si="14"/>
        <v>-2210.0719424460431</v>
      </c>
      <c r="AQ28">
        <v>100</v>
      </c>
      <c r="AR28" s="9">
        <v>8.83</v>
      </c>
    </row>
    <row r="29" spans="1:53" x14ac:dyDescent="0.25">
      <c r="J29">
        <f>AVERAGE(J10:J27)</f>
        <v>0.13966555555555557</v>
      </c>
      <c r="N29">
        <f>AVERAGE(N10:N27)</f>
        <v>89.833333333333329</v>
      </c>
      <c r="O29">
        <f>AVERAGE(O10:O27)</f>
        <v>12.783333333333335</v>
      </c>
      <c r="P29">
        <f t="shared" ref="P29:T29" si="16">AVERAGE(P10:P27)</f>
        <v>582.77777777777783</v>
      </c>
      <c r="Q29">
        <f t="shared" si="16"/>
        <v>69.327485380116968</v>
      </c>
      <c r="R29">
        <f t="shared" si="16"/>
        <v>0.53666666666666663</v>
      </c>
      <c r="S29">
        <f t="shared" si="16"/>
        <v>99.368627450980384</v>
      </c>
      <c r="T29">
        <f t="shared" si="16"/>
        <v>8.6883333333333326</v>
      </c>
      <c r="Y29" s="7">
        <v>7000</v>
      </c>
      <c r="Z29">
        <f t="shared" si="9"/>
        <v>70</v>
      </c>
      <c r="AA29" s="14">
        <v>3.0393518518518518E-2</v>
      </c>
      <c r="AB29">
        <f>(43*60)+46</f>
        <v>2626</v>
      </c>
      <c r="AC29">
        <f t="shared" si="15"/>
        <v>1.9455252918287937</v>
      </c>
      <c r="AD29">
        <f t="shared" si="10"/>
        <v>30.451700219928945</v>
      </c>
      <c r="AE29">
        <v>30</v>
      </c>
      <c r="AF29">
        <v>26.5</v>
      </c>
      <c r="AG29">
        <v>25.5</v>
      </c>
      <c r="AH29">
        <v>0.26</v>
      </c>
      <c r="AI29">
        <f t="shared" si="11"/>
        <v>98.980392156862735</v>
      </c>
      <c r="AJ29">
        <v>3</v>
      </c>
      <c r="AK29">
        <f t="shared" si="12"/>
        <v>3.8910505836575875</v>
      </c>
      <c r="AL29">
        <v>110</v>
      </c>
      <c r="AM29">
        <v>11.1</v>
      </c>
      <c r="AN29">
        <f t="shared" si="13"/>
        <v>-2.7777777777777679</v>
      </c>
      <c r="AO29">
        <v>1900</v>
      </c>
      <c r="AP29">
        <f t="shared" si="14"/>
        <v>-2497.1223021582732</v>
      </c>
      <c r="AQ29">
        <v>100</v>
      </c>
      <c r="AR29" s="9">
        <v>9.14</v>
      </c>
    </row>
    <row r="30" spans="1:53" x14ac:dyDescent="0.25">
      <c r="Y30" s="7">
        <v>7500</v>
      </c>
      <c r="Z30">
        <f t="shared" si="9"/>
        <v>75</v>
      </c>
      <c r="AA30" s="14">
        <v>3.3865740740740738E-2</v>
      </c>
      <c r="AB30">
        <f>(48*60)+46</f>
        <v>2926</v>
      </c>
      <c r="AC30">
        <f t="shared" si="15"/>
        <v>1.6666666666666667</v>
      </c>
      <c r="AD30">
        <f t="shared" si="10"/>
        <v>26.086956521739129</v>
      </c>
      <c r="AE30">
        <v>30</v>
      </c>
      <c r="AF30">
        <v>26.6</v>
      </c>
      <c r="AG30">
        <v>29</v>
      </c>
      <c r="AH30">
        <v>0.32900000000000001</v>
      </c>
      <c r="AI30">
        <f t="shared" si="11"/>
        <v>98.865517241379308</v>
      </c>
      <c r="AJ30">
        <v>3</v>
      </c>
      <c r="AK30">
        <f t="shared" si="12"/>
        <v>3.3333333333333335</v>
      </c>
      <c r="AL30">
        <v>109</v>
      </c>
      <c r="AM30">
        <v>11.9</v>
      </c>
      <c r="AN30">
        <f t="shared" si="13"/>
        <v>-10.185185185185187</v>
      </c>
      <c r="AO30">
        <v>2300</v>
      </c>
      <c r="AP30">
        <f t="shared" si="14"/>
        <v>-3043.8848920863306</v>
      </c>
      <c r="AQ30">
        <v>100</v>
      </c>
      <c r="AR30" s="9">
        <v>9.14</v>
      </c>
    </row>
    <row r="31" spans="1:53" x14ac:dyDescent="0.25">
      <c r="Y31" s="7">
        <v>8000</v>
      </c>
      <c r="Z31">
        <f t="shared" si="9"/>
        <v>80</v>
      </c>
      <c r="AA31" s="14">
        <v>3.7870370370370367E-2</v>
      </c>
      <c r="AB31">
        <f>(54*60)+32</f>
        <v>3272</v>
      </c>
      <c r="AC31">
        <f t="shared" si="15"/>
        <v>1.4450867052023122</v>
      </c>
      <c r="AD31">
        <f t="shared" si="10"/>
        <v>22.618748429253582</v>
      </c>
      <c r="AE31">
        <v>30</v>
      </c>
      <c r="AF31">
        <v>26.7</v>
      </c>
      <c r="AG31">
        <v>33.700000000000003</v>
      </c>
      <c r="AH31">
        <v>0.47499999999999998</v>
      </c>
      <c r="AI31">
        <f t="shared" si="11"/>
        <v>98.590504451038569</v>
      </c>
      <c r="AJ31">
        <v>3</v>
      </c>
      <c r="AK31">
        <f t="shared" si="12"/>
        <v>2.8901734104046248</v>
      </c>
      <c r="AL31">
        <v>115</v>
      </c>
      <c r="AM31">
        <v>16.100000000000001</v>
      </c>
      <c r="AN31">
        <f t="shared" si="13"/>
        <v>-49.074074074074069</v>
      </c>
      <c r="AO31">
        <v>3000</v>
      </c>
      <c r="AP31">
        <f t="shared" si="14"/>
        <v>-4000.7194244604316</v>
      </c>
      <c r="AQ31">
        <v>100</v>
      </c>
      <c r="AR31" s="9">
        <v>9.1999999999999993</v>
      </c>
    </row>
    <row r="32" spans="1:53" x14ac:dyDescent="0.25">
      <c r="Y32" s="7">
        <v>8500</v>
      </c>
      <c r="Z32">
        <f t="shared" si="9"/>
        <v>85</v>
      </c>
      <c r="AA32" s="14">
        <v>4.3564814814814813E-2</v>
      </c>
      <c r="AB32">
        <f>3600+164</f>
        <v>3764</v>
      </c>
      <c r="AC32">
        <f t="shared" si="15"/>
        <v>1.0162601626016261</v>
      </c>
      <c r="AD32">
        <f t="shared" si="10"/>
        <v>15.906680805938496</v>
      </c>
      <c r="AE32">
        <v>30</v>
      </c>
      <c r="AF32">
        <v>26.8</v>
      </c>
      <c r="AG32">
        <v>40.200000000000003</v>
      </c>
      <c r="AH32">
        <v>0.76</v>
      </c>
      <c r="AI32">
        <f t="shared" si="11"/>
        <v>98.109452736318403</v>
      </c>
      <c r="AJ32">
        <v>3</v>
      </c>
      <c r="AK32">
        <f t="shared" si="12"/>
        <v>2.0325203252032522</v>
      </c>
      <c r="AL32">
        <v>149</v>
      </c>
      <c r="AM32">
        <v>21.9</v>
      </c>
      <c r="AN32">
        <f t="shared" si="13"/>
        <v>-102.77777777777777</v>
      </c>
      <c r="AO32">
        <v>3900</v>
      </c>
      <c r="AP32">
        <f t="shared" si="14"/>
        <v>-5230.9352517985608</v>
      </c>
      <c r="AQ32">
        <v>100</v>
      </c>
      <c r="AR32" s="9">
        <v>9.23</v>
      </c>
    </row>
    <row r="33" spans="15:44" x14ac:dyDescent="0.25">
      <c r="Y33" s="7">
        <v>9000</v>
      </c>
      <c r="Z33">
        <f t="shared" si="9"/>
        <v>90</v>
      </c>
      <c r="AA33" s="14">
        <v>5.4293981481481485E-2</v>
      </c>
      <c r="AB33">
        <f>3600+(18*60)+11</f>
        <v>4691</v>
      </c>
      <c r="AC33">
        <f t="shared" si="15"/>
        <v>0.53937432578209277</v>
      </c>
      <c r="AD33">
        <f t="shared" si="10"/>
        <v>8.4423807513718856</v>
      </c>
      <c r="AE33">
        <v>30</v>
      </c>
      <c r="AF33">
        <v>26.9</v>
      </c>
      <c r="AG33">
        <v>46.8</v>
      </c>
      <c r="AH33">
        <v>1.6060000000000001</v>
      </c>
      <c r="AI33">
        <f t="shared" si="11"/>
        <v>96.568376068376068</v>
      </c>
      <c r="AJ33">
        <v>3</v>
      </c>
      <c r="AK33">
        <f t="shared" si="12"/>
        <v>1.0787486515641855</v>
      </c>
      <c r="AL33">
        <v>223</v>
      </c>
      <c r="AM33">
        <v>32.799999999999997</v>
      </c>
      <c r="AN33">
        <f t="shared" si="13"/>
        <v>-203.70370370370367</v>
      </c>
      <c r="AO33">
        <v>5000</v>
      </c>
      <c r="AP33">
        <f t="shared" si="14"/>
        <v>-6734.5323741007196</v>
      </c>
      <c r="AQ33">
        <v>100</v>
      </c>
      <c r="AR33" s="9">
        <v>9.2100000000000009</v>
      </c>
    </row>
    <row r="34" spans="15:44" x14ac:dyDescent="0.25">
      <c r="Y34" s="7">
        <v>9500</v>
      </c>
      <c r="Z34">
        <f t="shared" si="9"/>
        <v>95</v>
      </c>
      <c r="AA34" s="14">
        <v>9.5138888888888884E-2</v>
      </c>
      <c r="AB34">
        <f>(2*3600)+(17*60)</f>
        <v>8220</v>
      </c>
      <c r="AC34">
        <f t="shared" si="15"/>
        <v>0.14168319637291019</v>
      </c>
      <c r="AD34">
        <f t="shared" si="10"/>
        <v>2.2176500301846809</v>
      </c>
      <c r="AE34">
        <v>30</v>
      </c>
      <c r="AF34">
        <v>27</v>
      </c>
      <c r="AG34">
        <v>62.6</v>
      </c>
      <c r="AH34">
        <v>7.08</v>
      </c>
      <c r="AI34">
        <f t="shared" si="11"/>
        <v>88.690095846645363</v>
      </c>
      <c r="AJ34">
        <v>3</v>
      </c>
      <c r="AK34">
        <f t="shared" si="12"/>
        <v>0.28336639274582037</v>
      </c>
      <c r="AL34">
        <v>777</v>
      </c>
      <c r="AM34">
        <v>87.2</v>
      </c>
      <c r="AN34">
        <f t="shared" si="13"/>
        <v>-707.40740740740739</v>
      </c>
      <c r="AO34">
        <v>6400</v>
      </c>
      <c r="AP34">
        <f t="shared" si="14"/>
        <v>-8648.2014388489206</v>
      </c>
      <c r="AQ34">
        <v>100</v>
      </c>
      <c r="AR34" s="9">
        <v>9</v>
      </c>
    </row>
    <row r="35" spans="15:44" ht="14.4" thickBot="1" x14ac:dyDescent="0.3">
      <c r="Y35" s="10" t="s">
        <v>54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>
        <v>14960</v>
      </c>
      <c r="AM35" s="11">
        <v>790</v>
      </c>
      <c r="AN35" s="11"/>
      <c r="AO35" s="11">
        <v>11300</v>
      </c>
      <c r="AP35" s="11"/>
      <c r="AQ35" s="11"/>
      <c r="AR35" s="13">
        <v>8.3800000000000008</v>
      </c>
    </row>
    <row r="36" spans="15:44" x14ac:dyDescent="0.25">
      <c r="AH36">
        <f>AVERAGE(AH16:AH34)</f>
        <v>0.63027894736842105</v>
      </c>
      <c r="AL36">
        <f>AVERAGE(AL16:AL34)</f>
        <v>131.94736842105263</v>
      </c>
      <c r="AM36">
        <f>AVERAGE(AM16:AM34)</f>
        <v>13.905263157894737</v>
      </c>
      <c r="AO36">
        <f>AVERAGE(AO16:AO34)</f>
        <v>1986.3157894736842</v>
      </c>
      <c r="AP36">
        <f t="shared" ref="AP36:AR36" si="17">AVERAGE(AP16:AP34)</f>
        <v>-2615.1079136690646</v>
      </c>
      <c r="AQ36">
        <f t="shared" si="17"/>
        <v>100</v>
      </c>
      <c r="AR36">
        <f t="shared" si="17"/>
        <v>8.0542105263157904</v>
      </c>
    </row>
    <row r="40" spans="15:44" x14ac:dyDescent="0.25">
      <c r="O40" s="27"/>
      <c r="P40" s="75" t="s">
        <v>72</v>
      </c>
      <c r="Q40" s="76"/>
      <c r="R40" s="76"/>
      <c r="S40" s="76"/>
      <c r="T40" s="76"/>
      <c r="U40" s="77"/>
    </row>
    <row r="41" spans="15:44" x14ac:dyDescent="0.25">
      <c r="O41" s="28" t="s">
        <v>4</v>
      </c>
      <c r="P41" s="29" t="s">
        <v>73</v>
      </c>
      <c r="Q41" s="30" t="s">
        <v>74</v>
      </c>
      <c r="R41" s="30" t="s">
        <v>75</v>
      </c>
      <c r="S41" s="30" t="s">
        <v>76</v>
      </c>
      <c r="T41" s="30" t="s">
        <v>77</v>
      </c>
      <c r="U41" s="31" t="s">
        <v>78</v>
      </c>
    </row>
    <row r="42" spans="15:44" x14ac:dyDescent="0.25">
      <c r="O42" s="32">
        <v>0</v>
      </c>
      <c r="P42">
        <v>70</v>
      </c>
      <c r="Q42">
        <v>80</v>
      </c>
      <c r="R42">
        <v>50</v>
      </c>
      <c r="S42">
        <v>150</v>
      </c>
      <c r="T42">
        <v>6</v>
      </c>
      <c r="U42" s="33">
        <v>9</v>
      </c>
    </row>
    <row r="43" spans="15:44" ht="14.4" thickBot="1" x14ac:dyDescent="0.3">
      <c r="O43" s="32">
        <v>5</v>
      </c>
      <c r="P43">
        <v>70</v>
      </c>
      <c r="Q43">
        <v>80</v>
      </c>
      <c r="R43">
        <v>50</v>
      </c>
      <c r="S43">
        <v>150</v>
      </c>
      <c r="T43">
        <v>6</v>
      </c>
      <c r="U43" s="33">
        <v>9</v>
      </c>
    </row>
    <row r="44" spans="15:44" ht="14.4" thickBot="1" x14ac:dyDescent="0.3">
      <c r="O44" s="32">
        <v>10</v>
      </c>
      <c r="P44">
        <v>70</v>
      </c>
      <c r="Q44">
        <v>80</v>
      </c>
      <c r="R44">
        <v>50</v>
      </c>
      <c r="S44">
        <v>150</v>
      </c>
      <c r="T44">
        <v>6</v>
      </c>
      <c r="U44" s="33">
        <v>9</v>
      </c>
      <c r="AL44" s="22"/>
      <c r="AM44" s="37" t="s">
        <v>72</v>
      </c>
      <c r="AN44" s="37"/>
      <c r="AO44" s="38"/>
    </row>
    <row r="45" spans="15:44" ht="14.4" thickBot="1" x14ac:dyDescent="0.3">
      <c r="O45" s="32">
        <v>15</v>
      </c>
      <c r="P45">
        <v>70</v>
      </c>
      <c r="Q45">
        <v>80</v>
      </c>
      <c r="R45">
        <v>50</v>
      </c>
      <c r="S45">
        <v>150</v>
      </c>
      <c r="T45">
        <v>6</v>
      </c>
      <c r="U45" s="33">
        <v>9</v>
      </c>
      <c r="AL45" s="10" t="s">
        <v>39</v>
      </c>
      <c r="AM45" s="37" t="s">
        <v>64</v>
      </c>
      <c r="AN45" s="37" t="s">
        <v>80</v>
      </c>
      <c r="AO45" s="38" t="s">
        <v>81</v>
      </c>
    </row>
    <row r="46" spans="15:44" x14ac:dyDescent="0.25">
      <c r="O46" s="32">
        <v>20</v>
      </c>
      <c r="P46">
        <v>70</v>
      </c>
      <c r="Q46">
        <v>80</v>
      </c>
      <c r="R46">
        <v>50</v>
      </c>
      <c r="S46">
        <v>150</v>
      </c>
      <c r="T46">
        <v>6</v>
      </c>
      <c r="U46" s="33">
        <v>9</v>
      </c>
      <c r="AL46" s="7">
        <v>0</v>
      </c>
      <c r="AM46" s="39">
        <v>150</v>
      </c>
      <c r="AN46" s="39">
        <v>70</v>
      </c>
      <c r="AO46" s="9">
        <v>80</v>
      </c>
    </row>
    <row r="47" spans="15:44" x14ac:dyDescent="0.25">
      <c r="O47" s="32">
        <v>25</v>
      </c>
      <c r="P47">
        <v>70</v>
      </c>
      <c r="Q47">
        <v>80</v>
      </c>
      <c r="R47">
        <v>50</v>
      </c>
      <c r="S47">
        <v>150</v>
      </c>
      <c r="T47">
        <v>6</v>
      </c>
      <c r="U47" s="33">
        <v>9</v>
      </c>
      <c r="AL47" s="7">
        <v>20</v>
      </c>
      <c r="AM47" s="39">
        <v>150</v>
      </c>
      <c r="AN47" s="39">
        <v>70</v>
      </c>
      <c r="AO47" s="9">
        <v>80</v>
      </c>
    </row>
    <row r="48" spans="15:44" x14ac:dyDescent="0.25">
      <c r="O48" s="32">
        <v>30</v>
      </c>
      <c r="P48">
        <v>70</v>
      </c>
      <c r="Q48">
        <v>80</v>
      </c>
      <c r="R48">
        <v>50</v>
      </c>
      <c r="S48">
        <v>150</v>
      </c>
      <c r="T48">
        <v>6</v>
      </c>
      <c r="U48" s="33">
        <v>9</v>
      </c>
      <c r="AL48" s="7">
        <v>40</v>
      </c>
      <c r="AM48" s="39">
        <v>150</v>
      </c>
      <c r="AN48" s="39">
        <v>70</v>
      </c>
      <c r="AO48" s="9">
        <v>80</v>
      </c>
    </row>
    <row r="49" spans="15:41" x14ac:dyDescent="0.25">
      <c r="O49" s="32">
        <v>35</v>
      </c>
      <c r="P49">
        <v>70</v>
      </c>
      <c r="Q49">
        <v>80</v>
      </c>
      <c r="R49">
        <v>50</v>
      </c>
      <c r="S49">
        <v>150</v>
      </c>
      <c r="T49">
        <v>6</v>
      </c>
      <c r="U49" s="33">
        <v>9</v>
      </c>
      <c r="AL49" s="7">
        <v>60</v>
      </c>
      <c r="AM49" s="39">
        <v>150</v>
      </c>
      <c r="AN49" s="39">
        <v>70</v>
      </c>
      <c r="AO49" s="9">
        <v>80</v>
      </c>
    </row>
    <row r="50" spans="15:41" x14ac:dyDescent="0.25">
      <c r="O50" s="32">
        <v>40</v>
      </c>
      <c r="P50">
        <v>70</v>
      </c>
      <c r="Q50">
        <v>80</v>
      </c>
      <c r="R50">
        <v>50</v>
      </c>
      <c r="S50">
        <v>150</v>
      </c>
      <c r="T50">
        <v>6</v>
      </c>
      <c r="U50" s="33">
        <v>9</v>
      </c>
      <c r="AL50" s="7">
        <v>80</v>
      </c>
      <c r="AM50" s="39">
        <v>150</v>
      </c>
      <c r="AN50" s="39">
        <v>70</v>
      </c>
      <c r="AO50" s="9">
        <v>80</v>
      </c>
    </row>
    <row r="51" spans="15:41" ht="14.4" thickBot="1" x14ac:dyDescent="0.3">
      <c r="O51" s="32">
        <v>45</v>
      </c>
      <c r="P51">
        <v>70</v>
      </c>
      <c r="Q51">
        <v>80</v>
      </c>
      <c r="R51">
        <v>50</v>
      </c>
      <c r="S51">
        <v>150</v>
      </c>
      <c r="T51">
        <v>6</v>
      </c>
      <c r="U51" s="33">
        <v>9</v>
      </c>
      <c r="AL51" s="10">
        <v>100</v>
      </c>
      <c r="AM51" s="40">
        <v>150</v>
      </c>
      <c r="AN51" s="40">
        <v>70</v>
      </c>
      <c r="AO51" s="13">
        <v>80</v>
      </c>
    </row>
    <row r="52" spans="15:41" x14ac:dyDescent="0.25">
      <c r="O52" s="32">
        <v>50</v>
      </c>
      <c r="P52">
        <v>70</v>
      </c>
      <c r="Q52">
        <v>80</v>
      </c>
      <c r="R52">
        <v>50</v>
      </c>
      <c r="S52">
        <v>150</v>
      </c>
      <c r="T52">
        <v>6</v>
      </c>
      <c r="U52" s="33">
        <v>9</v>
      </c>
    </row>
    <row r="53" spans="15:41" x14ac:dyDescent="0.25">
      <c r="O53" s="32">
        <v>55</v>
      </c>
      <c r="P53">
        <v>70</v>
      </c>
      <c r="Q53">
        <v>80</v>
      </c>
      <c r="R53">
        <v>50</v>
      </c>
      <c r="S53">
        <v>150</v>
      </c>
      <c r="T53">
        <v>6</v>
      </c>
      <c r="U53" s="33">
        <v>9</v>
      </c>
    </row>
    <row r="54" spans="15:41" x14ac:dyDescent="0.25">
      <c r="O54" s="32">
        <v>60</v>
      </c>
      <c r="P54">
        <v>70</v>
      </c>
      <c r="Q54">
        <v>80</v>
      </c>
      <c r="R54">
        <v>50</v>
      </c>
      <c r="S54">
        <v>150</v>
      </c>
      <c r="T54">
        <v>6</v>
      </c>
      <c r="U54" s="33">
        <v>9</v>
      </c>
    </row>
    <row r="55" spans="15:41" x14ac:dyDescent="0.25">
      <c r="O55" s="32">
        <v>65</v>
      </c>
      <c r="P55">
        <v>70</v>
      </c>
      <c r="Q55">
        <v>80</v>
      </c>
      <c r="R55">
        <v>50</v>
      </c>
      <c r="S55">
        <v>150</v>
      </c>
      <c r="T55">
        <v>6</v>
      </c>
      <c r="U55" s="33">
        <v>9</v>
      </c>
    </row>
    <row r="56" spans="15:41" x14ac:dyDescent="0.25">
      <c r="O56" s="32">
        <v>70</v>
      </c>
      <c r="P56">
        <v>70</v>
      </c>
      <c r="Q56">
        <v>80</v>
      </c>
      <c r="R56">
        <v>50</v>
      </c>
      <c r="S56">
        <v>150</v>
      </c>
      <c r="T56">
        <v>6</v>
      </c>
      <c r="U56" s="33">
        <v>9</v>
      </c>
    </row>
    <row r="57" spans="15:41" x14ac:dyDescent="0.25">
      <c r="O57" s="32">
        <v>75</v>
      </c>
      <c r="P57">
        <v>70</v>
      </c>
      <c r="Q57">
        <v>80</v>
      </c>
      <c r="R57">
        <v>50</v>
      </c>
      <c r="S57">
        <v>150</v>
      </c>
      <c r="T57">
        <v>6</v>
      </c>
      <c r="U57" s="33">
        <v>9</v>
      </c>
    </row>
    <row r="58" spans="15:41" x14ac:dyDescent="0.25">
      <c r="O58" s="32">
        <v>80</v>
      </c>
      <c r="P58">
        <v>70</v>
      </c>
      <c r="Q58">
        <v>80</v>
      </c>
      <c r="R58">
        <v>50</v>
      </c>
      <c r="S58">
        <v>150</v>
      </c>
      <c r="T58">
        <v>6</v>
      </c>
      <c r="U58" s="33">
        <v>9</v>
      </c>
    </row>
    <row r="59" spans="15:41" x14ac:dyDescent="0.25">
      <c r="O59" s="32">
        <v>85</v>
      </c>
      <c r="P59">
        <v>70</v>
      </c>
      <c r="Q59">
        <v>80</v>
      </c>
      <c r="R59">
        <v>50</v>
      </c>
      <c r="S59">
        <v>150</v>
      </c>
      <c r="T59">
        <v>6</v>
      </c>
      <c r="U59" s="33">
        <v>9</v>
      </c>
    </row>
    <row r="60" spans="15:41" x14ac:dyDescent="0.25">
      <c r="O60" s="32">
        <v>90</v>
      </c>
      <c r="P60">
        <v>70</v>
      </c>
      <c r="Q60">
        <v>80</v>
      </c>
      <c r="R60">
        <v>50</v>
      </c>
      <c r="S60">
        <v>150</v>
      </c>
      <c r="T60">
        <v>6</v>
      </c>
      <c r="U60" s="33">
        <v>9</v>
      </c>
    </row>
    <row r="61" spans="15:41" x14ac:dyDescent="0.25">
      <c r="O61" s="32">
        <v>95</v>
      </c>
      <c r="P61">
        <v>70</v>
      </c>
      <c r="Q61">
        <v>80</v>
      </c>
      <c r="R61">
        <v>50</v>
      </c>
      <c r="S61">
        <v>150</v>
      </c>
      <c r="T61">
        <v>6</v>
      </c>
      <c r="U61" s="33">
        <v>9</v>
      </c>
    </row>
    <row r="62" spans="15:41" x14ac:dyDescent="0.25">
      <c r="O62" s="32">
        <v>100</v>
      </c>
      <c r="P62">
        <v>70</v>
      </c>
      <c r="Q62">
        <v>80</v>
      </c>
      <c r="R62">
        <v>50</v>
      </c>
      <c r="S62">
        <v>150</v>
      </c>
      <c r="T62">
        <v>6</v>
      </c>
      <c r="U62" s="33">
        <v>9</v>
      </c>
    </row>
    <row r="63" spans="15:41" x14ac:dyDescent="0.25">
      <c r="O63" s="34">
        <v>105</v>
      </c>
      <c r="P63" s="35">
        <v>70</v>
      </c>
      <c r="Q63" s="35">
        <v>80</v>
      </c>
      <c r="R63" s="35">
        <v>50</v>
      </c>
      <c r="S63" s="35">
        <v>150</v>
      </c>
      <c r="T63" s="35">
        <v>6</v>
      </c>
      <c r="U63" s="36">
        <v>9</v>
      </c>
    </row>
  </sheetData>
  <mergeCells count="34">
    <mergeCell ref="AV17:AV20"/>
    <mergeCell ref="AX17:AY17"/>
    <mergeCell ref="AZ17:BA17"/>
    <mergeCell ref="AX18:AY18"/>
    <mergeCell ref="AZ18:BA18"/>
    <mergeCell ref="AX19:AY19"/>
    <mergeCell ref="AZ19:BA19"/>
    <mergeCell ref="AX20:AY20"/>
    <mergeCell ref="AZ20:BA20"/>
    <mergeCell ref="AV13:AV16"/>
    <mergeCell ref="AX13:AY13"/>
    <mergeCell ref="AZ13:BA13"/>
    <mergeCell ref="AX14:AY14"/>
    <mergeCell ref="AZ14:BA14"/>
    <mergeCell ref="AX15:AY15"/>
    <mergeCell ref="AZ15:BA15"/>
    <mergeCell ref="AX16:AY16"/>
    <mergeCell ref="AZ16:BA16"/>
    <mergeCell ref="AM13:AN13"/>
    <mergeCell ref="AX5:AY6"/>
    <mergeCell ref="AX7:AY7"/>
    <mergeCell ref="AZ7:BA7"/>
    <mergeCell ref="P40:U40"/>
    <mergeCell ref="AV8:AV12"/>
    <mergeCell ref="AX8:AY8"/>
    <mergeCell ref="AZ8:BA8"/>
    <mergeCell ref="AX9:AY9"/>
    <mergeCell ref="AZ9:BA9"/>
    <mergeCell ref="AX10:AY10"/>
    <mergeCell ref="AZ10:BA10"/>
    <mergeCell ref="AX11:AY11"/>
    <mergeCell ref="AZ11:BA11"/>
    <mergeCell ref="AX12:AY12"/>
    <mergeCell ref="AZ12:BA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4BD60-E68B-4404-AAF7-94892E45651E}">
  <dimension ref="A1:I49"/>
  <sheetViews>
    <sheetView zoomScale="55" zoomScaleNormal="55" workbookViewId="0">
      <selection activeCell="C24" sqref="C24"/>
    </sheetView>
  </sheetViews>
  <sheetFormatPr defaultRowHeight="13.8" x14ac:dyDescent="0.25"/>
  <cols>
    <col min="1" max="1" width="77.69921875" bestFit="1" customWidth="1"/>
    <col min="2" max="2" width="16.796875" customWidth="1"/>
    <col min="3" max="3" width="24.8984375" bestFit="1" customWidth="1"/>
    <col min="4" max="4" width="12.3984375" bestFit="1" customWidth="1"/>
    <col min="5" max="7" width="11.69921875" bestFit="1" customWidth="1"/>
    <col min="8" max="8" width="15.19921875" bestFit="1" customWidth="1"/>
  </cols>
  <sheetData>
    <row r="1" spans="1:9" x14ac:dyDescent="0.25">
      <c r="C1" t="s">
        <v>141</v>
      </c>
    </row>
    <row r="2" spans="1:9" x14ac:dyDescent="0.25">
      <c r="H2" t="s">
        <v>142</v>
      </c>
    </row>
    <row r="3" spans="1:9" ht="15.6" x14ac:dyDescent="0.3">
      <c r="A3" s="5" t="s">
        <v>143</v>
      </c>
      <c r="B3" s="5"/>
      <c r="C3" s="5" t="s">
        <v>144</v>
      </c>
      <c r="D3" s="5" t="s">
        <v>145</v>
      </c>
      <c r="E3" s="5" t="s">
        <v>146</v>
      </c>
      <c r="F3" s="5" t="s">
        <v>147</v>
      </c>
      <c r="G3" s="5" t="s">
        <v>148</v>
      </c>
      <c r="H3" s="5" t="s">
        <v>149</v>
      </c>
      <c r="I3" s="5" t="s">
        <v>150</v>
      </c>
    </row>
    <row r="4" spans="1:9" x14ac:dyDescent="0.25">
      <c r="A4" t="s">
        <v>151</v>
      </c>
      <c r="B4" t="s">
        <v>163</v>
      </c>
      <c r="C4">
        <v>5000</v>
      </c>
      <c r="D4">
        <v>241</v>
      </c>
      <c r="E4">
        <v>3.2416666666666663E-2</v>
      </c>
      <c r="F4">
        <f>E4/16.667</f>
        <v>1.9449611007779841E-3</v>
      </c>
      <c r="G4">
        <f>E4*D4</f>
        <v>7.8124166666666657</v>
      </c>
      <c r="H4">
        <f>C4*1.37</f>
        <v>6850.0000000000009</v>
      </c>
      <c r="I4">
        <f>D4*100</f>
        <v>24100</v>
      </c>
    </row>
    <row r="5" spans="1:9" x14ac:dyDescent="0.25">
      <c r="A5" t="s">
        <v>152</v>
      </c>
      <c r="B5" t="s">
        <v>163</v>
      </c>
      <c r="C5">
        <v>2742</v>
      </c>
      <c r="D5">
        <v>83</v>
      </c>
      <c r="E5">
        <v>11.700000000000001</v>
      </c>
      <c r="F5">
        <f t="shared" ref="F5:F15" si="0">E5/16.667</f>
        <v>0.70198596028079441</v>
      </c>
      <c r="G5">
        <f t="shared" ref="G5:G15" si="1">E5*D5</f>
        <v>971.10000000000014</v>
      </c>
      <c r="H5">
        <f t="shared" ref="H5:H15" si="2">C5*1.37</f>
        <v>3756.5400000000004</v>
      </c>
      <c r="I5">
        <f t="shared" ref="I5:I15" si="3">D5*100</f>
        <v>8300</v>
      </c>
    </row>
    <row r="6" spans="1:9" x14ac:dyDescent="0.25">
      <c r="A6" t="s">
        <v>153</v>
      </c>
      <c r="B6" t="s">
        <v>164</v>
      </c>
      <c r="C6">
        <v>4296.24</v>
      </c>
      <c r="D6">
        <v>345</v>
      </c>
      <c r="E6">
        <v>38</v>
      </c>
      <c r="F6">
        <f t="shared" si="0"/>
        <v>2.2799544009119814</v>
      </c>
      <c r="G6">
        <f t="shared" si="1"/>
        <v>13110</v>
      </c>
      <c r="H6">
        <f t="shared" si="2"/>
        <v>5885.8487999999998</v>
      </c>
      <c r="I6">
        <f t="shared" si="3"/>
        <v>34500</v>
      </c>
    </row>
    <row r="7" spans="1:9" x14ac:dyDescent="0.25">
      <c r="A7" t="s">
        <v>154</v>
      </c>
      <c r="B7" t="s">
        <v>165</v>
      </c>
      <c r="C7">
        <v>678.91</v>
      </c>
      <c r="D7">
        <v>85</v>
      </c>
      <c r="E7">
        <v>15</v>
      </c>
      <c r="F7">
        <f t="shared" si="0"/>
        <v>0.89998200035999276</v>
      </c>
      <c r="G7">
        <f t="shared" si="1"/>
        <v>1275</v>
      </c>
      <c r="H7">
        <f t="shared" si="2"/>
        <v>930.10670000000005</v>
      </c>
      <c r="I7">
        <f t="shared" si="3"/>
        <v>8500</v>
      </c>
    </row>
    <row r="8" spans="1:9" x14ac:dyDescent="0.25">
      <c r="A8" t="s">
        <v>155</v>
      </c>
      <c r="B8" t="s">
        <v>165</v>
      </c>
      <c r="C8">
        <v>1103.23</v>
      </c>
      <c r="D8">
        <v>85</v>
      </c>
      <c r="E8">
        <v>23</v>
      </c>
      <c r="F8">
        <f t="shared" si="0"/>
        <v>1.3799724005519889</v>
      </c>
      <c r="G8">
        <f t="shared" si="1"/>
        <v>1955</v>
      </c>
      <c r="H8">
        <f t="shared" si="2"/>
        <v>1511.4251000000002</v>
      </c>
      <c r="I8">
        <f t="shared" si="3"/>
        <v>8500</v>
      </c>
    </row>
    <row r="9" spans="1:9" x14ac:dyDescent="0.25">
      <c r="A9" t="s">
        <v>156</v>
      </c>
      <c r="B9" t="s">
        <v>164</v>
      </c>
      <c r="C9">
        <v>731.95</v>
      </c>
      <c r="D9">
        <v>124</v>
      </c>
      <c r="E9">
        <v>15</v>
      </c>
      <c r="F9">
        <f t="shared" si="0"/>
        <v>0.89998200035999276</v>
      </c>
      <c r="G9">
        <f t="shared" si="1"/>
        <v>1860</v>
      </c>
      <c r="H9">
        <f t="shared" si="2"/>
        <v>1002.7715000000002</v>
      </c>
      <c r="I9">
        <f t="shared" si="3"/>
        <v>12400</v>
      </c>
    </row>
    <row r="10" spans="1:9" x14ac:dyDescent="0.25">
      <c r="A10" t="s">
        <v>157</v>
      </c>
      <c r="B10" t="s">
        <v>164</v>
      </c>
      <c r="C10">
        <v>896</v>
      </c>
      <c r="D10">
        <v>83</v>
      </c>
      <c r="E10">
        <v>3.8</v>
      </c>
      <c r="F10">
        <f t="shared" si="0"/>
        <v>0.22799544009119815</v>
      </c>
      <c r="G10">
        <f t="shared" si="1"/>
        <v>315.39999999999998</v>
      </c>
      <c r="H10">
        <f t="shared" si="2"/>
        <v>1227.52</v>
      </c>
      <c r="I10">
        <f t="shared" si="3"/>
        <v>8300</v>
      </c>
    </row>
    <row r="11" spans="1:9" x14ac:dyDescent="0.25">
      <c r="A11" t="s">
        <v>158</v>
      </c>
      <c r="B11" t="s">
        <v>165</v>
      </c>
      <c r="C11">
        <v>968.89</v>
      </c>
      <c r="D11">
        <v>80</v>
      </c>
      <c r="E11">
        <v>13</v>
      </c>
      <c r="F11">
        <f t="shared" si="0"/>
        <v>0.77998440031199368</v>
      </c>
      <c r="G11">
        <f t="shared" si="1"/>
        <v>1040</v>
      </c>
      <c r="H11">
        <f t="shared" si="2"/>
        <v>1327.3793000000001</v>
      </c>
      <c r="I11">
        <f t="shared" si="3"/>
        <v>8000</v>
      </c>
    </row>
    <row r="12" spans="1:9" x14ac:dyDescent="0.25">
      <c r="A12" t="s">
        <v>159</v>
      </c>
      <c r="B12" t="s">
        <v>165</v>
      </c>
      <c r="C12">
        <v>3078.39</v>
      </c>
      <c r="D12">
        <v>51.7</v>
      </c>
      <c r="E12">
        <v>0.08</v>
      </c>
      <c r="F12">
        <f t="shared" si="0"/>
        <v>4.7999040019199614E-3</v>
      </c>
      <c r="G12">
        <f t="shared" si="1"/>
        <v>4.1360000000000001</v>
      </c>
      <c r="H12">
        <f t="shared" si="2"/>
        <v>4217.3942999999999</v>
      </c>
      <c r="I12">
        <f t="shared" si="3"/>
        <v>5170</v>
      </c>
    </row>
    <row r="13" spans="1:9" x14ac:dyDescent="0.25">
      <c r="A13" t="s">
        <v>160</v>
      </c>
      <c r="B13" t="s">
        <v>163</v>
      </c>
      <c r="C13">
        <v>1473.74</v>
      </c>
      <c r="D13">
        <v>80</v>
      </c>
      <c r="E13">
        <v>1.3</v>
      </c>
      <c r="F13">
        <f t="shared" si="0"/>
        <v>7.7998440031199365E-2</v>
      </c>
      <c r="G13">
        <f t="shared" si="1"/>
        <v>104</v>
      </c>
      <c r="H13">
        <f t="shared" si="2"/>
        <v>2019.0238000000002</v>
      </c>
      <c r="I13">
        <f t="shared" si="3"/>
        <v>8000</v>
      </c>
    </row>
    <row r="14" spans="1:9" x14ac:dyDescent="0.25">
      <c r="A14" t="s">
        <v>161</v>
      </c>
      <c r="B14" t="s">
        <v>166</v>
      </c>
      <c r="C14">
        <v>2450.4499999999998</v>
      </c>
      <c r="D14">
        <v>690</v>
      </c>
      <c r="E14">
        <v>285</v>
      </c>
      <c r="F14">
        <f t="shared" si="0"/>
        <v>17.09965800683986</v>
      </c>
      <c r="G14">
        <f t="shared" si="1"/>
        <v>196650</v>
      </c>
      <c r="H14">
        <f t="shared" si="2"/>
        <v>3357.1165000000001</v>
      </c>
      <c r="I14">
        <f t="shared" si="3"/>
        <v>69000</v>
      </c>
    </row>
    <row r="15" spans="1:9" x14ac:dyDescent="0.25">
      <c r="A15" t="s">
        <v>162</v>
      </c>
      <c r="B15" t="s">
        <v>165</v>
      </c>
      <c r="C15">
        <v>9515.3799999999992</v>
      </c>
      <c r="D15">
        <v>83</v>
      </c>
      <c r="E15">
        <v>227</v>
      </c>
      <c r="F15">
        <f t="shared" si="0"/>
        <v>13.61972760544789</v>
      </c>
      <c r="G15">
        <f t="shared" si="1"/>
        <v>18841</v>
      </c>
      <c r="H15">
        <f t="shared" si="2"/>
        <v>13036.070599999999</v>
      </c>
      <c r="I15">
        <f t="shared" si="3"/>
        <v>8300</v>
      </c>
    </row>
    <row r="37" spans="1:9" x14ac:dyDescent="0.25">
      <c r="A37" s="47" t="s">
        <v>167</v>
      </c>
    </row>
    <row r="38" spans="1:9" ht="15.6" x14ac:dyDescent="0.3">
      <c r="A38" s="5" t="s">
        <v>143</v>
      </c>
      <c r="B38" s="5"/>
      <c r="C38" s="5" t="s">
        <v>144</v>
      </c>
      <c r="D38" s="5" t="s">
        <v>145</v>
      </c>
      <c r="E38" s="5" t="s">
        <v>146</v>
      </c>
      <c r="F38" s="5" t="s">
        <v>147</v>
      </c>
      <c r="G38" s="5" t="s">
        <v>148</v>
      </c>
      <c r="H38" s="5" t="s">
        <v>149</v>
      </c>
      <c r="I38" s="5" t="s">
        <v>150</v>
      </c>
    </row>
    <row r="39" spans="1:9" x14ac:dyDescent="0.25">
      <c r="A39" t="s">
        <v>151</v>
      </c>
      <c r="B39" t="s">
        <v>163</v>
      </c>
      <c r="C39">
        <v>5000</v>
      </c>
      <c r="D39">
        <v>241</v>
      </c>
      <c r="E39">
        <v>3.2416666666666663E-2</v>
      </c>
      <c r="F39">
        <f>E39/16.667</f>
        <v>1.9449611007779841E-3</v>
      </c>
      <c r="G39">
        <f>E39*D39</f>
        <v>7.8124166666666657</v>
      </c>
      <c r="H39">
        <f>C39*1.37</f>
        <v>6850.0000000000009</v>
      </c>
      <c r="I39">
        <f>D39*100</f>
        <v>24100</v>
      </c>
    </row>
    <row r="40" spans="1:9" x14ac:dyDescent="0.25">
      <c r="A40" t="s">
        <v>152</v>
      </c>
      <c r="B40" t="s">
        <v>163</v>
      </c>
      <c r="C40">
        <v>2742</v>
      </c>
      <c r="D40">
        <v>83</v>
      </c>
      <c r="E40">
        <v>11.700000000000001</v>
      </c>
      <c r="F40">
        <f t="shared" ref="F40:F49" si="4">E40/16.667</f>
        <v>0.70198596028079441</v>
      </c>
      <c r="G40">
        <f t="shared" ref="G40:G49" si="5">E40*D40</f>
        <v>971.10000000000014</v>
      </c>
      <c r="H40">
        <f t="shared" ref="H40:H49" si="6">C40*1.37</f>
        <v>3756.5400000000004</v>
      </c>
      <c r="I40">
        <f t="shared" ref="I40:I49" si="7">D40*100</f>
        <v>8300</v>
      </c>
    </row>
    <row r="41" spans="1:9" x14ac:dyDescent="0.25">
      <c r="A41" t="s">
        <v>160</v>
      </c>
      <c r="B41" t="s">
        <v>163</v>
      </c>
      <c r="C41">
        <v>1473.74</v>
      </c>
      <c r="D41">
        <v>80</v>
      </c>
      <c r="E41">
        <v>1.3</v>
      </c>
      <c r="F41">
        <f>E41/16.667</f>
        <v>7.7998440031199365E-2</v>
      </c>
      <c r="G41">
        <f>E41*D41</f>
        <v>104</v>
      </c>
      <c r="H41">
        <f>C41*1.37</f>
        <v>2019.0238000000002</v>
      </c>
      <c r="I41">
        <f>D41*100</f>
        <v>8000</v>
      </c>
    </row>
    <row r="42" spans="1:9" x14ac:dyDescent="0.25">
      <c r="A42" t="s">
        <v>153</v>
      </c>
      <c r="B42" t="s">
        <v>164</v>
      </c>
      <c r="C42">
        <v>4296.24</v>
      </c>
      <c r="D42">
        <v>345</v>
      </c>
      <c r="E42">
        <v>38</v>
      </c>
      <c r="F42">
        <f t="shared" si="4"/>
        <v>2.2799544009119814</v>
      </c>
      <c r="G42">
        <f t="shared" si="5"/>
        <v>13110</v>
      </c>
      <c r="H42">
        <f t="shared" si="6"/>
        <v>5885.8487999999998</v>
      </c>
      <c r="I42">
        <f t="shared" si="7"/>
        <v>34500</v>
      </c>
    </row>
    <row r="43" spans="1:9" x14ac:dyDescent="0.25">
      <c r="A43" t="s">
        <v>156</v>
      </c>
      <c r="B43" t="s">
        <v>164</v>
      </c>
      <c r="C43">
        <v>731.95</v>
      </c>
      <c r="D43">
        <v>124</v>
      </c>
      <c r="E43">
        <v>15</v>
      </c>
      <c r="F43">
        <f>E43/16.667</f>
        <v>0.89998200035999276</v>
      </c>
      <c r="G43">
        <f>E43*D43</f>
        <v>1860</v>
      </c>
      <c r="H43">
        <f>C43*1.37</f>
        <v>1002.7715000000002</v>
      </c>
      <c r="I43">
        <f>D43*100</f>
        <v>12400</v>
      </c>
    </row>
    <row r="44" spans="1:9" x14ac:dyDescent="0.25">
      <c r="A44" t="s">
        <v>157</v>
      </c>
      <c r="B44" t="s">
        <v>164</v>
      </c>
      <c r="C44">
        <v>896</v>
      </c>
      <c r="D44">
        <v>83</v>
      </c>
      <c r="E44">
        <v>3.8</v>
      </c>
      <c r="F44">
        <f>E44/16.667</f>
        <v>0.22799544009119815</v>
      </c>
      <c r="G44">
        <f>E44*D44</f>
        <v>315.39999999999998</v>
      </c>
      <c r="H44">
        <f>C44*1.37</f>
        <v>1227.52</v>
      </c>
      <c r="I44">
        <f>D44*100</f>
        <v>8300</v>
      </c>
    </row>
    <row r="45" spans="1:9" x14ac:dyDescent="0.25">
      <c r="A45" t="s">
        <v>154</v>
      </c>
      <c r="B45" t="s">
        <v>165</v>
      </c>
      <c r="C45">
        <v>678.91</v>
      </c>
      <c r="D45">
        <v>85</v>
      </c>
      <c r="E45">
        <v>15</v>
      </c>
      <c r="F45">
        <f t="shared" si="4"/>
        <v>0.89998200035999276</v>
      </c>
      <c r="G45">
        <f t="shared" si="5"/>
        <v>1275</v>
      </c>
      <c r="H45">
        <f t="shared" si="6"/>
        <v>930.10670000000005</v>
      </c>
      <c r="I45">
        <f t="shared" si="7"/>
        <v>8500</v>
      </c>
    </row>
    <row r="46" spans="1:9" x14ac:dyDescent="0.25">
      <c r="A46" t="s">
        <v>155</v>
      </c>
      <c r="B46" t="s">
        <v>165</v>
      </c>
      <c r="C46">
        <v>1103.23</v>
      </c>
      <c r="D46">
        <v>85</v>
      </c>
      <c r="E46">
        <v>23</v>
      </c>
      <c r="F46">
        <f t="shared" si="4"/>
        <v>1.3799724005519889</v>
      </c>
      <c r="G46">
        <f t="shared" si="5"/>
        <v>1955</v>
      </c>
      <c r="H46">
        <f t="shared" si="6"/>
        <v>1511.4251000000002</v>
      </c>
      <c r="I46">
        <f t="shared" si="7"/>
        <v>8500</v>
      </c>
    </row>
    <row r="47" spans="1:9" x14ac:dyDescent="0.25">
      <c r="A47" t="s">
        <v>158</v>
      </c>
      <c r="B47" t="s">
        <v>165</v>
      </c>
      <c r="C47">
        <v>968.89</v>
      </c>
      <c r="D47">
        <v>80</v>
      </c>
      <c r="E47">
        <v>13</v>
      </c>
      <c r="F47">
        <f t="shared" si="4"/>
        <v>0.77998440031199368</v>
      </c>
      <c r="G47">
        <f t="shared" si="5"/>
        <v>1040</v>
      </c>
      <c r="H47">
        <f t="shared" si="6"/>
        <v>1327.3793000000001</v>
      </c>
      <c r="I47">
        <f t="shared" si="7"/>
        <v>8000</v>
      </c>
    </row>
    <row r="48" spans="1:9" x14ac:dyDescent="0.25">
      <c r="A48" t="s">
        <v>159</v>
      </c>
      <c r="B48" t="s">
        <v>165</v>
      </c>
      <c r="C48">
        <v>3078.39</v>
      </c>
      <c r="D48">
        <v>51.7</v>
      </c>
      <c r="E48">
        <v>0.08</v>
      </c>
      <c r="F48">
        <f t="shared" si="4"/>
        <v>4.7999040019199614E-3</v>
      </c>
      <c r="G48">
        <f t="shared" si="5"/>
        <v>4.1360000000000001</v>
      </c>
      <c r="H48">
        <f t="shared" si="6"/>
        <v>4217.3942999999999</v>
      </c>
      <c r="I48">
        <f t="shared" si="7"/>
        <v>5170</v>
      </c>
    </row>
    <row r="49" spans="1:9" x14ac:dyDescent="0.25">
      <c r="A49" t="s">
        <v>162</v>
      </c>
      <c r="B49" t="s">
        <v>165</v>
      </c>
      <c r="C49">
        <v>9515.3799999999992</v>
      </c>
      <c r="D49">
        <v>83</v>
      </c>
      <c r="E49">
        <v>227</v>
      </c>
      <c r="F49">
        <f t="shared" si="4"/>
        <v>13.61972760544789</v>
      </c>
      <c r="G49">
        <f t="shared" si="5"/>
        <v>18841</v>
      </c>
      <c r="H49">
        <f t="shared" si="6"/>
        <v>13036.070599999999</v>
      </c>
      <c r="I49">
        <f t="shared" si="7"/>
        <v>8300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6D9F5-0987-4CB6-A824-A5E29588CCAD}">
  <dimension ref="B1:M47"/>
  <sheetViews>
    <sheetView tabSelected="1" zoomScale="55" zoomScaleNormal="55" workbookViewId="0">
      <selection activeCell="T22" sqref="T22"/>
    </sheetView>
  </sheetViews>
  <sheetFormatPr defaultRowHeight="13.8" x14ac:dyDescent="0.25"/>
  <cols>
    <col min="2" max="2" width="46.69921875" customWidth="1"/>
    <col min="3" max="3" width="29.19921875" customWidth="1"/>
    <col min="4" max="4" width="13.19921875" bestFit="1" customWidth="1"/>
    <col min="10" max="10" width="10.796875" bestFit="1" customWidth="1"/>
  </cols>
  <sheetData>
    <row r="1" spans="2:6" ht="14.4" thickBot="1" x14ac:dyDescent="0.3"/>
    <row r="2" spans="2:6" ht="24" customHeight="1" thickBot="1" x14ac:dyDescent="0.3">
      <c r="B2" s="86" t="s">
        <v>106</v>
      </c>
      <c r="C2" s="87"/>
      <c r="D2" s="46" t="s">
        <v>107</v>
      </c>
      <c r="F2" s="47" t="s">
        <v>108</v>
      </c>
    </row>
    <row r="3" spans="2:6" ht="16.2" x14ac:dyDescent="0.25">
      <c r="B3" s="48" t="s">
        <v>109</v>
      </c>
      <c r="C3" s="49">
        <v>0.24</v>
      </c>
      <c r="D3" s="50"/>
    </row>
    <row r="4" spans="2:6" ht="16.2" x14ac:dyDescent="0.25">
      <c r="B4" s="48" t="s">
        <v>110</v>
      </c>
      <c r="C4" s="49">
        <v>0.16200000000000001</v>
      </c>
      <c r="D4" s="51"/>
      <c r="E4">
        <f>C4*C3</f>
        <v>3.8879999999999998E-2</v>
      </c>
    </row>
    <row r="5" spans="2:6" x14ac:dyDescent="0.25">
      <c r="B5" s="48" t="s">
        <v>111</v>
      </c>
      <c r="C5" s="52">
        <v>0.06</v>
      </c>
      <c r="D5" s="51"/>
    </row>
    <row r="6" spans="2:6" x14ac:dyDescent="0.25">
      <c r="B6" s="48" t="s">
        <v>112</v>
      </c>
      <c r="C6" s="49">
        <v>15</v>
      </c>
      <c r="D6" s="51"/>
    </row>
    <row r="7" spans="2:6" ht="16.2" x14ac:dyDescent="0.25">
      <c r="B7" s="48" t="s">
        <v>113</v>
      </c>
      <c r="C7" s="49">
        <v>33</v>
      </c>
      <c r="D7" s="51"/>
    </row>
    <row r="8" spans="2:6" x14ac:dyDescent="0.25">
      <c r="B8" s="48" t="s">
        <v>114</v>
      </c>
      <c r="C8" s="49">
        <v>30</v>
      </c>
      <c r="D8" s="51"/>
    </row>
    <row r="9" spans="2:6" ht="16.2" x14ac:dyDescent="0.25">
      <c r="B9" s="48" t="s">
        <v>115</v>
      </c>
      <c r="C9" s="49">
        <v>100</v>
      </c>
      <c r="D9" s="51" t="s">
        <v>116</v>
      </c>
    </row>
    <row r="10" spans="2:6" ht="16.2" x14ac:dyDescent="0.25">
      <c r="B10" s="48" t="s">
        <v>117</v>
      </c>
      <c r="C10" s="49">
        <v>0.23</v>
      </c>
      <c r="D10" s="51"/>
    </row>
    <row r="11" spans="2:6" x14ac:dyDescent="0.25">
      <c r="B11" s="48" t="s">
        <v>118</v>
      </c>
      <c r="C11" s="49">
        <v>1</v>
      </c>
      <c r="D11" s="51"/>
    </row>
    <row r="12" spans="2:6" x14ac:dyDescent="0.25">
      <c r="B12" s="48" t="s">
        <v>119</v>
      </c>
      <c r="C12" s="49">
        <v>3</v>
      </c>
      <c r="D12" s="53" t="s">
        <v>120</v>
      </c>
    </row>
    <row r="13" spans="2:6" ht="16.2" x14ac:dyDescent="0.25">
      <c r="B13" s="48" t="s">
        <v>121</v>
      </c>
      <c r="C13" s="49">
        <v>10</v>
      </c>
      <c r="D13" s="51"/>
    </row>
    <row r="14" spans="2:6" x14ac:dyDescent="0.25">
      <c r="B14" s="48" t="s">
        <v>122</v>
      </c>
      <c r="C14" s="49">
        <v>150</v>
      </c>
      <c r="D14" s="51"/>
    </row>
    <row r="15" spans="2:6" x14ac:dyDescent="0.25">
      <c r="B15" s="48" t="s">
        <v>123</v>
      </c>
      <c r="C15" s="49">
        <v>1000</v>
      </c>
      <c r="D15" s="51" t="s">
        <v>124</v>
      </c>
    </row>
    <row r="16" spans="2:6" x14ac:dyDescent="0.25">
      <c r="B16" s="48" t="s">
        <v>125</v>
      </c>
      <c r="C16" s="49">
        <v>80</v>
      </c>
      <c r="D16" s="51"/>
    </row>
    <row r="17" spans="2:13" ht="16.8" thickBot="1" x14ac:dyDescent="0.3">
      <c r="B17" s="48" t="s">
        <v>126</v>
      </c>
      <c r="C17" s="49">
        <v>3</v>
      </c>
      <c r="D17" s="54"/>
    </row>
    <row r="18" spans="2:13" ht="14.55" customHeight="1" thickBot="1" x14ac:dyDescent="0.3">
      <c r="B18" s="86" t="s">
        <v>127</v>
      </c>
      <c r="C18" s="87"/>
      <c r="D18" s="55" t="s">
        <v>128</v>
      </c>
    </row>
    <row r="19" spans="2:13" x14ac:dyDescent="0.25">
      <c r="B19" s="48" t="s">
        <v>129</v>
      </c>
      <c r="C19" s="49">
        <v>450</v>
      </c>
      <c r="D19" s="56">
        <f>C19/C6</f>
        <v>30</v>
      </c>
    </row>
    <row r="20" spans="2:13" ht="16.8" thickBot="1" x14ac:dyDescent="0.3">
      <c r="B20" s="57" t="s">
        <v>130</v>
      </c>
      <c r="C20" s="58">
        <v>0.15</v>
      </c>
      <c r="D20" s="59">
        <f>C20*365</f>
        <v>54.75</v>
      </c>
    </row>
    <row r="23" spans="2:13" ht="14.4" thickBot="1" x14ac:dyDescent="0.3">
      <c r="H23" s="98"/>
      <c r="I23" s="99" t="s">
        <v>131</v>
      </c>
      <c r="J23" s="99"/>
      <c r="K23" s="99"/>
      <c r="L23" s="99"/>
      <c r="M23" s="100"/>
    </row>
    <row r="24" spans="2:13" x14ac:dyDescent="0.25">
      <c r="B24" s="22" t="s">
        <v>132</v>
      </c>
      <c r="C24" s="23">
        <f>(C3*C4)+(C9/(C12*365))</f>
        <v>0.130204200913242</v>
      </c>
      <c r="H24" s="32"/>
      <c r="I24" s="89" t="s">
        <v>133</v>
      </c>
      <c r="J24" s="89">
        <v>200</v>
      </c>
      <c r="K24" s="89">
        <v>100</v>
      </c>
      <c r="L24" s="89">
        <v>50</v>
      </c>
      <c r="M24" s="33">
        <v>25</v>
      </c>
    </row>
    <row r="25" spans="2:13" ht="14.4" thickBot="1" x14ac:dyDescent="0.3">
      <c r="B25" s="10" t="s">
        <v>134</v>
      </c>
      <c r="C25" s="13">
        <f>C24*365</f>
        <v>47.524533333333331</v>
      </c>
      <c r="E25">
        <f>(E4*365)/C25</f>
        <v>0.29860787691409907</v>
      </c>
      <c r="F25" s="60"/>
      <c r="H25" s="101" t="s">
        <v>135</v>
      </c>
      <c r="I25" s="89">
        <v>1</v>
      </c>
      <c r="J25" s="89">
        <f>365*(($C$3*$C$4)+(J$24/($I25*365)))</f>
        <v>214.19120000000001</v>
      </c>
      <c r="K25" s="89">
        <f t="shared" ref="K25:M29" si="0">365*(($C$3*$C$4)+(K$24/($I25*365)))</f>
        <v>114.19120000000001</v>
      </c>
      <c r="L25" s="89">
        <f t="shared" si="0"/>
        <v>64.191199999999995</v>
      </c>
      <c r="M25" s="33">
        <f t="shared" si="0"/>
        <v>39.191199999999995</v>
      </c>
    </row>
    <row r="26" spans="2:13" ht="14.4" thickBot="1" x14ac:dyDescent="0.3">
      <c r="H26" s="101"/>
      <c r="I26" s="89">
        <v>2</v>
      </c>
      <c r="J26" s="89">
        <f t="shared" ref="J26:J29" si="1">365*(($C$3*$C$4)+(J$24/($I26*365)))</f>
        <v>114.19120000000001</v>
      </c>
      <c r="K26" s="89">
        <f t="shared" si="0"/>
        <v>64.191199999999995</v>
      </c>
      <c r="L26" s="89">
        <f t="shared" si="0"/>
        <v>39.191199999999995</v>
      </c>
      <c r="M26" s="33">
        <f t="shared" si="0"/>
        <v>26.691199999999998</v>
      </c>
    </row>
    <row r="27" spans="2:13" ht="14.4" thickBot="1" x14ac:dyDescent="0.3">
      <c r="B27" s="61" t="s">
        <v>136</v>
      </c>
      <c r="C27" s="62">
        <f>(1+C13/100)*(C14+C15+C9)</f>
        <v>1375</v>
      </c>
      <c r="H27" s="101"/>
      <c r="I27" s="89">
        <v>3</v>
      </c>
      <c r="J27" s="89">
        <f t="shared" si="1"/>
        <v>80.857866666666666</v>
      </c>
      <c r="K27" s="89">
        <f t="shared" si="0"/>
        <v>47.524533333333331</v>
      </c>
      <c r="L27" s="89">
        <f t="shared" si="0"/>
        <v>30.857866666666666</v>
      </c>
      <c r="M27" s="33">
        <f t="shared" si="0"/>
        <v>22.524533333333331</v>
      </c>
    </row>
    <row r="28" spans="2:13" ht="14.4" thickBot="1" x14ac:dyDescent="0.3">
      <c r="H28" s="101"/>
      <c r="I28" s="89">
        <v>4</v>
      </c>
      <c r="J28" s="89">
        <f t="shared" si="1"/>
        <v>64.191199999999995</v>
      </c>
      <c r="K28" s="89">
        <f t="shared" si="0"/>
        <v>39.191199999999995</v>
      </c>
      <c r="L28" s="89">
        <f t="shared" si="0"/>
        <v>26.691199999999998</v>
      </c>
      <c r="M28" s="33">
        <f t="shared" si="0"/>
        <v>20.441199999999998</v>
      </c>
    </row>
    <row r="29" spans="2:13" ht="14.4" thickBot="1" x14ac:dyDescent="0.3">
      <c r="B29" s="61" t="s">
        <v>137</v>
      </c>
      <c r="C29" s="63">
        <f>NPV(C5,(D20-C25),(D20-C25),(D20-C25),(D20-C25),(D20-C25),(D20-C25),(D20-C25),(D20-C25),(D20-C25),(D20-C25),(D20-C25),(D20-C25),(D20-C25),(D20-C25),(D20-C25))-C27+C19</f>
        <v>-854.82446868071042</v>
      </c>
      <c r="H29" s="101"/>
      <c r="I29" s="89">
        <v>5</v>
      </c>
      <c r="J29" s="89">
        <f t="shared" si="1"/>
        <v>54.191199999999995</v>
      </c>
      <c r="K29" s="89">
        <f t="shared" si="0"/>
        <v>34.191199999999995</v>
      </c>
      <c r="L29" s="89">
        <f t="shared" si="0"/>
        <v>24.191199999999998</v>
      </c>
      <c r="M29" s="33">
        <f t="shared" si="0"/>
        <v>19.191199999999998</v>
      </c>
    </row>
    <row r="30" spans="2:13" x14ac:dyDescent="0.25">
      <c r="H30" s="32"/>
      <c r="I30" s="89"/>
      <c r="J30" s="89"/>
      <c r="K30" s="89"/>
      <c r="L30" s="89"/>
      <c r="M30" s="33"/>
    </row>
    <row r="31" spans="2:13" x14ac:dyDescent="0.25">
      <c r="C31" s="64"/>
      <c r="E31" s="64"/>
      <c r="H31" s="32"/>
      <c r="I31" s="89"/>
      <c r="J31" s="89"/>
      <c r="K31" s="89"/>
      <c r="L31" s="89"/>
      <c r="M31" s="33"/>
    </row>
    <row r="32" spans="2:13" x14ac:dyDescent="0.25">
      <c r="H32" s="32"/>
      <c r="I32" s="102" t="s">
        <v>131</v>
      </c>
      <c r="J32" s="102"/>
      <c r="K32" s="102"/>
      <c r="L32" s="102"/>
      <c r="M32" s="103"/>
    </row>
    <row r="33" spans="2:13" x14ac:dyDescent="0.25">
      <c r="C33" s="64"/>
      <c r="H33" s="32"/>
      <c r="I33" s="89" t="s">
        <v>138</v>
      </c>
      <c r="J33" s="89">
        <v>200</v>
      </c>
      <c r="K33" s="89">
        <v>100</v>
      </c>
      <c r="L33" s="89">
        <v>50</v>
      </c>
      <c r="M33" s="33">
        <v>25</v>
      </c>
    </row>
    <row r="34" spans="2:13" x14ac:dyDescent="0.25">
      <c r="C34">
        <f>((1+$C$13/100)*($C$14+B38+$C$9))</f>
        <v>1375</v>
      </c>
      <c r="H34" s="101" t="s">
        <v>135</v>
      </c>
      <c r="I34" s="89">
        <v>1</v>
      </c>
      <c r="J34" s="89">
        <f>$D$20-J25</f>
        <v>-159.44120000000001</v>
      </c>
      <c r="K34" s="89">
        <f t="shared" ref="K34:M34" si="2">$D$20-K25</f>
        <v>-59.441200000000009</v>
      </c>
      <c r="L34" s="89">
        <f t="shared" si="2"/>
        <v>-9.4411999999999949</v>
      </c>
      <c r="M34" s="33">
        <f t="shared" si="2"/>
        <v>15.558800000000005</v>
      </c>
    </row>
    <row r="35" spans="2:13" x14ac:dyDescent="0.25">
      <c r="C35">
        <f>((1+$C$13/100)*($C$14+B40+$C$9))</f>
        <v>550</v>
      </c>
      <c r="H35" s="101"/>
      <c r="I35" s="89">
        <v>2</v>
      </c>
      <c r="J35" s="89">
        <f t="shared" ref="J35:M38" si="3">$D$20-J26</f>
        <v>-59.441200000000009</v>
      </c>
      <c r="K35" s="89">
        <f t="shared" si="3"/>
        <v>-9.4411999999999949</v>
      </c>
      <c r="L35" s="89">
        <f t="shared" si="3"/>
        <v>15.558800000000005</v>
      </c>
      <c r="M35" s="33">
        <f t="shared" si="3"/>
        <v>28.058800000000002</v>
      </c>
    </row>
    <row r="36" spans="2:13" ht="14.4" thickBot="1" x14ac:dyDescent="0.3">
      <c r="H36" s="101"/>
      <c r="I36" s="89">
        <v>3</v>
      </c>
      <c r="J36" s="89">
        <f t="shared" si="3"/>
        <v>-26.107866666666666</v>
      </c>
      <c r="K36" s="89">
        <f t="shared" si="3"/>
        <v>7.2254666666666694</v>
      </c>
      <c r="L36" s="89">
        <f t="shared" si="3"/>
        <v>23.892133333333334</v>
      </c>
      <c r="M36" s="33">
        <f t="shared" si="3"/>
        <v>32.225466666666669</v>
      </c>
    </row>
    <row r="37" spans="2:13" ht="14.4" thickBot="1" x14ac:dyDescent="0.3">
      <c r="B37" s="61" t="s">
        <v>123</v>
      </c>
      <c r="C37" s="38" t="s">
        <v>139</v>
      </c>
      <c r="H37" s="101"/>
      <c r="I37" s="89">
        <v>4</v>
      </c>
      <c r="J37" s="89">
        <f t="shared" si="3"/>
        <v>-9.4411999999999949</v>
      </c>
      <c r="K37" s="89">
        <f t="shared" si="3"/>
        <v>15.558800000000005</v>
      </c>
      <c r="L37" s="89">
        <f t="shared" si="3"/>
        <v>28.058800000000002</v>
      </c>
      <c r="M37" s="33">
        <f t="shared" si="3"/>
        <v>34.308800000000005</v>
      </c>
    </row>
    <row r="38" spans="2:13" x14ac:dyDescent="0.25">
      <c r="B38" s="7">
        <v>1000</v>
      </c>
      <c r="C38" s="65">
        <f>NPV($C$5,($D$20-$C$25),($D$20-$C$25),($D$20-$C$25),($D$20-$C$25),($D$20-$C$25),($D$20-$C$25),($D$20-$C$25),($D$20-$C$25),($D$20-$C$25),($D$20-$C$25),($D$20-$C$25),($D$20-$C$25),($D$20-$C$25),($D$20-$C$25),($D$20-$C$25))-((1+$C$13/100)*($C$14+B38+$C$9))+$C$19</f>
        <v>-854.82446868071042</v>
      </c>
      <c r="H38" s="101"/>
      <c r="I38" s="89">
        <v>5</v>
      </c>
      <c r="J38" s="89">
        <f t="shared" si="3"/>
        <v>0.55880000000000507</v>
      </c>
      <c r="K38" s="89">
        <f t="shared" si="3"/>
        <v>20.558800000000005</v>
      </c>
      <c r="L38" s="89">
        <f t="shared" si="3"/>
        <v>30.558800000000002</v>
      </c>
      <c r="M38" s="33">
        <f t="shared" si="3"/>
        <v>35.558800000000005</v>
      </c>
    </row>
    <row r="39" spans="2:13" x14ac:dyDescent="0.25">
      <c r="B39" s="7">
        <v>500</v>
      </c>
      <c r="C39" s="65">
        <f t="shared" ref="C39:C42" si="4">NPV($C$5,($D$20-$C$25),($D$20-$C$25),($D$20-$C$25),($D$20-$C$25),($D$20-$C$25),($D$20-$C$25),($D$20-$C$25),($D$20-$C$25),($D$20-$C$25),($D$20-$C$25),($D$20-$C$25),($D$20-$C$25),($D$20-$C$25),($D$20-$C$25),($D$20-$C$25))-((1+$C$13/100)*($C$14+B39+$C$9))+$C$19</f>
        <v>-304.82446868071054</v>
      </c>
      <c r="H39" s="32"/>
      <c r="I39" s="89"/>
      <c r="J39" s="89"/>
      <c r="K39" s="89"/>
      <c r="L39" s="89"/>
      <c r="M39" s="33"/>
    </row>
    <row r="40" spans="2:13" x14ac:dyDescent="0.25">
      <c r="B40" s="7">
        <v>250</v>
      </c>
      <c r="C40" s="65">
        <f>NPV($C$5,($D$20-$C$25),($D$20-$C$25),($D$20-$C$25),($D$20-$C$25),($D$20-$C$25),($D$20-$C$25),($D$20-$C$25),($D$20-$C$25),($D$20-$C$25),($D$20-$C$25),($D$20-$C$25),($D$20-$C$25),($D$20-$C$25),($D$20-$C$25),($D$20-$C$25))-((1+$C$13/100)*($C$14+B40+$C$9))+$C$19</f>
        <v>-29.824468680710424</v>
      </c>
      <c r="H40" s="32" t="s">
        <v>140</v>
      </c>
      <c r="I40" s="89"/>
      <c r="J40" s="89"/>
      <c r="K40" s="89"/>
      <c r="L40" s="89"/>
      <c r="M40" s="33"/>
    </row>
    <row r="41" spans="2:13" x14ac:dyDescent="0.25">
      <c r="B41" s="7">
        <v>100</v>
      </c>
      <c r="C41" s="65">
        <f t="shared" si="4"/>
        <v>135.17553131928952</v>
      </c>
      <c r="H41" s="32"/>
      <c r="I41" s="102" t="s">
        <v>131</v>
      </c>
      <c r="J41" s="102"/>
      <c r="K41" s="102"/>
      <c r="L41" s="102"/>
      <c r="M41" s="103"/>
    </row>
    <row r="42" spans="2:13" ht="14.4" thickBot="1" x14ac:dyDescent="0.3">
      <c r="B42" s="10">
        <v>50</v>
      </c>
      <c r="C42" s="66">
        <f t="shared" si="4"/>
        <v>190.17553131928958</v>
      </c>
      <c r="H42" s="32"/>
      <c r="I42" s="89" t="s">
        <v>137</v>
      </c>
      <c r="J42" s="89">
        <v>200</v>
      </c>
      <c r="K42" s="89">
        <v>100</v>
      </c>
      <c r="L42" s="89">
        <v>50</v>
      </c>
      <c r="M42" s="33">
        <v>25</v>
      </c>
    </row>
    <row r="43" spans="2:13" x14ac:dyDescent="0.25">
      <c r="H43" s="101" t="s">
        <v>135</v>
      </c>
      <c r="I43" s="89">
        <v>1</v>
      </c>
      <c r="J43" s="104">
        <f>NPV(0.06,J34,J34,J34,J34,J34,J34,J34,J34,J34,J34,J34,J34,J34,J34,J34)-$C$35+$C$19</f>
        <v>-1648.5326333042076</v>
      </c>
      <c r="K43" s="104">
        <f>NPV(0.06,K34,K34,K34,K34,K34,K34,K34,K34,K34,K34,K34,K34,K34,K34,K34)-$C$35+$C$19</f>
        <v>-677.30773453010943</v>
      </c>
      <c r="L43" s="104">
        <f t="shared" ref="L43:M44" si="5">NPV(0.06,L34,L34,L34,L34,L34,L34,L34,L34,L34,L34,L34,L34,L34,L34,L34)-$C$35+$C$19</f>
        <v>-191.69528514306012</v>
      </c>
      <c r="M43" s="105">
        <f t="shared" si="5"/>
        <v>51.110939550464423</v>
      </c>
    </row>
    <row r="44" spans="2:13" x14ac:dyDescent="0.25">
      <c r="H44" s="101"/>
      <c r="I44" s="89">
        <v>2</v>
      </c>
      <c r="J44" s="104">
        <f>NPV(0.06,J35,J35,J35,J35,J35,J35,J35,J35,J35,J35,J35,J35,J35,J35,J35)-$C$35+$C$19</f>
        <v>-677.30773453010943</v>
      </c>
      <c r="K44" s="104">
        <f>NPV(0.06,K35,K35,K35,K35,K35,K35,K35,K35,K35,K35,K35,K35,K35,K35,K35)-$C$35+$C$19</f>
        <v>-191.69528514306012</v>
      </c>
      <c r="L44" s="104">
        <f t="shared" si="5"/>
        <v>51.110939550464423</v>
      </c>
      <c r="M44" s="105">
        <f t="shared" si="5"/>
        <v>172.51405189722675</v>
      </c>
    </row>
    <row r="45" spans="2:13" x14ac:dyDescent="0.25">
      <c r="H45" s="101"/>
      <c r="I45" s="89">
        <v>3</v>
      </c>
      <c r="J45" s="104">
        <f t="shared" ref="J45:M47" si="6">NPV(0.06,J36,J36,J36,J36,J36,J36,J36,J36,J36,J36,J36,J36,J36,J36,J36)-$C$35+$C$19</f>
        <v>-353.56610160540981</v>
      </c>
      <c r="K45" s="104">
        <f t="shared" si="6"/>
        <v>-29.824468680710424</v>
      </c>
      <c r="L45" s="104">
        <f t="shared" si="6"/>
        <v>132.04634778163927</v>
      </c>
      <c r="M45" s="105">
        <f t="shared" si="6"/>
        <v>212.98175601281417</v>
      </c>
    </row>
    <row r="46" spans="2:13" x14ac:dyDescent="0.25">
      <c r="H46" s="101"/>
      <c r="I46" s="89">
        <v>4</v>
      </c>
      <c r="J46" s="104">
        <f t="shared" si="6"/>
        <v>-191.69528514306012</v>
      </c>
      <c r="K46" s="104">
        <f t="shared" si="6"/>
        <v>51.110939550464423</v>
      </c>
      <c r="L46" s="104">
        <f t="shared" si="6"/>
        <v>172.51405189722675</v>
      </c>
      <c r="M46" s="105">
        <f t="shared" si="6"/>
        <v>233.21560807060791</v>
      </c>
    </row>
    <row r="47" spans="2:13" x14ac:dyDescent="0.25">
      <c r="H47" s="106"/>
      <c r="I47" s="35">
        <v>5</v>
      </c>
      <c r="J47" s="107">
        <f t="shared" si="6"/>
        <v>-94.572795265650257</v>
      </c>
      <c r="K47" s="107">
        <f t="shared" si="6"/>
        <v>99.672184489169354</v>
      </c>
      <c r="L47" s="107">
        <f t="shared" si="6"/>
        <v>196.79467436657922</v>
      </c>
      <c r="M47" s="108">
        <f t="shared" si="6"/>
        <v>245.3559193052842</v>
      </c>
    </row>
  </sheetData>
  <mergeCells count="8">
    <mergeCell ref="I41:M41"/>
    <mergeCell ref="H43:H47"/>
    <mergeCell ref="B2:C2"/>
    <mergeCell ref="B18:C18"/>
    <mergeCell ref="I23:M23"/>
    <mergeCell ref="H25:H29"/>
    <mergeCell ref="I32:M32"/>
    <mergeCell ref="H34:H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3</vt:lpstr>
      <vt:lpstr>Figure 4</vt:lpstr>
      <vt:lpstr>Figure 5</vt:lpstr>
      <vt:lpstr>Figure 6</vt:lpstr>
      <vt:lpstr>Figure 7</vt:lpstr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Davey, Chris</dc:creator>
  <cp:lastModifiedBy>Navya Thomas</cp:lastModifiedBy>
  <dcterms:created xsi:type="dcterms:W3CDTF">2021-07-02T11:51:01Z</dcterms:created>
  <dcterms:modified xsi:type="dcterms:W3CDTF">2021-09-23T22:14:43Z</dcterms:modified>
</cp:coreProperties>
</file>