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xr:revisionPtr revIDLastSave="59" documentId="13_ncr:1_{C8BB3E2F-B73C-4BA4-825C-2959F058124C}" xr6:coauthVersionLast="47" xr6:coauthVersionMax="47" xr10:uidLastSave="{2C688A8F-53D0-48EE-883F-B77198D969E3}"/>
  <bookViews>
    <workbookView xWindow="-28920" yWindow="-120" windowWidth="29040" windowHeight="17640" firstSheet="4" activeTab="9" xr2:uid="{00000000-000D-0000-FFFF-FFFF00000000}"/>
  </bookViews>
  <sheets>
    <sheet name="Usability_revised" sheetId="8" r:id="rId1"/>
    <sheet name="Sheet3" sheetId="11" state="hidden" r:id="rId2"/>
    <sheet name="Sheet5" sheetId="13" state="hidden" r:id="rId3"/>
    <sheet name="Sheet6" sheetId="14" state="hidden" r:id="rId4"/>
    <sheet name="Demographic" sheetId="1" r:id="rId5"/>
    <sheet name="Performance &amp; workload" sheetId="2" r:id="rId6"/>
    <sheet name="Eye Tracking_numeric" sheetId="5" r:id="rId7"/>
    <sheet name="Usability" sheetId="3" r:id="rId8"/>
    <sheet name="Legend" sheetId="4" r:id="rId9"/>
    <sheet name="Summary usability" sheetId="7" r:id="rId10"/>
  </sheets>
  <externalReferences>
    <externalReference r:id="rId1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3" i="2" l="1"/>
  <c r="AU23" i="2"/>
  <c r="AN23" i="2"/>
  <c r="AM23" i="2"/>
  <c r="AL23" i="2"/>
  <c r="AK23" i="2"/>
  <c r="AJ23" i="2"/>
  <c r="AI23" i="2"/>
  <c r="Q23" i="2"/>
  <c r="BG3" i="2" l="1"/>
  <c r="BG4" i="2"/>
  <c r="BG5" i="2"/>
  <c r="BG6" i="2"/>
  <c r="BG7" i="2"/>
  <c r="BG8" i="2"/>
  <c r="BG9" i="2"/>
  <c r="BG10" i="2"/>
  <c r="BG11" i="2"/>
  <c r="BI3" i="2"/>
  <c r="BJ3" i="2"/>
  <c r="BI4" i="2"/>
  <c r="BJ4" i="2"/>
  <c r="BI5" i="2"/>
  <c r="BJ5" i="2"/>
  <c r="BI6" i="2"/>
  <c r="BJ6" i="2"/>
  <c r="BI7" i="2"/>
  <c r="BJ7" i="2"/>
  <c r="BI8" i="2"/>
  <c r="BJ8" i="2"/>
  <c r="BI9" i="2"/>
  <c r="BJ9" i="2"/>
  <c r="BI10" i="2"/>
  <c r="BJ10" i="2"/>
  <c r="BI11" i="2"/>
  <c r="BJ11" i="2"/>
  <c r="BH4" i="2"/>
  <c r="BH5" i="2"/>
  <c r="BH6" i="2"/>
  <c r="BH7" i="2"/>
  <c r="BH8" i="2"/>
  <c r="BH9" i="2"/>
  <c r="BH10" i="2"/>
  <c r="BH11" i="2"/>
  <c r="BH3" i="2"/>
  <c r="BC12" i="2"/>
  <c r="BB12" i="2"/>
  <c r="BA12" i="2"/>
  <c r="AZ12" i="2"/>
  <c r="AY12" i="2"/>
  <c r="AX12" i="2"/>
  <c r="AD12" i="2"/>
  <c r="AE12" i="2"/>
  <c r="AF12" i="2"/>
  <c r="AG12" i="2"/>
  <c r="AH12" i="2"/>
  <c r="AC12" i="2"/>
  <c r="BD4" i="2"/>
  <c r="BD5" i="2"/>
  <c r="BD6" i="2"/>
  <c r="BD7" i="2"/>
  <c r="BD8" i="2"/>
  <c r="BD9" i="2"/>
  <c r="BD10" i="2"/>
  <c r="BD11" i="2"/>
  <c r="BD3" i="2"/>
  <c r="S54" i="5" l="1"/>
  <c r="S53" i="5"/>
  <c r="S52" i="5"/>
  <c r="S51" i="5"/>
  <c r="S50" i="5"/>
  <c r="S49" i="5"/>
  <c r="S35" i="5" l="1"/>
  <c r="S36" i="5"/>
  <c r="S37" i="5"/>
  <c r="S38" i="5"/>
  <c r="S39" i="5"/>
  <c r="S40" i="5"/>
  <c r="S41" i="5"/>
  <c r="S42" i="5"/>
  <c r="S43" i="5"/>
  <c r="S34" i="5"/>
  <c r="S19" i="5"/>
  <c r="S15" i="5"/>
  <c r="S22" i="5"/>
  <c r="S23" i="5"/>
  <c r="S4" i="8"/>
  <c r="S5" i="8"/>
  <c r="S6" i="8"/>
  <c r="S7" i="8"/>
  <c r="S8" i="8"/>
  <c r="S9" i="8"/>
  <c r="S10" i="8"/>
  <c r="S11" i="8"/>
  <c r="S12" i="8"/>
  <c r="S13" i="8"/>
  <c r="S14" i="8"/>
  <c r="S15" i="8"/>
  <c r="S16" i="8"/>
  <c r="S17" i="8"/>
  <c r="S18" i="8"/>
  <c r="S19" i="8"/>
  <c r="S20" i="8"/>
  <c r="S21" i="8"/>
  <c r="S22" i="8"/>
  <c r="S23" i="8"/>
  <c r="S24" i="8"/>
  <c r="S25" i="8"/>
  <c r="S26" i="8"/>
  <c r="S27" i="8"/>
  <c r="S28" i="8"/>
  <c r="S29" i="8"/>
  <c r="S30" i="8"/>
  <c r="S31" i="8"/>
  <c r="S32" i="8"/>
  <c r="S33" i="8"/>
  <c r="S34" i="8"/>
  <c r="S35" i="8"/>
  <c r="S36" i="8"/>
  <c r="S37" i="8"/>
  <c r="S38" i="8"/>
  <c r="S39" i="8"/>
  <c r="S40" i="8"/>
  <c r="S41" i="8"/>
  <c r="S42" i="8"/>
  <c r="S43" i="8"/>
  <c r="S44" i="8"/>
  <c r="S45" i="8"/>
  <c r="S46" i="8"/>
  <c r="S47" i="8"/>
  <c r="S48" i="8"/>
  <c r="S49" i="8"/>
  <c r="S50" i="8"/>
  <c r="S51" i="8"/>
  <c r="S52" i="8"/>
  <c r="S3" i="8"/>
  <c r="S33" i="5"/>
  <c r="S25" i="5"/>
  <c r="S26" i="5"/>
  <c r="S27" i="5"/>
  <c r="S28" i="5"/>
  <c r="S29" i="5"/>
  <c r="S30" i="5"/>
  <c r="S31" i="5"/>
  <c r="S24" i="5"/>
  <c r="S5" i="5"/>
  <c r="S7" i="5"/>
  <c r="S9" i="5"/>
  <c r="S11" i="5"/>
  <c r="S12" i="5"/>
  <c r="S4" i="5"/>
  <c r="R44" i="5"/>
  <c r="R21" i="5"/>
  <c r="Q21" i="5"/>
  <c r="L23" i="5"/>
  <c r="L4" i="5"/>
  <c r="K26" i="5"/>
  <c r="K27" i="5"/>
  <c r="K28" i="5"/>
  <c r="K29" i="5"/>
  <c r="K30" i="5"/>
  <c r="K24" i="5"/>
  <c r="K4" i="5"/>
  <c r="S44" i="5" l="1"/>
  <c r="P21" i="5"/>
  <c r="K5" i="5" l="1"/>
  <c r="K7" i="5"/>
  <c r="K9" i="5"/>
  <c r="P44" i="5"/>
  <c r="O44" i="5"/>
  <c r="N44" i="5"/>
  <c r="L42" i="5"/>
  <c r="L43" i="5"/>
  <c r="L41" i="5"/>
  <c r="L40" i="5"/>
  <c r="L39" i="5"/>
  <c r="L38" i="5"/>
  <c r="L37" i="5"/>
  <c r="L36" i="5"/>
  <c r="L35" i="5"/>
  <c r="L34" i="5"/>
  <c r="L44" i="5" l="1"/>
  <c r="L33" i="5"/>
  <c r="L28" i="5"/>
  <c r="M28" i="5" s="1"/>
  <c r="L29" i="5"/>
  <c r="M29" i="5" s="1"/>
  <c r="L30" i="5"/>
  <c r="M30" i="5" s="1"/>
  <c r="L31" i="5"/>
  <c r="L27" i="5"/>
  <c r="M27" i="5" s="1"/>
  <c r="L25" i="5"/>
  <c r="L26" i="5"/>
  <c r="M26" i="5" s="1"/>
  <c r="L5" i="5" l="1"/>
  <c r="L7" i="5"/>
  <c r="M7" i="5" s="1"/>
  <c r="L9" i="5"/>
  <c r="M9" i="5" s="1"/>
  <c r="L11" i="5"/>
  <c r="L12" i="5"/>
  <c r="L15" i="5"/>
  <c r="L19" i="5"/>
  <c r="L22" i="5"/>
  <c r="L24" i="5"/>
  <c r="I43" i="5"/>
  <c r="K43" i="5" s="1"/>
  <c r="I42" i="5"/>
  <c r="K42" i="5" s="1"/>
  <c r="I41" i="5"/>
  <c r="K41" i="5" s="1"/>
  <c r="I40" i="5"/>
  <c r="K40" i="5" s="1"/>
  <c r="I39" i="5"/>
  <c r="K39" i="5" s="1"/>
  <c r="I38" i="5"/>
  <c r="K38" i="5" s="1"/>
  <c r="I37" i="5"/>
  <c r="K37" i="5" s="1"/>
  <c r="I36" i="5"/>
  <c r="K36" i="5" s="1"/>
  <c r="I35" i="5"/>
  <c r="K35" i="5" s="1"/>
  <c r="I34" i="5"/>
  <c r="K34" i="5" s="1"/>
  <c r="I33" i="5"/>
  <c r="K33" i="5" s="1"/>
  <c r="I32" i="5"/>
  <c r="I31" i="5"/>
  <c r="K31" i="5" s="1"/>
  <c r="I25" i="5"/>
  <c r="K25" i="5" s="1"/>
  <c r="I23" i="5"/>
  <c r="K23" i="5" s="1"/>
  <c r="I22" i="5"/>
  <c r="I21" i="5"/>
  <c r="I20" i="5"/>
  <c r="I19" i="5"/>
  <c r="I18" i="5"/>
  <c r="I17" i="5"/>
  <c r="I16" i="5"/>
  <c r="I15" i="5"/>
  <c r="I14" i="5"/>
  <c r="I13" i="5"/>
  <c r="I12" i="5"/>
  <c r="K12" i="5" s="1"/>
  <c r="I11" i="5"/>
  <c r="K11" i="5" s="1"/>
  <c r="I10" i="5"/>
  <c r="I3" i="5"/>
  <c r="K44" i="5" l="1"/>
  <c r="M33" i="5"/>
  <c r="M31" i="5"/>
  <c r="M25" i="5"/>
  <c r="K17" i="5"/>
  <c r="L21" i="5"/>
  <c r="M24" i="5"/>
  <c r="M11" i="5"/>
  <c r="M5" i="5"/>
  <c r="M4" i="5"/>
  <c r="L17" i="5"/>
  <c r="M12" i="5"/>
  <c r="K15" i="5"/>
  <c r="K19" i="5"/>
  <c r="K22" i="5"/>
  <c r="K21" i="5" l="1"/>
  <c r="M17" i="5"/>
  <c r="Q13" i="2"/>
  <c r="Q3" i="2"/>
  <c r="R55" i="8" l="1"/>
  <c r="Q55" i="8"/>
  <c r="R54" i="8"/>
  <c r="Q54" i="8"/>
  <c r="R53" i="8"/>
  <c r="Q53" i="8"/>
  <c r="R52" i="8"/>
  <c r="Q52" i="8"/>
  <c r="R51" i="8"/>
  <c r="Q51" i="8"/>
  <c r="R50" i="8"/>
  <c r="Q50" i="8"/>
  <c r="R49" i="8"/>
  <c r="Q49" i="8"/>
  <c r="R48" i="8"/>
  <c r="Q48" i="8"/>
  <c r="R47" i="8"/>
  <c r="Q47" i="8"/>
  <c r="R46" i="8"/>
  <c r="Q46" i="8"/>
  <c r="R45" i="8"/>
  <c r="Q45" i="8"/>
  <c r="R44" i="8"/>
  <c r="Q44" i="8"/>
  <c r="R43" i="8"/>
  <c r="Q43" i="8"/>
  <c r="R42" i="8"/>
  <c r="Q42" i="8"/>
  <c r="R41" i="8"/>
  <c r="Q41" i="8"/>
  <c r="R40" i="8"/>
  <c r="Q40" i="8"/>
  <c r="R39" i="8"/>
  <c r="Q39" i="8"/>
  <c r="R38" i="8"/>
  <c r="Q38" i="8"/>
  <c r="R37" i="8"/>
  <c r="Q37" i="8"/>
  <c r="R36" i="8"/>
  <c r="Q36" i="8"/>
  <c r="R35" i="8"/>
  <c r="Q35" i="8"/>
  <c r="R34" i="8"/>
  <c r="Q34" i="8"/>
  <c r="R33" i="8"/>
  <c r="Q33" i="8"/>
  <c r="R32" i="8"/>
  <c r="Q32" i="8"/>
  <c r="R31" i="8"/>
  <c r="Q31" i="8"/>
  <c r="R30" i="8"/>
  <c r="Q30" i="8"/>
  <c r="R29" i="8"/>
  <c r="Q29" i="8"/>
  <c r="R28" i="8"/>
  <c r="Q28" i="8"/>
  <c r="R27" i="8"/>
  <c r="Q27" i="8"/>
  <c r="R26" i="8"/>
  <c r="Q26" i="8"/>
  <c r="R25" i="8"/>
  <c r="Q25" i="8"/>
  <c r="R24" i="8"/>
  <c r="Q24" i="8"/>
  <c r="R23" i="8"/>
  <c r="Q23" i="8"/>
  <c r="R22" i="8"/>
  <c r="Q22" i="8"/>
  <c r="R21" i="8"/>
  <c r="Q21" i="8"/>
  <c r="R20" i="8"/>
  <c r="Q20" i="8"/>
  <c r="R19" i="8"/>
  <c r="Q19" i="8"/>
  <c r="R18" i="8"/>
  <c r="Q18" i="8"/>
  <c r="R17" i="8"/>
  <c r="Q17" i="8"/>
  <c r="R16" i="8"/>
  <c r="Q16" i="8"/>
  <c r="R15" i="8"/>
  <c r="Q15" i="8"/>
  <c r="R14" i="8"/>
  <c r="Q14" i="8"/>
  <c r="R13" i="8"/>
  <c r="Q13" i="8"/>
  <c r="R12" i="8"/>
  <c r="Q12" i="8"/>
  <c r="R11" i="8"/>
  <c r="Q11" i="8"/>
  <c r="R10" i="8"/>
  <c r="Q10" i="8"/>
  <c r="R9" i="8"/>
  <c r="Q9" i="8"/>
  <c r="R8" i="8"/>
  <c r="Q8" i="8"/>
  <c r="R7" i="8"/>
  <c r="Q7" i="8"/>
  <c r="R6" i="8"/>
  <c r="Q6" i="8"/>
  <c r="R5" i="8"/>
  <c r="Q5" i="8"/>
  <c r="R4" i="8"/>
  <c r="Q4" i="8"/>
  <c r="R3" i="8"/>
  <c r="Q3" i="8"/>
  <c r="AV11" i="2"/>
  <c r="BK11" i="2" s="1"/>
  <c r="AV10" i="2"/>
  <c r="BK10" i="2" s="1"/>
  <c r="AV9" i="2"/>
  <c r="BK9" i="2" s="1"/>
  <c r="AV8" i="2"/>
  <c r="BK8" i="2" s="1"/>
  <c r="AV7" i="2"/>
  <c r="BK7" i="2" s="1"/>
  <c r="AV6" i="2"/>
  <c r="BK6" i="2" s="1"/>
  <c r="AV5" i="2"/>
  <c r="BK5" i="2" s="1"/>
  <c r="AV4" i="2"/>
  <c r="BK4" i="2" s="1"/>
  <c r="AV3" i="2"/>
  <c r="BK3" i="2" s="1"/>
  <c r="Q12" i="2" l="1"/>
  <c r="Q11" i="2"/>
  <c r="Q10" i="2"/>
  <c r="Q9" i="2"/>
  <c r="Q8" i="2"/>
  <c r="Q7" i="2"/>
  <c r="Q6" i="2"/>
  <c r="Q5" i="2"/>
  <c r="Q4" i="2"/>
  <c r="Q6" i="3" l="1"/>
  <c r="R6" i="3"/>
  <c r="Q7" i="3"/>
  <c r="R7" i="3"/>
  <c r="Q8" i="3"/>
  <c r="R8" i="3"/>
  <c r="Q9" i="3"/>
  <c r="R9" i="3"/>
  <c r="Q10" i="3"/>
  <c r="R10" i="3"/>
  <c r="Q11" i="3"/>
  <c r="R11" i="3"/>
  <c r="Q12" i="3"/>
  <c r="R12" i="3"/>
  <c r="Q13" i="3"/>
  <c r="R13" i="3"/>
  <c r="Q14" i="3"/>
  <c r="R14" i="3"/>
  <c r="Q15" i="3"/>
  <c r="R15" i="3"/>
  <c r="Q16" i="3"/>
  <c r="R16" i="3"/>
  <c r="Q17" i="3"/>
  <c r="R17" i="3"/>
  <c r="Q18" i="3"/>
  <c r="R18" i="3"/>
  <c r="Q19" i="3"/>
  <c r="R19" i="3"/>
  <c r="Q20" i="3"/>
  <c r="R20" i="3"/>
  <c r="Q21" i="3"/>
  <c r="R21" i="3"/>
  <c r="Q22" i="3"/>
  <c r="R22" i="3"/>
  <c r="Q23" i="3"/>
  <c r="R23" i="3"/>
  <c r="Q24" i="3"/>
  <c r="R24" i="3"/>
  <c r="Q25" i="3"/>
  <c r="R25" i="3"/>
  <c r="Q26" i="3"/>
  <c r="R26" i="3"/>
  <c r="Q27" i="3"/>
  <c r="R27" i="3"/>
  <c r="Q28" i="3"/>
  <c r="R28" i="3"/>
  <c r="Q29" i="3"/>
  <c r="R29" i="3"/>
  <c r="Q30" i="3"/>
  <c r="R30" i="3"/>
  <c r="Q31" i="3"/>
  <c r="R31" i="3"/>
  <c r="Q32" i="3"/>
  <c r="R32" i="3"/>
  <c r="Q33" i="3"/>
  <c r="R33" i="3"/>
  <c r="Q34" i="3"/>
  <c r="R34" i="3"/>
  <c r="Q35" i="3"/>
  <c r="R35" i="3"/>
  <c r="Q36" i="3"/>
  <c r="R36" i="3"/>
  <c r="Q37" i="3"/>
  <c r="R37" i="3"/>
  <c r="Q38" i="3"/>
  <c r="R38" i="3"/>
  <c r="Q39" i="3"/>
  <c r="R39" i="3"/>
  <c r="Q40" i="3"/>
  <c r="R40" i="3"/>
  <c r="Q41" i="3"/>
  <c r="R41" i="3"/>
  <c r="Q42" i="3"/>
  <c r="R42" i="3"/>
  <c r="Q43" i="3"/>
  <c r="R43" i="3"/>
  <c r="Q4" i="3"/>
  <c r="R4" i="3"/>
  <c r="Q5" i="3"/>
  <c r="R5" i="3"/>
  <c r="R3" i="3"/>
  <c r="Q3" i="3"/>
  <c r="AV46" i="2" l="1"/>
  <c r="AV47" i="2"/>
  <c r="AV48" i="2"/>
  <c r="AV49" i="2"/>
  <c r="AV50" i="2"/>
  <c r="AV51" i="2"/>
  <c r="AV52" i="2"/>
  <c r="AV53" i="2"/>
  <c r="AV44" i="2"/>
  <c r="AV45" i="2"/>
  <c r="AU53" i="2"/>
  <c r="AN53" i="2"/>
  <c r="AM53" i="2"/>
  <c r="AL53" i="2"/>
  <c r="AK53" i="2"/>
  <c r="AJ53" i="2"/>
  <c r="AI53" i="2"/>
  <c r="AU52" i="2"/>
  <c r="AN52" i="2"/>
  <c r="AM52" i="2"/>
  <c r="AL52" i="2"/>
  <c r="AK52" i="2"/>
  <c r="AJ52" i="2"/>
  <c r="AI52" i="2"/>
  <c r="AU51" i="2"/>
  <c r="AN51" i="2"/>
  <c r="AM51" i="2"/>
  <c r="AL51" i="2"/>
  <c r="AK51" i="2"/>
  <c r="AJ51" i="2"/>
  <c r="AI51" i="2"/>
  <c r="AU50" i="2"/>
  <c r="AN50" i="2"/>
  <c r="AM50" i="2"/>
  <c r="AL50" i="2"/>
  <c r="AK50" i="2"/>
  <c r="AJ50" i="2"/>
  <c r="AI50" i="2"/>
  <c r="AU49" i="2"/>
  <c r="AN49" i="2"/>
  <c r="AM49" i="2"/>
  <c r="AL49" i="2"/>
  <c r="AK49" i="2"/>
  <c r="AJ49" i="2"/>
  <c r="AI49" i="2"/>
  <c r="AU48" i="2"/>
  <c r="AN48" i="2"/>
  <c r="AM48" i="2"/>
  <c r="AL48" i="2"/>
  <c r="AK48" i="2"/>
  <c r="AJ48" i="2"/>
  <c r="AI48" i="2"/>
  <c r="AU47" i="2"/>
  <c r="AN47" i="2"/>
  <c r="AM47" i="2"/>
  <c r="AL47" i="2"/>
  <c r="AK47" i="2"/>
  <c r="AJ47" i="2"/>
  <c r="AI47" i="2"/>
  <c r="AU46" i="2"/>
  <c r="AN46" i="2"/>
  <c r="AM46" i="2"/>
  <c r="AL46" i="2"/>
  <c r="AK46" i="2"/>
  <c r="AJ46" i="2"/>
  <c r="AI46" i="2"/>
  <c r="AU45" i="2"/>
  <c r="AN45" i="2"/>
  <c r="AM45" i="2"/>
  <c r="AL45" i="2"/>
  <c r="AK45" i="2"/>
  <c r="AJ45" i="2"/>
  <c r="AI45" i="2"/>
  <c r="AU44" i="2"/>
  <c r="AN44" i="2"/>
  <c r="AM44" i="2"/>
  <c r="AL44" i="2"/>
  <c r="AK44" i="2"/>
  <c r="AJ44" i="2"/>
  <c r="AI44" i="2"/>
  <c r="AU22" i="2"/>
  <c r="AV42" i="2"/>
  <c r="AV43" i="2"/>
  <c r="AU43" i="2"/>
  <c r="AN43" i="2"/>
  <c r="AM43" i="2"/>
  <c r="AL43" i="2"/>
  <c r="AK43" i="2"/>
  <c r="AJ43" i="2"/>
  <c r="AI43" i="2"/>
  <c r="AU41" i="2"/>
  <c r="AN41" i="2"/>
  <c r="AM41" i="2"/>
  <c r="AL41" i="2"/>
  <c r="AK41" i="2"/>
  <c r="AJ41" i="2"/>
  <c r="AI41" i="2"/>
  <c r="AU42" i="2"/>
  <c r="AN42" i="2"/>
  <c r="AM42" i="2"/>
  <c r="AL42" i="2"/>
  <c r="AK42" i="2"/>
  <c r="AJ42" i="2"/>
  <c r="AI42" i="2"/>
  <c r="AV24" i="2"/>
  <c r="AV25" i="2"/>
  <c r="AV26" i="2"/>
  <c r="AV27" i="2"/>
  <c r="AV28" i="2"/>
  <c r="AV29" i="2"/>
  <c r="AV30" i="2"/>
  <c r="AV31" i="2"/>
  <c r="AV32" i="2"/>
  <c r="AV33" i="2"/>
  <c r="AU33" i="2"/>
  <c r="AN33" i="2"/>
  <c r="AM33" i="2"/>
  <c r="AL33" i="2"/>
  <c r="AK33" i="2"/>
  <c r="AJ33" i="2"/>
  <c r="AI33" i="2"/>
  <c r="AU32" i="2"/>
  <c r="AN32" i="2"/>
  <c r="AM32" i="2"/>
  <c r="AL32" i="2"/>
  <c r="AK32" i="2"/>
  <c r="AJ32" i="2"/>
  <c r="AI32" i="2"/>
  <c r="AU31" i="2"/>
  <c r="AN31" i="2"/>
  <c r="AM31" i="2"/>
  <c r="AL31" i="2"/>
  <c r="AK31" i="2"/>
  <c r="AJ31" i="2"/>
  <c r="AI31" i="2"/>
  <c r="AU30" i="2"/>
  <c r="AN30" i="2"/>
  <c r="AM30" i="2"/>
  <c r="AL30" i="2"/>
  <c r="AK30" i="2"/>
  <c r="AJ30" i="2"/>
  <c r="AI30" i="2"/>
  <c r="AU29" i="2"/>
  <c r="AN29" i="2"/>
  <c r="AM29" i="2"/>
  <c r="AL29" i="2"/>
  <c r="AK29" i="2"/>
  <c r="AJ29" i="2"/>
  <c r="AI29" i="2"/>
  <c r="AU28" i="2"/>
  <c r="AN28" i="2"/>
  <c r="AM28" i="2"/>
  <c r="AL28" i="2"/>
  <c r="AK28" i="2"/>
  <c r="AJ28" i="2"/>
  <c r="AI28" i="2"/>
  <c r="AU27" i="2"/>
  <c r="AN27" i="2"/>
  <c r="AM27" i="2"/>
  <c r="AL27" i="2"/>
  <c r="AK27" i="2"/>
  <c r="AJ27" i="2"/>
  <c r="AI27" i="2"/>
  <c r="AU26" i="2"/>
  <c r="AN26" i="2"/>
  <c r="AM26" i="2"/>
  <c r="AL26" i="2"/>
  <c r="AK26" i="2"/>
  <c r="AJ26" i="2"/>
  <c r="AI26" i="2"/>
  <c r="AU25" i="2"/>
  <c r="AN25" i="2"/>
  <c r="AM25" i="2"/>
  <c r="AL25" i="2"/>
  <c r="AK25" i="2"/>
  <c r="AJ25" i="2"/>
  <c r="AI25" i="2"/>
  <c r="AU24" i="2"/>
  <c r="AN24" i="2"/>
  <c r="AM24" i="2"/>
  <c r="AL24" i="2"/>
  <c r="AK24" i="2"/>
  <c r="AJ24" i="2"/>
  <c r="AI24" i="2"/>
  <c r="Q53" i="2" l="1"/>
  <c r="Q52" i="2"/>
  <c r="Q51" i="2"/>
  <c r="Q50" i="2"/>
  <c r="Q49" i="2"/>
  <c r="Q48" i="2"/>
  <c r="Q47" i="2"/>
  <c r="Q46" i="2"/>
  <c r="Q45" i="2"/>
  <c r="Q44" i="2"/>
  <c r="Q33" i="2"/>
  <c r="Q32" i="2"/>
  <c r="Q31" i="2"/>
  <c r="Q30" i="2"/>
  <c r="Q29" i="2"/>
  <c r="Q28" i="2"/>
  <c r="Q27" i="2"/>
  <c r="Q26" i="2"/>
  <c r="Q25" i="2"/>
  <c r="Q24" i="2"/>
  <c r="Q43" i="2" l="1"/>
  <c r="Q42" i="2"/>
  <c r="AV41" i="2"/>
  <c r="Q41" i="2"/>
  <c r="AV40" i="2"/>
  <c r="AU40" i="2"/>
  <c r="AN40" i="2"/>
  <c r="AM40" i="2"/>
  <c r="AL40" i="2"/>
  <c r="AK40" i="2"/>
  <c r="AJ40" i="2"/>
  <c r="AI40" i="2"/>
  <c r="AV39" i="2"/>
  <c r="AU39" i="2"/>
  <c r="AN39" i="2"/>
  <c r="AM39" i="2"/>
  <c r="AL39" i="2"/>
  <c r="AK39" i="2"/>
  <c r="AJ39" i="2"/>
  <c r="AI39" i="2"/>
  <c r="AV38" i="2"/>
  <c r="AU38" i="2"/>
  <c r="AN38" i="2"/>
  <c r="AM38" i="2"/>
  <c r="AL38" i="2"/>
  <c r="AK38" i="2"/>
  <c r="AJ38" i="2"/>
  <c r="AI38" i="2"/>
  <c r="AV37" i="2"/>
  <c r="AU37" i="2"/>
  <c r="AN37" i="2"/>
  <c r="AM37" i="2"/>
  <c r="AL37" i="2"/>
  <c r="AK37" i="2"/>
  <c r="AJ37" i="2"/>
  <c r="AI37" i="2"/>
  <c r="AV36" i="2"/>
  <c r="AU36" i="2"/>
  <c r="AN36" i="2"/>
  <c r="AM36" i="2"/>
  <c r="AL36" i="2"/>
  <c r="AK36" i="2"/>
  <c r="AJ36" i="2"/>
  <c r="AI36" i="2"/>
  <c r="AV35" i="2"/>
  <c r="AU35" i="2"/>
  <c r="AN35" i="2"/>
  <c r="AM35" i="2"/>
  <c r="AL35" i="2"/>
  <c r="AK35" i="2"/>
  <c r="AJ35" i="2"/>
  <c r="AI35" i="2"/>
  <c r="Q35" i="2"/>
  <c r="AV34" i="2"/>
  <c r="AU34" i="2"/>
  <c r="AN34" i="2"/>
  <c r="AM34" i="2"/>
  <c r="AL34" i="2"/>
  <c r="AK34" i="2"/>
  <c r="AJ34" i="2"/>
  <c r="AI34" i="2"/>
  <c r="AV22" i="2"/>
  <c r="AN22" i="2"/>
  <c r="AM22" i="2"/>
  <c r="AL22" i="2"/>
  <c r="AK22" i="2"/>
  <c r="AJ22" i="2"/>
  <c r="AI22" i="2"/>
  <c r="Q22" i="2"/>
  <c r="AV21" i="2"/>
  <c r="AU21" i="2"/>
  <c r="AN21" i="2"/>
  <c r="AM21" i="2"/>
  <c r="AL21" i="2"/>
  <c r="AK21" i="2"/>
  <c r="AJ21" i="2"/>
  <c r="AI21" i="2"/>
  <c r="Q21" i="2"/>
  <c r="AV20" i="2"/>
  <c r="AU20" i="2"/>
  <c r="AN20" i="2"/>
  <c r="AM20" i="2"/>
  <c r="AL20" i="2"/>
  <c r="AK20" i="2"/>
  <c r="AJ20" i="2"/>
  <c r="AI20" i="2"/>
  <c r="Q20" i="2"/>
  <c r="AV19" i="2"/>
  <c r="AU19" i="2"/>
  <c r="AN19" i="2"/>
  <c r="AM19" i="2"/>
  <c r="AL19" i="2"/>
  <c r="AK19" i="2"/>
  <c r="AJ19" i="2"/>
  <c r="AI19" i="2"/>
  <c r="AV18" i="2"/>
  <c r="AU18" i="2"/>
  <c r="AN18" i="2"/>
  <c r="AM18" i="2"/>
  <c r="AL18" i="2"/>
  <c r="AK18" i="2"/>
  <c r="AJ18" i="2"/>
  <c r="AI18" i="2"/>
  <c r="AV17" i="2"/>
  <c r="AU17" i="2"/>
  <c r="AN17" i="2"/>
  <c r="AM17" i="2"/>
  <c r="AL17" i="2"/>
  <c r="AK17" i="2"/>
  <c r="AJ17" i="2"/>
  <c r="AI17" i="2"/>
  <c r="AV16" i="2"/>
  <c r="AU16" i="2"/>
  <c r="AN16" i="2"/>
  <c r="AM16" i="2"/>
  <c r="AL16" i="2"/>
  <c r="AK16" i="2"/>
  <c r="AJ16" i="2"/>
  <c r="AI16" i="2"/>
  <c r="AV15" i="2"/>
  <c r="AU15" i="2"/>
  <c r="AN15" i="2"/>
  <c r="AM15" i="2"/>
  <c r="AL15" i="2"/>
  <c r="AK15" i="2"/>
  <c r="AJ15" i="2"/>
  <c r="AI15" i="2"/>
  <c r="AV14" i="2"/>
  <c r="AU14" i="2"/>
  <c r="AN14" i="2"/>
  <c r="AM14" i="2"/>
  <c r="AL14" i="2"/>
  <c r="AK14" i="2"/>
  <c r="AJ14" i="2"/>
  <c r="AI14" i="2"/>
  <c r="AV13" i="2"/>
  <c r="AU13" i="2"/>
  <c r="AN13" i="2"/>
  <c r="AM13" i="2"/>
  <c r="AL13" i="2"/>
  <c r="AK13" i="2"/>
  <c r="AJ13" i="2"/>
  <c r="AI13" i="2"/>
  <c r="J13" i="2"/>
  <c r="I13" i="2"/>
  <c r="B56" i="2" l="1"/>
</calcChain>
</file>

<file path=xl/sharedStrings.xml><?xml version="1.0" encoding="utf-8"?>
<sst xmlns="http://schemas.openxmlformats.org/spreadsheetml/2006/main" count="1705" uniqueCount="632">
  <si>
    <t>9/30/2020 17:11:46</t>
  </si>
  <si>
    <t>Male</t>
  </si>
  <si>
    <t>Indonesian</t>
  </si>
  <si>
    <t>Yes</t>
  </si>
  <si>
    <t>motorcycle</t>
  </si>
  <si>
    <t>No</t>
  </si>
  <si>
    <t>Female</t>
  </si>
  <si>
    <t>British</t>
  </si>
  <si>
    <t>repair lawnmower, change sparkplug, replace bulbs in car</t>
  </si>
  <si>
    <t>Visiting a museum, map app, pokemon</t>
  </si>
  <si>
    <t>Handheld device (e.g. Tablet, smartphone)</t>
  </si>
  <si>
    <t>Web Manager</t>
  </si>
  <si>
    <t>French</t>
  </si>
  <si>
    <t>repair/upgrade compute, car service</t>
  </si>
  <si>
    <t>inspection of aircraft landing gears</t>
  </si>
  <si>
    <t>Handheld device (e.g. Tablet, smartphone), Head-mounted display (e.g. Hololens, Magic Leap)</t>
  </si>
  <si>
    <t>Hololens 1, Oculus kind of device, HTC vive kind of device, Powerwall, Cave, tablet</t>
  </si>
  <si>
    <t>PhD Student</t>
  </si>
  <si>
    <t>Italian</t>
  </si>
  <si>
    <t>-</t>
  </si>
  <si>
    <t>PhD student</t>
  </si>
  <si>
    <t>Student</t>
  </si>
  <si>
    <t>Zoe Ashford</t>
  </si>
  <si>
    <t>spanish</t>
  </si>
  <si>
    <t>Student in MSc of Aerospace dynamics</t>
  </si>
  <si>
    <t>Indian</t>
  </si>
  <si>
    <t>NO</t>
  </si>
  <si>
    <t>Prefer not to say</t>
  </si>
  <si>
    <t>Repair a computer, repair an audio amp, repair a PS2, change brake liquid in a car, change blades in lawmawer, change a hot water tank</t>
  </si>
  <si>
    <t>mesurement</t>
  </si>
  <si>
    <t>Oculus kind of device, HTC vive kind of device</t>
  </si>
  <si>
    <t>Bicycle repair</t>
  </si>
  <si>
    <t>Oculus kind of device</t>
  </si>
  <si>
    <t>Greek</t>
  </si>
  <si>
    <t>Changing computer parts, lightbulbs, building IKEA furniture, ...</t>
  </si>
  <si>
    <t>Video games, photography/video</t>
  </si>
  <si>
    <t>Nigerian</t>
  </si>
  <si>
    <t>Change the oil of a machine , repair a computer</t>
  </si>
  <si>
    <t>Irish/South African</t>
  </si>
  <si>
    <t>Games</t>
  </si>
  <si>
    <t>Head-mounted display (e.g. Hololens, Magic Leap)</t>
  </si>
  <si>
    <t>China</t>
  </si>
  <si>
    <t>assemble home</t>
  </si>
  <si>
    <t>Graduate student</t>
  </si>
  <si>
    <t>Indonesia</t>
  </si>
  <si>
    <t>rigging turbine engine, changing oil of a machine, disassamble - assamble a PC,</t>
  </si>
  <si>
    <t>student</t>
  </si>
  <si>
    <t>Turkish / British</t>
  </si>
  <si>
    <t>Various tasks on Cranfield B737 aircraft including removal and installation of parts</t>
  </si>
  <si>
    <t>Lecturer / Ex-Aircraft Maintenance Engineer</t>
  </si>
  <si>
    <t>Thai</t>
  </si>
  <si>
    <t>German</t>
  </si>
  <si>
    <t>Car Repair, Home repairs, Cell phone battery change</t>
  </si>
  <si>
    <t>Goggles of unknown brand</t>
  </si>
  <si>
    <t>unknown, head mount framed phone sized display</t>
  </si>
  <si>
    <t>pc repair/ modding</t>
  </si>
  <si>
    <t>games</t>
  </si>
  <si>
    <t>arcade machine in japan unknown brand</t>
  </si>
  <si>
    <t>HR Business Partner</t>
  </si>
  <si>
    <t>rewiring faulty equipment, maintaining cars, repairing laptop's/tv's</t>
  </si>
  <si>
    <t>Tighten the blade on a Chainsaw, change the O rings on a paintball marker, assembling Ikea Furniture</t>
  </si>
  <si>
    <t>Video Game</t>
  </si>
  <si>
    <t>SAS Lead in SATM</t>
  </si>
  <si>
    <t>Turkish</t>
  </si>
  <si>
    <t>Aircraft</t>
  </si>
  <si>
    <t>Rehabilitation</t>
  </si>
  <si>
    <t>None</t>
  </si>
  <si>
    <t>HTC vive kind of device</t>
  </si>
  <si>
    <t>Plumbling, changing water faucet, changing water pipe</t>
  </si>
  <si>
    <t>Mobile Games</t>
  </si>
  <si>
    <t>Austrian</t>
  </si>
  <si>
    <t>no</t>
  </si>
  <si>
    <t>10/13/2020 9:01:45</t>
  </si>
  <si>
    <t>India</t>
  </si>
  <si>
    <t>10/13/2020 11:59:45</t>
  </si>
  <si>
    <t>Car repairs - replacing Differentials, brake components, etc.</t>
  </si>
  <si>
    <t>n/a</t>
  </si>
  <si>
    <t>Playstation VR</t>
  </si>
  <si>
    <t>Student - Automotive Engineering</t>
  </si>
  <si>
    <t>10/14/2020 10:02:27</t>
  </si>
  <si>
    <t>Change engine oil, replace car battery, repair washing machine, change oil filter, disassemble fan</t>
  </si>
  <si>
    <t>10/15/2020 12:19:05</t>
  </si>
  <si>
    <t>10/19/2020 20:48:41</t>
  </si>
  <si>
    <t>Russian</t>
  </si>
  <si>
    <t>Fixing home appliances</t>
  </si>
  <si>
    <t>10/21/2020 15:48:59</t>
  </si>
  <si>
    <t>HR Coordinator</t>
  </si>
  <si>
    <t>10/21/2020 20:51:05</t>
  </si>
  <si>
    <t>South African</t>
  </si>
  <si>
    <t>Repaired appliances such as a dishwasher, lawnmower, vacuum cleaner, game controller</t>
  </si>
  <si>
    <t>Automotive Engineering Student</t>
  </si>
  <si>
    <t>10/26/2020 9:26:06</t>
  </si>
  <si>
    <t>Student (previous Design Engineer)</t>
  </si>
  <si>
    <t>10/26/2020 13:12:06</t>
  </si>
  <si>
    <t>TV cable repair, PC cleaning, Chair and desk (bolt maintenance), window hinge reparation, ps4 console cleaning</t>
  </si>
  <si>
    <t>gaming</t>
  </si>
  <si>
    <t>Handheld device (e.g. Tablet, smartphone), Projector-based system</t>
  </si>
  <si>
    <t>Graduate University Student</t>
  </si>
  <si>
    <t>Mexican</t>
  </si>
  <si>
    <t>10/26/2020 16:20:58</t>
  </si>
  <si>
    <t>Human Resources Administrator</t>
  </si>
  <si>
    <t>Spanish</t>
  </si>
  <si>
    <t>Assembling home appliances</t>
  </si>
  <si>
    <t>Drone repairing</t>
  </si>
  <si>
    <t>Gaming and meassurements</t>
  </si>
  <si>
    <t>PhD Researcher</t>
  </si>
  <si>
    <t>Assemble/repair computers, bicycles, cars, wooden furniture, etc.</t>
  </si>
  <si>
    <t>Lecturer in Cranfield University</t>
  </si>
  <si>
    <t>Lebanese</t>
  </si>
  <si>
    <t>Car maintenance and home appliances maintenance</t>
  </si>
  <si>
    <t>Elias</t>
  </si>
  <si>
    <t>Change oil, repair equipment, mount pumps, change filters, electronics and many more</t>
  </si>
  <si>
    <t>N/A</t>
  </si>
  <si>
    <t>Specialist technical officer</t>
  </si>
  <si>
    <t>(if they can be considered as maintenance tasks:) changed the HDD of my laptop to SSD, replaced the broken screen of my friend's iphone</t>
  </si>
  <si>
    <t>Change components of manufacturing machine</t>
  </si>
  <si>
    <t>.</t>
  </si>
  <si>
    <t>Hololens 1</t>
  </si>
  <si>
    <t>United Kingdom</t>
  </si>
  <si>
    <t>Oil change, Reassembly of nintendo</t>
  </si>
  <si>
    <t>Video game</t>
  </si>
  <si>
    <t>Mechanical engineer</t>
  </si>
  <si>
    <t>Fix cell phone screen, clean washing machine filters etc</t>
  </si>
  <si>
    <t>Manufactured kart and repaired multiple equipments</t>
  </si>
  <si>
    <t>Google lens, Phone games, Phone app filter , social media,other</t>
  </si>
  <si>
    <t>Assemble/disassemble hardware and home appliances,etc</t>
  </si>
  <si>
    <t>Lecturer</t>
  </si>
  <si>
    <t>NA</t>
  </si>
  <si>
    <t>Hololens 2, HTC vive kind of device</t>
  </si>
  <si>
    <t>Assembling Furnitures</t>
  </si>
  <si>
    <t>Flight tracking through phone's camera</t>
  </si>
  <si>
    <t>11/17/2020 11:48:15</t>
  </si>
  <si>
    <t>change oil, small maintenance task on airplanes..</t>
  </si>
  <si>
    <t>11/18/2020 23:18:37</t>
  </si>
  <si>
    <t>assemble/disassemble home appliances</t>
  </si>
  <si>
    <t>games, videos</t>
  </si>
  <si>
    <t>Timestamp</t>
  </si>
  <si>
    <t>Gender:</t>
  </si>
  <si>
    <t>Age</t>
  </si>
  <si>
    <t>Height (cm)</t>
  </si>
  <si>
    <t>Nationality</t>
  </si>
  <si>
    <t>Have you ever done any maintenance tasks before (e.g. repair computer, assemble/disassemble home appliances, change the oil of the machine, and etc.?</t>
  </si>
  <si>
    <t>If Yes, how many times approximately in the past five years?</t>
  </si>
  <si>
    <t>What maintenance task that you did in the past:</t>
  </si>
  <si>
    <t>Have you ever used Augmented Reality (AR) system?</t>
  </si>
  <si>
    <t>If Yes, how many times approximately in the last five years?</t>
  </si>
  <si>
    <t>What application did you use AR for?</t>
  </si>
  <si>
    <t>What device did you use AR for?</t>
  </si>
  <si>
    <t>Have you ever used Head-mounted display for AR/VR/XR as follows?</t>
  </si>
  <si>
    <t>Occupation</t>
  </si>
  <si>
    <t>Name</t>
  </si>
  <si>
    <t>Have you ever participated in an experiment related to Augmented Reality in OpEx B30</t>
  </si>
  <si>
    <t>Davide</t>
  </si>
  <si>
    <t>Damien</t>
  </si>
  <si>
    <t>Pandu</t>
  </si>
  <si>
    <t>Helen</t>
  </si>
  <si>
    <t>Completion time</t>
  </si>
  <si>
    <t>Error</t>
  </si>
  <si>
    <t>NASA-TLX</t>
  </si>
  <si>
    <t>AR modality</t>
  </si>
  <si>
    <t>ID</t>
  </si>
  <si>
    <t>Maintenance Experience</t>
  </si>
  <si>
    <t>Step 1</t>
  </si>
  <si>
    <t>Step 2</t>
  </si>
  <si>
    <t>Step 3</t>
  </si>
  <si>
    <t>Step 4</t>
  </si>
  <si>
    <t>Step 5</t>
  </si>
  <si>
    <t>Step 6</t>
  </si>
  <si>
    <t>Step 7</t>
  </si>
  <si>
    <t>Step 8</t>
  </si>
  <si>
    <t>Total</t>
  </si>
  <si>
    <t>Mental</t>
  </si>
  <si>
    <t>Physical</t>
  </si>
  <si>
    <t>Temporal</t>
  </si>
  <si>
    <t>Performance</t>
  </si>
  <si>
    <t>Effort</t>
  </si>
  <si>
    <t>Frustration</t>
  </si>
  <si>
    <t>WM</t>
  </si>
  <si>
    <t>WP</t>
  </si>
  <si>
    <t>WT</t>
  </si>
  <si>
    <t>Wper</t>
  </si>
  <si>
    <t>We</t>
  </si>
  <si>
    <t>Wf</t>
  </si>
  <si>
    <t>t1</t>
  </si>
  <si>
    <t>t2</t>
  </si>
  <si>
    <t>t3</t>
  </si>
  <si>
    <t>t4</t>
  </si>
  <si>
    <t>t5</t>
  </si>
  <si>
    <t>t6</t>
  </si>
  <si>
    <t>video</t>
  </si>
  <si>
    <t>M</t>
  </si>
  <si>
    <t>George Zavalis</t>
  </si>
  <si>
    <t>Kiu ching</t>
  </si>
  <si>
    <t>Guillem</t>
  </si>
  <si>
    <t>F</t>
  </si>
  <si>
    <t>Olivier</t>
  </si>
  <si>
    <t>George Teats</t>
  </si>
  <si>
    <t>Gema</t>
  </si>
  <si>
    <t>Rafdi</t>
  </si>
  <si>
    <t>Muktim</t>
  </si>
  <si>
    <t>Chayada</t>
  </si>
  <si>
    <t>Anim</t>
  </si>
  <si>
    <t>Tedj</t>
  </si>
  <si>
    <t>Hemmath</t>
  </si>
  <si>
    <t>Owen</t>
  </si>
  <si>
    <t>Hadrien</t>
  </si>
  <si>
    <t>zaria</t>
  </si>
  <si>
    <t>Johannes</t>
  </si>
  <si>
    <t>James</t>
  </si>
  <si>
    <t>Sean</t>
  </si>
  <si>
    <t>Rodrigo</t>
  </si>
  <si>
    <t>Larisa</t>
  </si>
  <si>
    <t>Zongjian yuan</t>
  </si>
  <si>
    <t>Jane</t>
  </si>
  <si>
    <t>Interface</t>
  </si>
  <si>
    <t>Hand Gesture</t>
  </si>
  <si>
    <t>Voice command</t>
  </si>
  <si>
    <t>Aprizal</t>
  </si>
  <si>
    <t>Himmat</t>
  </si>
  <si>
    <t>Cengiz</t>
  </si>
  <si>
    <t>Maria</t>
  </si>
  <si>
    <t>Tobi</t>
  </si>
  <si>
    <t>dhanush</t>
  </si>
  <si>
    <t>Fermin</t>
  </si>
  <si>
    <t>shoaib</t>
  </si>
  <si>
    <t>Martin</t>
  </si>
  <si>
    <t>Zhengfei</t>
  </si>
  <si>
    <t>Umair</t>
  </si>
  <si>
    <t>Alex B</t>
  </si>
  <si>
    <t>Piyapon</t>
  </si>
  <si>
    <t>Alex s</t>
  </si>
  <si>
    <t>Shibab</t>
  </si>
  <si>
    <t>Abi</t>
  </si>
  <si>
    <t>Adrian</t>
  </si>
  <si>
    <t>Omkar</t>
  </si>
  <si>
    <t>Jarryd</t>
  </si>
  <si>
    <t>Marco</t>
  </si>
  <si>
    <t>Skif</t>
  </si>
  <si>
    <t>Eva</t>
  </si>
  <si>
    <t>Pablo</t>
  </si>
  <si>
    <t>Ranjan</t>
  </si>
  <si>
    <t>William</t>
  </si>
  <si>
    <t>Emma</t>
  </si>
  <si>
    <t>Total without weight</t>
  </si>
  <si>
    <t>comment</t>
  </si>
  <si>
    <t>1. Overall, I am satisfied with how easy it is to use this system</t>
  </si>
  <si>
    <t>2. It was simple to use this system</t>
  </si>
  <si>
    <t>3. I was able to complete the tasks and scenarios quickly using this system</t>
  </si>
  <si>
    <t>4. I felt comfortable using this system</t>
  </si>
  <si>
    <t>5. It was easy to learn to use this system</t>
  </si>
  <si>
    <t>6. I believe I could become productive quickly using this system</t>
  </si>
  <si>
    <t>7. The interface of this system was pleasant</t>
  </si>
  <si>
    <t>8. I liked using the interface of this system</t>
  </si>
  <si>
    <t>9. This system has all the functions and capabilities I expect it to have</t>
  </si>
  <si>
    <t>Yes,because it is simple to use.</t>
  </si>
  <si>
    <t>Yes, because I can easily doing my task if "someone" give a practical example to me</t>
  </si>
  <si>
    <t>No, I can doing my task without any difficulties with AR.</t>
  </si>
  <si>
    <t>since I wearing glasses, its feels uncomfortable to see through AR. However, the weight is fine.</t>
  </si>
  <si>
    <t>Do you like the hand gesture/voice command interaction? Why?</t>
  </si>
  <si>
    <t>Do you like the instructions provided through video/3D animation? why?</t>
  </si>
  <si>
    <t>Did you face any difficulties during the task with AR visualisation or the interface to navigate the instruction?</t>
  </si>
  <si>
    <t>was the headset Hololens comfortable enough? was it too heavy?</t>
  </si>
  <si>
    <t>Yes, because they are easy to deal with.</t>
  </si>
  <si>
    <t>Yes, because can be easy understood even by people that are not experts.</t>
  </si>
  <si>
    <t>Sometime the next button is not easy to reach or responsive as I would.</t>
  </si>
  <si>
    <t>I think they are comfortable, but I am worried that they become heavy after hours of using them.</t>
  </si>
  <si>
    <t>I do like the hand gesture and I think the hand gesture is easy to remember and straight foward.</t>
  </si>
  <si>
    <t>I do like the instructions provided through videos, it is easy to understand, and with the 3D animation, can simplify the complexity of a task, which allows beginners to be able to do many things with these instructions.</t>
  </si>
  <si>
    <t>I did not face any difficulty during the test, however I realize a situation when I tried to remove the wheel part, I was focused on the video too much that I almost got my finger slightly stuck in between the parts, which I suppose is a health and safety concern if working with high risk working environment.</t>
  </si>
  <si>
    <t>It was not too heavy, however as a user with a big head, the hololens does cause somewhat discomfort if using for long period of time.</t>
  </si>
  <si>
    <t>The voice works properly I like it, the hand gesture is good but I had some problems with the depth when trying to touch the buttons</t>
  </si>
  <si>
    <t>I like the instruction because they were simple and effective</t>
  </si>
  <si>
    <t>Difficulties for pressing the buttons in the task, I had trouble to visualize the depth and the button seemed close while it was farther than expected</t>
  </si>
  <si>
    <t>Really comfortable</t>
  </si>
  <si>
    <t>Yes, relatively simple to use. Clicking on buttons sometimes took a few tries!</t>
  </si>
  <si>
    <t>Quite useful - might have been good to be able to change the distance of the video, so you could still see it when close to the gearbox</t>
  </si>
  <si>
    <t>No, with the exception of sometimes having to press the buttons a few times</t>
  </si>
  <si>
    <t>Comfortable, not too heavy</t>
  </si>
  <si>
    <t>Yes, a bit similar to have someone standing next to you</t>
  </si>
  <si>
    <t>Yes, it was clear and straightforward to learn about different procedure</t>
  </si>
  <si>
    <t>There was a bit of overlap over different layers for the buttons</t>
  </si>
  <si>
    <t>Comfortable and about the right weight</t>
  </si>
  <si>
    <t>Yes, it was simple and easy.</t>
  </si>
  <si>
    <t>Yes, they were simple and easy as well.</t>
  </si>
  <si>
    <t>It fit well. Not too heavy.</t>
  </si>
  <si>
    <t>I liked the hand gesture because it was very intuitive</t>
  </si>
  <si>
    <t>yes I did like the instructions, they were easy to follow. I imagine that the system is for preople that are already familiarized with maintainance tasks, but if not it could also be useful to indicate in the gearbox (for ex.) itself which screws should one take out</t>
  </si>
  <si>
    <t>for the time of use it was comfortable, but maybe if it is required to use for much longer it could be a bit heavy</t>
  </si>
  <si>
    <t>yes,pretty much easier using hand rather than using voice command,using hand gesture feel more immersive</t>
  </si>
  <si>
    <t>no,because you cant stop or pause the vidio</t>
  </si>
  <si>
    <t>not heavy at all,quite comfortable to be honest</t>
  </si>
  <si>
    <t>its easier and faster</t>
  </si>
  <si>
    <t>visual references makes it easier to identify what part I need to interact with</t>
  </si>
  <si>
    <t>It was acceptable. Can be a problem in tight spaces like inside of a tank. Also masks makes it steamy.</t>
  </si>
  <si>
    <t>when my hand is occupied, it is faster to use voice command</t>
  </si>
  <si>
    <t>it could be better and more direct if instead of video, the system could highlight the action direct on the hardware. Using video add time because I need to reoriented the view</t>
  </si>
  <si>
    <t>yes. the instruction says to change the "brake pad" while there are no second brake pad. i need long time to realise that i should use the same pad. other than that there is no difficulty</t>
  </si>
  <si>
    <t>comfortable enough for 5 minutes usage. need study usage in longer period</t>
  </si>
  <si>
    <t>Yes. Easy to use.</t>
  </si>
  <si>
    <t>Yes. Easy to navigate.</t>
  </si>
  <si>
    <t>No. But needed guidance.</t>
  </si>
  <si>
    <t>Comfortable and light</t>
  </si>
  <si>
    <t>Hand gesture</t>
  </si>
  <si>
    <t>3D animation</t>
  </si>
  <si>
    <t>comfortable</t>
  </si>
  <si>
    <t>Easy to use and enables the user to use his/her hands at the same.</t>
  </si>
  <si>
    <t>Visualisation is much more powerful than traditional way of illustrating some complex machinery and removal / installation tasks.</t>
  </si>
  <si>
    <t>It's not exactly a difficulty but I had to look up when I needed to access the instructions again.</t>
  </si>
  <si>
    <t>Reasonable for use in normal maintenance tasks. Only potential challenge might be if you are working in confined spaces.</t>
  </si>
  <si>
    <t>Yes, because it felt like I was using a sensitive instrument, able to recognise my voice and gestures</t>
  </si>
  <si>
    <t>Yes, because they were visual and easy to follow (copy). Also I appreciated the fact that they were played in loop.</t>
  </si>
  <si>
    <t>Just when approaching the machine to work on it, then the visualisation of the interface was not complete</t>
  </si>
  <si>
    <t>Yes it was comfortable and not heavy.</t>
  </si>
  <si>
    <t>yes I did, its precise in touch distance</t>
  </si>
  <si>
    <t>yes, they were very clear</t>
  </si>
  <si>
    <t>a little, since its my first time using it</t>
  </si>
  <si>
    <t>yes it was comfortable enough, no it was not too heavy</t>
  </si>
  <si>
    <t>I like the voice command. It reduces the the work of lifting and lowering the hand to select obvious options while performing the task.</t>
  </si>
  <si>
    <t>3D animation is a good option but it may take time for people to analyze and understand the 3D object. Instead video is better to be quick.</t>
  </si>
  <si>
    <t>No.</t>
  </si>
  <si>
    <t>No. Compared to other AR/VR headsets in the market, I felt this is very light and ergonomic. The placement of speakers are very good. Clear sound.</t>
  </si>
  <si>
    <t>Yes. Using my voice to control the steps helps me to concentrate in the main task.</t>
  </si>
  <si>
    <t>Yes. They were very clear to me and certainly helped me to do the task correctly.</t>
  </si>
  <si>
    <t>Very comfortable. No problem with its weight.</t>
  </si>
  <si>
    <t>voice command helps to do the task quickly</t>
  </si>
  <si>
    <t>it helps to finish the task quickly</t>
  </si>
  <si>
    <t>The hololens was not comfortable</t>
  </si>
  <si>
    <t>It was an interesting way to work, but sometimes I have the felling of not touching the button</t>
  </si>
  <si>
    <t>The video was useful but another view is require from the front perspective because one instruction took more time to identify the location of the bolts</t>
  </si>
  <si>
    <t>It was comfortable to some degree but feel weird to have it on. Probably something like a eyeglasses can be more convenient</t>
  </si>
  <si>
    <t>I prefer a combination of both input, because in a real maintenance site that could be loud voice so voice control could be interfered, but the voice control is more convenient</t>
  </si>
  <si>
    <t>i need a more objective instruction than a video, more professional one such as a task card</t>
  </si>
  <si>
    <t>the screen is a little small so the application and video is not complete in my sight, i have to look up and down to see the whole screen</t>
  </si>
  <si>
    <t>it's good and comfortable in this exam, but in a real maintenance task, engineer has to be in different movement and sometime a smaller and tighter equipment (something like the google glass) can be better</t>
  </si>
  <si>
    <t>voice command is fine, hand gestures are tiringg</t>
  </si>
  <si>
    <t>Yes. They were very simple to understand</t>
  </si>
  <si>
    <t>It was tiring.</t>
  </si>
  <si>
    <t>Yes, novel way of interacting</t>
  </si>
  <si>
    <t>Yes, leverages VR capabilities</t>
  </si>
  <si>
    <t>Yes learning how to navigate was initially hard</t>
  </si>
  <si>
    <t>Just right</t>
  </si>
  <si>
    <t>we can perform the task without knowledge of the system</t>
  </si>
  <si>
    <t>it show how to do the task in the right way</t>
  </si>
  <si>
    <t>no but still need improvement on FOV, render quality. But hand gesture recognition is really good</t>
  </si>
  <si>
    <t>Yes, the hand gestures were easy to do and you couldn't do them by mistakes; however to tap the button it seems I thought the image was a bit further then it was, so I often tap just behind the button instead of on the button</t>
  </si>
  <si>
    <t>Yes, it was easy to know what to do just by looking at the animations</t>
  </si>
  <si>
    <t>The headset was quite comfortable, more then I thought, by comparison it is more comfortable then an HTC Vive</t>
  </si>
  <si>
    <t>The hand gesture was well detected and allowed me to easily use the system's functions, such as the menu. I have not used any voice command.</t>
  </si>
  <si>
    <t>The display of the animations are quite blurred, and sometimes not fully calibrated. For instance the animated screws were not in front of the real object holes.</t>
  </si>
  <si>
    <t>As mentioned above, the animation was not fitting the real component.</t>
  </si>
  <si>
    <t>The headset is comfortable enough and was not heavy at all</t>
  </si>
  <si>
    <t>I liked the hand gesture, especially the one to bring up the menu, but it was not always properly aligned</t>
  </si>
  <si>
    <t>Yes, they were very helpful, especially for orientation</t>
  </si>
  <si>
    <t>It was sometimes hard to align my finger with the 'next' button</t>
  </si>
  <si>
    <t>Not too heavy. It was a bit warm after a while</t>
  </si>
  <si>
    <t>Yes. Hand free navigation seemed handy. Having two options was convenient if one of them was not working right away</t>
  </si>
  <si>
    <t>Yes, let's you quickly familiarise and understand the system</t>
  </si>
  <si>
    <t>Voice command did not work in the task, but worked well in the training</t>
  </si>
  <si>
    <t>It was fine for the short time period, I was not bothered by it at all</t>
  </si>
  <si>
    <t>hand gesture - Very easy to understand once you are in the correct position for the task. Accessing the main menu from a wrist tap is a smart idea.</t>
  </si>
  <si>
    <t>Yes - it made finding the required parts easier. However, the animation was not in the correct position/orientation during the 'removing the brake' phase. The system showed me the shape of the part however, so I could make an educated guess as to where it actually</t>
  </si>
  <si>
    <t>On the first try, the animation for removing the hex bolts did not show. Restarting the program corrected this however. Following the interface was very simple</t>
  </si>
  <si>
    <t>Very light and comfortable, especially when compared with VR headsets.</t>
  </si>
  <si>
    <t>Did not show</t>
  </si>
  <si>
    <t>yes, they were clear and simple</t>
  </si>
  <si>
    <t>yes. The visualization on gearbox was not visible</t>
  </si>
  <si>
    <t>it was comfortable</t>
  </si>
  <si>
    <t>Yes, because its easy to do the task</t>
  </si>
  <si>
    <t>Yes, because it increase productivity</t>
  </si>
  <si>
    <t>No, instructions were clear</t>
  </si>
  <si>
    <t>Comfortable</t>
  </si>
  <si>
    <t>The voice command was easy to use. I think its important to have both as when your working, hands may not be free</t>
  </si>
  <si>
    <t>Somewhat, it makes it far easier to find a certain part, however there should be an option to turn it off after the part is found to avoid distraction</t>
  </si>
  <si>
    <t>A little heavy, however it was comfortable</t>
  </si>
  <si>
    <t>Yes I do like the voice command because it is easier when you are fixing things with your hand and you have no hands that are available.</t>
  </si>
  <si>
    <t>Yes, the animation looks clear, only sometimes that the position of the animation is not aligned with the actual object and may cause a bit of confusion (but very little).</t>
  </si>
  <si>
    <t>As mentioned in the previous question, sometime the animation is not aligned with the actual object but it is very minimal and not too distracting. With no misalignment problem, this program will be perfect.</t>
  </si>
  <si>
    <t>It is more comfortable than AR headset I've tried before but I am not sure if it is heavy or not because I've only use it in short time and could not tell that it is too heavy or not if it is to be worn for longer time.</t>
  </si>
  <si>
    <t>i quickly got used to it</t>
  </si>
  <si>
    <t>easy to follow</t>
  </si>
  <si>
    <t>i struggle to read the size of the allen keys. my varifocals specs seemed to be affected by the visor</t>
  </si>
  <si>
    <t>it was okay. soon forgot i had it on</t>
  </si>
  <si>
    <t>yes, because it made the use of the system much easier as I preferred the voice commands. I had a few issues at first getting used to the hand gestures and the voice commands were more responsive.</t>
  </si>
  <si>
    <t>It looked very futuristic and I loved it. The animations were very clear and easy to understand and to follow.</t>
  </si>
  <si>
    <t>I had an issue with the calibration in the beginning but during the tasks I didn't have any issues at all.</t>
  </si>
  <si>
    <t>It was very comfortable and it felt very light on my head.</t>
  </si>
  <si>
    <t>It was intuitive and required no stylus or keyboard, it would be very handy for tasks which require the use of both hands</t>
  </si>
  <si>
    <t>yes, they were clear and with the instructions being directly over the instrument it was easy to identify each part</t>
  </si>
  <si>
    <t>sometimes my own glasses would steam up/ slip down my nose</t>
  </si>
  <si>
    <t>Very comfortable- it was not heavy</t>
  </si>
  <si>
    <t>Yes - easy to learn gestures and it understood my voice commands well.</t>
  </si>
  <si>
    <t>Yes - because it showed exactly what I needed to do, i.e. which way to turn the key and which direction the brake should be facing.</t>
  </si>
  <si>
    <t>No - it was very clear throughout.</t>
  </si>
  <si>
    <t>It was comfortable for the time that I wore it, it wasn't heavy.</t>
  </si>
  <si>
    <t>Voice command is useful and it's great that is not necessary to caliber my voice, however some maintenance task are made in very loud environments, I don't know how it will react</t>
  </si>
  <si>
    <t>4/5, it was a bit annoying when I had to get close to the device to screw the brake and suddenly a big pink block showing of in the screen while I'm focusing on the screws. Plus, I don't know if I failed on my calibration but somethings are not in the precise location (a small deviation) and makes it a bit confusing to achieve precise jobs.</t>
  </si>
  <si>
    <t>No, it was very easy and understandable</t>
  </si>
  <si>
    <t>Was comfortable but don't know how well will react to oil/lubricants spills and when I remove it was a bit hot, don't sure if for a heavy maintenance task (up to 2 hours) can heat more and annoy the user</t>
  </si>
  <si>
    <t>both should be accessible based on the usage. Workshop is noisy, but hands might not be free with gestures. even for a surgery. Maybe Automatic recognition with RFID synced with the wrist band</t>
  </si>
  <si>
    <t>sometimes blocks the view when I am looking for something</t>
  </si>
  <si>
    <t>Comfortable for a short period of time.</t>
  </si>
  <si>
    <t>Voice command is useful as you might have objects in your hands</t>
  </si>
  <si>
    <t>I liked the instructions as the showed where the associated screws were and which direction to turn them</t>
  </si>
  <si>
    <t>When re-connecting the brake block I wanted to look closely to find the holes for the screws, however the instructions were showing a large purple block which was bright and therefore made it difficult for me to see the holes beneatch</t>
  </si>
  <si>
    <t>It was comfortable</t>
  </si>
  <si>
    <t>It is nice to be able to interact with the device without a physical interface, especially if wearing gloves or having dirty hands</t>
  </si>
  <si>
    <t>They helped to spot the correct items</t>
  </si>
  <si>
    <t>The instructions were difficult to read from the working position.</t>
  </si>
  <si>
    <t>It was comfortable.</t>
  </si>
  <si>
    <t>The hand gestures where a bit complicated to get right initially as the system was new, I believe the voice commands works a lot better.</t>
  </si>
  <si>
    <t>Yes, only problem I found was the need to step back to be able to see the sreen again as it worked "fixed in space", would have enjoyed more if provided the screen was more above the task at hand</t>
  </si>
  <si>
    <t>No, the instructions navigation was clear</t>
  </si>
  <si>
    <t>It was comfortable but in hot places sweat may interfere.</t>
  </si>
  <si>
    <t>I'm not sure I could say yes that I definitely like it but it doesn't that bad. In my opinion, there is still slow respond sometime and I have to move myself after look at video to press the button. However, I like the design on interface because it is modernized</t>
  </si>
  <si>
    <t>It's quite hard to look at first If I don't know I have to move backward and the resolution and color on screen is a bit blur for me to see the small detail.</t>
  </si>
  <si>
    <t>Yes, I did. The interface was shaking at first and instructor had to restart(?) the device. Also when i clicked the button, it has sometime not responded as my wish.</t>
  </si>
  <si>
    <t>The headset has a bit weight but it's not uncomfortable. I like that it could adjust to fix my head shape.</t>
  </si>
  <si>
    <t>Yes, i like the hand gesture interaction, for example the control panel and the easy access to the it</t>
  </si>
  <si>
    <t>Yes, the picture was clear and the animation fir well on the real experimental rig. I also like the 3D simulation of the hand when choosing certain command. the animation showing the step was a bit of lack of the brightness or it was a bit too transparent on the first task , however the pictures and animation for steps after were clear and bright</t>
  </si>
  <si>
    <t>No, but it would be nice if the font of the text could be bigger for the reader</t>
  </si>
  <si>
    <t>It was not heavy and comfortable even though i was wearing glasses beneath</t>
  </si>
  <si>
    <t>Overall it is simple. But I still need more practice to be familiar with pressing the button. Cuz it often takes more than 2 times to complete the action.</t>
  </si>
  <si>
    <t>Yes, the animation is very easy to understand for person like me who was not familiar with the task in the begining at all.</t>
  </si>
  <si>
    <t>Yes, when I was trying to screw the transparent cover, the AR image interfere me to closely observe the screw hole when I was trying to place the screw into the hole properly.</t>
  </si>
  <si>
    <t>It is comfortable and light.</t>
  </si>
  <si>
    <t>combination of both is good</t>
  </si>
  <si>
    <t>novelty!</t>
  </si>
  <si>
    <t>my glasses steaming up!</t>
  </si>
  <si>
    <t>fine</t>
  </si>
  <si>
    <t>I liked it, but I had some difficulty pressing the button. I guess it takes some practice</t>
  </si>
  <si>
    <t>Yes, it is really helpful because it shows exactly what you need to do and to which component</t>
  </si>
  <si>
    <t>Not major difficulty. I just couldn't successfully hit the button every time, but I believe it is something I could get used to</t>
  </si>
  <si>
    <t>It was not too heavy, it was ok. But I had worn it a bit too tight.</t>
  </si>
  <si>
    <t>yes, once trained easy to use</t>
  </si>
  <si>
    <t>the visual representation of the tasked help me complete it, the visual effects were clear and easy to see</t>
  </si>
  <si>
    <t>The headset was comfortable to wear</t>
  </si>
  <si>
    <t>Yes, I liked them. Intuitive and easy to follow.</t>
  </si>
  <si>
    <t>Yes, it has been intuitive and easy to follow.</t>
  </si>
  <si>
    <t>Yes, the AR working interface was displaced after the tutorial making some of the steps hard to follow because the 3D animation and the real task didn't match.</t>
  </si>
  <si>
    <t>Yes, they were light and comfortable.</t>
  </si>
  <si>
    <t>Easy to access and quick to complete</t>
  </si>
  <si>
    <t>I am visual person, so I like it that way, moreover I believe that it is fool proof system</t>
  </si>
  <si>
    <t>It was comfortable and fit on my big head.</t>
  </si>
  <si>
    <t>Yes, it is actually user friendly, albeit with a small lag in command input reaction</t>
  </si>
  <si>
    <t>it depicts clearly on what the user has to do</t>
  </si>
  <si>
    <t>miniscule, the only difficulty is measuring in input timing on the voice command before I move on to the next task</t>
  </si>
  <si>
    <t>sufficiently comfortable</t>
  </si>
  <si>
    <t>The hand gesture was very handy, because no hard manual was needed to perform the maintenance tasks, everything was available and explained with the hand gesture.</t>
  </si>
  <si>
    <t>Of course. For me, visuals are very important and are actually a crucial step in my learning process, because only listening to the instructions to conduct any task is hard to understand without any image or video related to the task.</t>
  </si>
  <si>
    <t>The lightening was slightly low when looking at the gear box to see the task required to operate.</t>
  </si>
  <si>
    <t>It was very comfortable to wear the Hololens and very light weighted.</t>
  </si>
  <si>
    <t>Yes, it was easy because it follows my sight.</t>
  </si>
  <si>
    <t>Yes, It was helpful.</t>
  </si>
  <si>
    <t>It was difficult at the beginning to follow the menu.</t>
  </si>
  <si>
    <t>Yes, it was but the glasses get moisture from the mask.</t>
  </si>
  <si>
    <t>Error Legend</t>
  </si>
  <si>
    <t>0 = no errors</t>
  </si>
  <si>
    <t>1 = wrong tool</t>
  </si>
  <si>
    <t>2 = wrong tool movement</t>
  </si>
  <si>
    <t>3 = wrong tool orientation</t>
  </si>
  <si>
    <t>4 = wrong part orientation</t>
  </si>
  <si>
    <t>5 = others</t>
  </si>
  <si>
    <t>Fixation time</t>
  </si>
  <si>
    <t>Fixation number</t>
  </si>
  <si>
    <t>Gender</t>
  </si>
  <si>
    <t>Main instruction</t>
  </si>
  <si>
    <t>SubInstruction</t>
  </si>
  <si>
    <t xml:space="preserve">Tool </t>
  </si>
  <si>
    <t>Video</t>
  </si>
  <si>
    <t>Gearbox</t>
  </si>
  <si>
    <t>Video - Tool</t>
  </si>
  <si>
    <t>Tool - Video</t>
  </si>
  <si>
    <t>Video - Text</t>
  </si>
  <si>
    <t>Text - Video</t>
  </si>
  <si>
    <t>Tool - Text</t>
  </si>
  <si>
    <t>Text - Tool</t>
  </si>
  <si>
    <t>Video - MainInstruction</t>
  </si>
  <si>
    <t>MainInstruction - Video</t>
  </si>
  <si>
    <t>Text - MainInstruction</t>
  </si>
  <si>
    <t>MainInstruction - Text</t>
  </si>
  <si>
    <t>Tool - MainInstruction</t>
  </si>
  <si>
    <t>MainInstructon - Tool</t>
  </si>
  <si>
    <t>Video - Gearbox</t>
  </si>
  <si>
    <t>Gearbox-video</t>
  </si>
  <si>
    <t>Gearbox-Text</t>
  </si>
  <si>
    <t>Text-Gearbox</t>
  </si>
  <si>
    <t>Gearbox-tool</t>
  </si>
  <si>
    <t>Tool-Gearbox</t>
  </si>
  <si>
    <t>Gearbox-MainInstruction</t>
  </si>
  <si>
    <t>MainInstruction-Gearbox</t>
  </si>
  <si>
    <t>10/15/2020 16:44:29</t>
  </si>
  <si>
    <t>10/15/2020 15:20:09</t>
  </si>
  <si>
    <t>10/15/2020 9:28:14</t>
  </si>
  <si>
    <t>10/13/2020 15:24:26</t>
  </si>
  <si>
    <t>10/29/2020 9:34:00</t>
  </si>
  <si>
    <t>10/23/2020 14:55:31</t>
  </si>
  <si>
    <t>10/23/2020 17:12:06</t>
  </si>
  <si>
    <t>10/13/2020 16:46:46</t>
  </si>
  <si>
    <t>10/15/2020 11:46:34</t>
  </si>
  <si>
    <t>10/23/2020 15:32:14</t>
  </si>
  <si>
    <t>10/13/2020 12:53:28</t>
  </si>
  <si>
    <t>10/13/2020 14:45:32</t>
  </si>
  <si>
    <t>10/23/2020 12:29:22</t>
  </si>
  <si>
    <t>10/29/2020 10:40:59</t>
  </si>
  <si>
    <t>10/30/2020 16:53:09</t>
  </si>
  <si>
    <t>Total Usability</t>
  </si>
  <si>
    <t>Total UE</t>
  </si>
  <si>
    <t>Almost all participants like to use hand gesture for pressing button because it was easy to use and to remember. One participant found it problematic because of depth perception problem</t>
  </si>
  <si>
    <t>The majority of participants found video instruction helpful more like having an expert standing next to you. It gives clear and straightforward instructions to follow different procedures even for the novices. One participant disliked because the video distance cannot be adjusted, pause and stop</t>
  </si>
  <si>
    <t>almost all participant did not find any major problem viewing the video instruction and hand gesture interface. One participant said however there was a time when he was too focused on seeing the video while doing the maintenance and almot got his finger stuck between two parts which raise health and safety concern</t>
  </si>
  <si>
    <t>All participant did not find wearing Hololens heavy. One participant complained he could not see the instruction clearly because of wearing glassess. However some have concern over long time use</t>
  </si>
  <si>
    <t>Voice command interaction was preferrable for some participants over hand gesture because it is quicker, allows user to navigate the menu while their hands are occupied, and less tiring since it is not necessary to lift or to lower hand to press option while performing task. One participant said the combination will work better especially in a noisy environment</t>
  </si>
  <si>
    <t>Majority liked video instruction because it was clear and easy to follow. One said it could be quicker than 3D animation because it takes longer to analyse and to understand 3D model. However one said the requirement of multiple perspective for video-based instruction</t>
  </si>
  <si>
    <t>None found difficulty. However some mentioned about the limitation of field of view which need them to adjust their head to see the instruction completely</t>
  </si>
  <si>
    <t>Almost all found wearing Hololens comfortable and not heavy. Only one found it tiring.</t>
  </si>
  <si>
    <t>All participants found hand gesture easy to use. One mentioned combination of hand gesture and voice command is more convenient. One participant had an issue with depth perception</t>
  </si>
  <si>
    <t>Almost all found 3D animation helped them quickly understand the task and easily locate the part. One participant found 3D animation blurred and not well calibrated</t>
  </si>
  <si>
    <t xml:space="preserve">One participant found 3D animation intefereed his view while looking for a hole. One found the 3D model was not aligned. </t>
  </si>
  <si>
    <t>All participant found the Hololens comfortable and not heavy</t>
  </si>
  <si>
    <t>All participants found voice command helpful especially when their hands are not available. However, it might not be effective in a loud environment</t>
  </si>
  <si>
    <t xml:space="preserve">All participants found 3D animation helpful in completing the task as it depicts clearly where to locate and to position the part, and which direction the task should be done. </t>
  </si>
  <si>
    <t>It blocks user view when performing maintenance task. An option to hide the animation after locating the part could help to remove distraction</t>
  </si>
  <si>
    <t>It was comfortable and not heavy. But still needs investigation on the prolonged use</t>
  </si>
  <si>
    <t>manual</t>
  </si>
  <si>
    <t>1,1,2</t>
  </si>
  <si>
    <t>1,1,5,5,</t>
  </si>
  <si>
    <t>5 (wrong procedure)</t>
  </si>
  <si>
    <t>1, 5</t>
  </si>
  <si>
    <t>1,1,2,5</t>
  </si>
  <si>
    <t>4,5</t>
  </si>
  <si>
    <t>5,1</t>
  </si>
  <si>
    <t>4, 5</t>
  </si>
  <si>
    <t>ANOVA</t>
  </si>
  <si>
    <t>Anova: Single Factor</t>
  </si>
  <si>
    <t>SUMMARY</t>
  </si>
  <si>
    <t>Groups</t>
  </si>
  <si>
    <t>Count</t>
  </si>
  <si>
    <t>Sum</t>
  </si>
  <si>
    <t>Average</t>
  </si>
  <si>
    <t>Variance</t>
  </si>
  <si>
    <t>Column 1</t>
  </si>
  <si>
    <t>Column 2</t>
  </si>
  <si>
    <t>Source of Variation</t>
  </si>
  <si>
    <t>SS</t>
  </si>
  <si>
    <t>df</t>
  </si>
  <si>
    <t>MS</t>
  </si>
  <si>
    <t>P-value</t>
  </si>
  <si>
    <t>F crit</t>
  </si>
  <si>
    <t>Between Groups</t>
  </si>
  <si>
    <t>Within Groups</t>
  </si>
  <si>
    <t>t-Test: Two-Sample Assuming Unequal Variances</t>
  </si>
  <si>
    <t>Variable 1</t>
  </si>
  <si>
    <t>Variable 2</t>
  </si>
  <si>
    <t>Mean</t>
  </si>
  <si>
    <t>Observations</t>
  </si>
  <si>
    <t>Hypothesized Mean Difference</t>
  </si>
  <si>
    <t>t Stat</t>
  </si>
  <si>
    <t>P(T&lt;=t) one-tail</t>
  </si>
  <si>
    <t>t Critical one-tail</t>
  </si>
  <si>
    <t>P(T&lt;=t) two-tail</t>
  </si>
  <si>
    <t>t Critical two-tail</t>
  </si>
  <si>
    <t>FoAR total time</t>
  </si>
  <si>
    <t>Repair time</t>
  </si>
  <si>
    <t>%AR tota time</t>
  </si>
  <si>
    <t>11/19/2020 13:31:24</t>
  </si>
  <si>
    <t>11/19/2020 15:13:31</t>
  </si>
  <si>
    <t>11/19/2020 16:42:57</t>
  </si>
  <si>
    <t>11/20/2020 10:41:46</t>
  </si>
  <si>
    <t>M01</t>
  </si>
  <si>
    <t>M02</t>
  </si>
  <si>
    <t>M03</t>
  </si>
  <si>
    <t>M04</t>
  </si>
  <si>
    <t>M05</t>
  </si>
  <si>
    <t>M06</t>
  </si>
  <si>
    <t>M07</t>
  </si>
  <si>
    <t>M08</t>
  </si>
  <si>
    <t>M09</t>
  </si>
  <si>
    <t>M10</t>
  </si>
  <si>
    <t>VH01</t>
  </si>
  <si>
    <t>VH02</t>
  </si>
  <si>
    <t>VH03</t>
  </si>
  <si>
    <t>VH04</t>
  </si>
  <si>
    <t>VH05</t>
  </si>
  <si>
    <t>VH06</t>
  </si>
  <si>
    <t>VH07</t>
  </si>
  <si>
    <t>VH08</t>
  </si>
  <si>
    <t>VH09</t>
  </si>
  <si>
    <t>VH10</t>
  </si>
  <si>
    <t>VH11</t>
  </si>
  <si>
    <t>VH12</t>
  </si>
  <si>
    <t>VH13</t>
  </si>
  <si>
    <t>VV01</t>
  </si>
  <si>
    <t>VV02</t>
  </si>
  <si>
    <t>VV03</t>
  </si>
  <si>
    <t>VV04</t>
  </si>
  <si>
    <t>VV05</t>
  </si>
  <si>
    <t>VV06</t>
  </si>
  <si>
    <t>VV07</t>
  </si>
  <si>
    <t>VV08</t>
  </si>
  <si>
    <t>VV09</t>
  </si>
  <si>
    <t>VV10</t>
  </si>
  <si>
    <t>VV11</t>
  </si>
  <si>
    <t>AH01</t>
  </si>
  <si>
    <t>AH02</t>
  </si>
  <si>
    <t>AH03</t>
  </si>
  <si>
    <t>AH04</t>
  </si>
  <si>
    <t>AH05</t>
  </si>
  <si>
    <t>AH06</t>
  </si>
  <si>
    <t>AH07</t>
  </si>
  <si>
    <t>AH08</t>
  </si>
  <si>
    <t>AH09</t>
  </si>
  <si>
    <t>AH10</t>
  </si>
  <si>
    <t>AH11</t>
  </si>
  <si>
    <t>AH12</t>
  </si>
  <si>
    <t>AH13</t>
  </si>
  <si>
    <t>AH14</t>
  </si>
  <si>
    <t>AH15</t>
  </si>
  <si>
    <t>AH16</t>
  </si>
  <si>
    <t>AV01</t>
  </si>
  <si>
    <t>AV02</t>
  </si>
  <si>
    <t>AV03</t>
  </si>
  <si>
    <t>AV04</t>
  </si>
  <si>
    <t>AV05</t>
  </si>
  <si>
    <t>AV06</t>
  </si>
  <si>
    <t>AV07</t>
  </si>
  <si>
    <t>AV08</t>
  </si>
  <si>
    <t>AV09</t>
  </si>
  <si>
    <t>AV10</t>
  </si>
  <si>
    <t>AV11</t>
  </si>
  <si>
    <t>AV12</t>
  </si>
  <si>
    <t>AV13</t>
  </si>
  <si>
    <t>Vh11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</si>
</sst>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0"/>
      <color theme="1"/>
      <name val="Arial"/>
      <family val="2"/>
    </font>
    <font>
      <b/>
      <sz val="10"/>
      <color theme="1"/>
      <name val="Arial"/>
      <family val="2"/>
    </font>
    <font>
      <sz val="11"/>
      <name val="Calibri"/>
      <family val="2"/>
      <scheme val="minor"/>
    </font>
    <font>
      <i/>
      <sz val="11"/>
      <color theme="1"/>
      <name val="Calibri"/>
      <family val="2"/>
      <scheme val="minor"/>
    </font>
    <font>
      <sz val="8"/>
      <name val="Calibri"/>
      <family val="2"/>
      <scheme val="minor"/>
    </font>
  </fonts>
  <fills count="12">
    <fill>
      <patternFill patternType="none"/>
    </fill>
    <fill>
      <patternFill patternType="gray125"/>
    </fill>
    <fill>
      <patternFill patternType="solid">
        <fgColor theme="4"/>
        <bgColor indexed="64"/>
      </patternFill>
    </fill>
    <fill>
      <patternFill patternType="solid">
        <fgColor rgb="FFFFC000"/>
        <bgColor indexed="64"/>
      </patternFill>
    </fill>
    <fill>
      <patternFill patternType="solid">
        <fgColor them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5"/>
        <bgColor indexed="64"/>
      </patternFill>
    </fill>
    <fill>
      <patternFill patternType="solid">
        <fgColor theme="1" tint="0.499984740745262"/>
        <bgColor indexed="64"/>
      </patternFill>
    </fill>
    <fill>
      <patternFill patternType="solid">
        <fgColor theme="1" tint="0.34998626667073579"/>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right/>
      <top/>
      <bottom style="medium">
        <color rgb="FFCCCCCC"/>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71">
    <xf numFmtId="0" fontId="0" fillId="0" borderId="0" xfId="0"/>
    <xf numFmtId="0" fontId="1" fillId="0" borderId="1" xfId="0" applyFont="1" applyBorder="1" applyAlignment="1">
      <alignment vertical="center"/>
    </xf>
    <xf numFmtId="0" fontId="1" fillId="0" borderId="1" xfId="0" applyFont="1" applyBorder="1" applyAlignment="1">
      <alignment horizontal="right"/>
    </xf>
    <xf numFmtId="0" fontId="1" fillId="0" borderId="1" xfId="0" applyFont="1" applyBorder="1" applyAlignment="1"/>
    <xf numFmtId="22" fontId="1" fillId="0" borderId="1" xfId="0" applyNumberFormat="1" applyFont="1" applyBorder="1" applyAlignment="1">
      <alignment horizontal="right"/>
    </xf>
    <xf numFmtId="0" fontId="2" fillId="0" borderId="1" xfId="0" applyFont="1" applyBorder="1" applyAlignment="1">
      <alignment vertical="center"/>
    </xf>
    <xf numFmtId="0" fontId="2" fillId="0" borderId="1" xfId="0" applyFont="1" applyBorder="1" applyAlignment="1">
      <alignment vertical="center" wrapText="1"/>
    </xf>
    <xf numFmtId="0" fontId="1" fillId="0" borderId="1" xfId="0" applyFont="1" applyBorder="1" applyAlignment="1">
      <alignment vertical="center" wrapText="1"/>
    </xf>
    <xf numFmtId="0" fontId="0" fillId="0" borderId="0" xfId="0" applyAlignment="1">
      <alignment vertical="center" wrapText="1"/>
    </xf>
    <xf numFmtId="0" fontId="1" fillId="0" borderId="1" xfId="0" applyFont="1" applyBorder="1" applyAlignment="1">
      <alignment horizontal="center" vertical="center"/>
    </xf>
    <xf numFmtId="0" fontId="0" fillId="0" borderId="0" xfId="0" applyAlignment="1">
      <alignment horizontal="center" vertical="center"/>
    </xf>
    <xf numFmtId="22" fontId="1" fillId="0" borderId="1" xfId="0" applyNumberFormat="1" applyFont="1" applyBorder="1"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xf>
    <xf numFmtId="0" fontId="0" fillId="0" borderId="0" xfId="0" applyFill="1"/>
    <xf numFmtId="20" fontId="0" fillId="0" borderId="0" xfId="0" applyNumberFormat="1"/>
    <xf numFmtId="164" fontId="0" fillId="0" borderId="0" xfId="0" applyNumberFormat="1"/>
    <xf numFmtId="20" fontId="0" fillId="0" borderId="0" xfId="0" applyNumberFormat="1" applyFill="1"/>
    <xf numFmtId="164" fontId="0" fillId="0" borderId="0" xfId="0" applyNumberFormat="1" applyFill="1"/>
    <xf numFmtId="0" fontId="0" fillId="2" borderId="0" xfId="0" applyFill="1"/>
    <xf numFmtId="0" fontId="0" fillId="3" borderId="0" xfId="0" applyFill="1"/>
    <xf numFmtId="0" fontId="3" fillId="0" borderId="0" xfId="0" applyFont="1" applyFill="1"/>
    <xf numFmtId="20" fontId="3" fillId="0" borderId="0" xfId="0" applyNumberFormat="1" applyFont="1" applyFill="1"/>
    <xf numFmtId="2" fontId="0" fillId="0" borderId="0" xfId="0" applyNumberFormat="1"/>
    <xf numFmtId="1" fontId="0" fillId="0" borderId="0" xfId="0" applyNumberFormat="1"/>
    <xf numFmtId="0" fontId="1" fillId="0" borderId="1" xfId="0" applyFont="1" applyBorder="1" applyAlignment="1">
      <alignment textRotation="90"/>
    </xf>
    <xf numFmtId="0" fontId="1" fillId="0" borderId="1" xfId="0" applyFont="1" applyBorder="1" applyAlignment="1">
      <alignment horizontal="center" vertical="center" wrapText="1"/>
    </xf>
    <xf numFmtId="0" fontId="0" fillId="0" borderId="0" xfId="0" applyAlignment="1">
      <alignment wrapText="1"/>
    </xf>
    <xf numFmtId="0" fontId="0" fillId="0" borderId="0" xfId="0" applyFill="1" applyBorder="1"/>
    <xf numFmtId="0" fontId="0" fillId="0" borderId="0" xfId="0" applyAlignment="1">
      <alignment horizontal="center" vertical="center" wrapText="1"/>
    </xf>
    <xf numFmtId="0" fontId="0" fillId="0" borderId="0" xfId="0" applyAlignment="1">
      <alignment horizontal="center" vertical="center" wrapText="1"/>
    </xf>
    <xf numFmtId="0" fontId="0" fillId="4" borderId="0" xfId="0" applyFill="1"/>
    <xf numFmtId="0" fontId="0" fillId="5" borderId="0" xfId="0" applyFill="1"/>
    <xf numFmtId="0" fontId="0" fillId="7" borderId="0" xfId="0" applyFill="1"/>
    <xf numFmtId="0" fontId="3" fillId="7" borderId="0" xfId="0" applyFont="1" applyFill="1"/>
    <xf numFmtId="0" fontId="0" fillId="0" borderId="0" xfId="0" applyFill="1" applyBorder="1" applyAlignment="1"/>
    <xf numFmtId="0" fontId="0" fillId="0" borderId="3" xfId="0" applyFill="1" applyBorder="1" applyAlignment="1"/>
    <xf numFmtId="0" fontId="4" fillId="0" borderId="4" xfId="0" applyFont="1" applyFill="1" applyBorder="1" applyAlignment="1">
      <alignment horizontal="center"/>
    </xf>
    <xf numFmtId="0" fontId="1" fillId="4" borderId="1" xfId="0" applyFont="1" applyFill="1" applyBorder="1" applyAlignment="1">
      <alignment horizontal="right"/>
    </xf>
    <xf numFmtId="0" fontId="1" fillId="6" borderId="1" xfId="0" applyFont="1" applyFill="1" applyBorder="1" applyAlignment="1">
      <alignment horizontal="right"/>
    </xf>
    <xf numFmtId="0" fontId="0" fillId="0" borderId="0" xfId="0" applyAlignment="1">
      <alignment horizontal="center" wrapText="1"/>
    </xf>
    <xf numFmtId="0" fontId="1" fillId="4" borderId="1" xfId="0" applyFont="1" applyFill="1" applyBorder="1" applyAlignment="1"/>
    <xf numFmtId="0" fontId="1" fillId="4" borderId="1" xfId="0" applyFont="1" applyFill="1" applyBorder="1" applyAlignment="1">
      <alignment vertical="center"/>
    </xf>
    <xf numFmtId="0" fontId="1" fillId="3" borderId="1" xfId="0" applyFont="1" applyFill="1" applyBorder="1" applyAlignment="1"/>
    <xf numFmtId="0" fontId="0" fillId="0" borderId="0" xfId="0" applyFill="1" applyBorder="1" applyAlignment="1">
      <alignment wrapText="1"/>
    </xf>
    <xf numFmtId="0" fontId="0" fillId="0" borderId="0" xfId="0" applyFill="1" applyBorder="1" applyAlignment="1">
      <alignment horizontal="center" vertical="center" wrapText="1"/>
    </xf>
    <xf numFmtId="0" fontId="0" fillId="8" borderId="0" xfId="0" applyFill="1"/>
    <xf numFmtId="46" fontId="0" fillId="0" borderId="0" xfId="0" applyNumberFormat="1"/>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0" fillId="9" borderId="0" xfId="0" applyFill="1"/>
    <xf numFmtId="2" fontId="0" fillId="0" borderId="0" xfId="0" applyNumberFormat="1" applyFill="1"/>
    <xf numFmtId="22" fontId="1" fillId="0" borderId="0" xfId="0" applyNumberFormat="1" applyFont="1"/>
    <xf numFmtId="0" fontId="1" fillId="0" borderId="0" xfId="0" applyFont="1"/>
    <xf numFmtId="0" fontId="0" fillId="0" borderId="0" xfId="0" applyAlignment="1">
      <alignment horizontal="right" vertical="center"/>
    </xf>
    <xf numFmtId="22" fontId="1" fillId="0" borderId="0" xfId="0" applyNumberFormat="1" applyFont="1" applyBorder="1" applyAlignment="1">
      <alignment horizontal="right"/>
    </xf>
    <xf numFmtId="0" fontId="0" fillId="0" borderId="0" xfId="0"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0" fillId="0" borderId="1" xfId="0" applyBorder="1" applyAlignment="1">
      <alignment horizontal="center" vertical="center"/>
    </xf>
    <xf numFmtId="164" fontId="0" fillId="6" borderId="0" xfId="0" applyNumberFormat="1" applyFill="1"/>
    <xf numFmtId="164" fontId="0" fillId="10" borderId="0" xfId="0" applyNumberFormat="1" applyFill="1"/>
    <xf numFmtId="164" fontId="0" fillId="11" borderId="0" xfId="0" applyNumberFormat="1" applyFill="1"/>
    <xf numFmtId="0" fontId="0" fillId="0" borderId="0" xfId="0"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xf>
    <xf numFmtId="22" fontId="1" fillId="0" borderId="0" xfId="0" applyNumberFormat="1"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rticipants%20_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5"/>
      <sheetName val="Sheet6"/>
      <sheetName val="Demographic"/>
      <sheetName val="Performance &amp; workload"/>
      <sheetName val="Eye Tracking_Graph"/>
      <sheetName val="Usability_revised"/>
      <sheetName val="Usability"/>
      <sheetName val="Eye Tracking_numeric"/>
      <sheetName val="Sheet7"/>
      <sheetName val="Legend"/>
      <sheetName val="Summary usability"/>
      <sheetName val="Correlation"/>
    </sheetNames>
    <sheetDataSet>
      <sheetData sheetId="0"/>
      <sheetData sheetId="1"/>
      <sheetData sheetId="2"/>
      <sheetData sheetId="3"/>
      <sheetData sheetId="4"/>
      <sheetData sheetId="5">
        <row r="2">
          <cell r="Y2" t="str">
            <v>Video - Tool</v>
          </cell>
          <cell r="Z2" t="str">
            <v>Tool - Video</v>
          </cell>
          <cell r="AA2" t="str">
            <v>Video - Text</v>
          </cell>
          <cell r="AB2" t="str">
            <v>Text - Video</v>
          </cell>
          <cell r="AC2" t="str">
            <v>Tool - Text</v>
          </cell>
          <cell r="AD2" t="str">
            <v>Text - Tool</v>
          </cell>
          <cell r="AE2" t="str">
            <v>Video - MainInstruction</v>
          </cell>
          <cell r="AF2" t="str">
            <v>MainInstruction - Video</v>
          </cell>
          <cell r="AG2" t="str">
            <v>Text - MainInstruction</v>
          </cell>
          <cell r="AH2" t="str">
            <v>MainInstruction - Text</v>
          </cell>
          <cell r="AI2" t="str">
            <v>Tool - MainInstruction</v>
          </cell>
          <cell r="AJ2" t="str">
            <v>MainInstructon - Tool</v>
          </cell>
          <cell r="AK2" t="str">
            <v>Video - Gearbox</v>
          </cell>
          <cell r="AL2" t="str">
            <v>Gearbox-video</v>
          </cell>
          <cell r="AM2" t="str">
            <v>Gearbox-Text</v>
          </cell>
          <cell r="AN2" t="str">
            <v>Text-Gearbox</v>
          </cell>
          <cell r="AO2" t="str">
            <v>Gearbox-tool</v>
          </cell>
          <cell r="AP2" t="str">
            <v>Tool-Gearbox</v>
          </cell>
          <cell r="AQ2" t="str">
            <v>Gearbox-MainInstruction</v>
          </cell>
          <cell r="AR2" t="str">
            <v>MainInstruction-Gearbox</v>
          </cell>
        </row>
        <row r="4">
          <cell r="Y4">
            <v>8</v>
          </cell>
          <cell r="Z4">
            <v>9</v>
          </cell>
          <cell r="AA4">
            <v>16</v>
          </cell>
          <cell r="AB4">
            <v>16</v>
          </cell>
          <cell r="AC4">
            <v>7</v>
          </cell>
          <cell r="AD4">
            <v>8</v>
          </cell>
          <cell r="AE4">
            <v>0</v>
          </cell>
          <cell r="AF4">
            <v>0</v>
          </cell>
          <cell r="AG4">
            <v>0</v>
          </cell>
          <cell r="AH4">
            <v>0</v>
          </cell>
          <cell r="AI4">
            <v>0</v>
          </cell>
          <cell r="AJ4">
            <v>0</v>
          </cell>
          <cell r="AK4">
            <v>25</v>
          </cell>
          <cell r="AL4">
            <v>24</v>
          </cell>
          <cell r="AM4">
            <v>1</v>
          </cell>
          <cell r="AN4">
            <v>0</v>
          </cell>
          <cell r="AO4">
            <v>0</v>
          </cell>
          <cell r="AP4">
            <v>0</v>
          </cell>
          <cell r="AQ4">
            <v>0</v>
          </cell>
          <cell r="AR4">
            <v>0</v>
          </cell>
        </row>
        <row r="5">
          <cell r="Y5">
            <v>21</v>
          </cell>
          <cell r="Z5">
            <v>19</v>
          </cell>
          <cell r="AA5">
            <v>11</v>
          </cell>
          <cell r="AB5">
            <v>13</v>
          </cell>
          <cell r="AC5">
            <v>14</v>
          </cell>
          <cell r="AD5">
            <v>13</v>
          </cell>
          <cell r="AE5">
            <v>0</v>
          </cell>
          <cell r="AF5">
            <v>0</v>
          </cell>
          <cell r="AG5">
            <v>0</v>
          </cell>
          <cell r="AH5">
            <v>1</v>
          </cell>
          <cell r="AI5">
            <v>1</v>
          </cell>
          <cell r="AJ5">
            <v>0</v>
          </cell>
          <cell r="AK5">
            <v>14</v>
          </cell>
          <cell r="AL5">
            <v>14</v>
          </cell>
          <cell r="AM5">
            <v>0</v>
          </cell>
          <cell r="AN5">
            <v>0</v>
          </cell>
          <cell r="AO5">
            <v>0</v>
          </cell>
          <cell r="AP5">
            <v>0</v>
          </cell>
          <cell r="AQ5">
            <v>0</v>
          </cell>
          <cell r="AR5">
            <v>0</v>
          </cell>
        </row>
        <row r="7">
          <cell r="Y7">
            <v>15</v>
          </cell>
          <cell r="Z7">
            <v>8</v>
          </cell>
          <cell r="AA7">
            <v>14</v>
          </cell>
          <cell r="AB7">
            <v>21</v>
          </cell>
          <cell r="AC7">
            <v>12</v>
          </cell>
          <cell r="AD7">
            <v>6</v>
          </cell>
          <cell r="AE7">
            <v>0</v>
          </cell>
          <cell r="AF7">
            <v>0</v>
          </cell>
          <cell r="AG7">
            <v>0</v>
          </cell>
          <cell r="AH7">
            <v>1</v>
          </cell>
          <cell r="AI7">
            <v>1</v>
          </cell>
          <cell r="AJ7">
            <v>0</v>
          </cell>
          <cell r="AK7">
            <v>16</v>
          </cell>
          <cell r="AL7">
            <v>16</v>
          </cell>
          <cell r="AM7">
            <v>0</v>
          </cell>
          <cell r="AN7">
            <v>0</v>
          </cell>
          <cell r="AO7">
            <v>0</v>
          </cell>
          <cell r="AP7">
            <v>0</v>
          </cell>
          <cell r="AQ7">
            <v>0</v>
          </cell>
          <cell r="AR7">
            <v>0</v>
          </cell>
        </row>
        <row r="9">
          <cell r="Y9">
            <v>7</v>
          </cell>
          <cell r="Z9">
            <v>6</v>
          </cell>
          <cell r="AA9">
            <v>18</v>
          </cell>
          <cell r="AB9">
            <v>19</v>
          </cell>
          <cell r="AC9">
            <v>5</v>
          </cell>
          <cell r="AD9">
            <v>6</v>
          </cell>
          <cell r="AE9">
            <v>0</v>
          </cell>
          <cell r="AF9">
            <v>0</v>
          </cell>
          <cell r="AG9">
            <v>4</v>
          </cell>
          <cell r="AH9">
            <v>6</v>
          </cell>
          <cell r="AI9">
            <v>2</v>
          </cell>
          <cell r="AJ9">
            <v>0</v>
          </cell>
          <cell r="AK9">
            <v>11</v>
          </cell>
          <cell r="AL9">
            <v>11</v>
          </cell>
          <cell r="AM9">
            <v>0</v>
          </cell>
          <cell r="AN9">
            <v>0</v>
          </cell>
          <cell r="AO9">
            <v>0</v>
          </cell>
          <cell r="AP9">
            <v>0</v>
          </cell>
          <cell r="AQ9">
            <v>0</v>
          </cell>
          <cell r="AR9">
            <v>0</v>
          </cell>
        </row>
        <row r="11">
          <cell r="Y11">
            <v>20</v>
          </cell>
          <cell r="Z11">
            <v>11</v>
          </cell>
          <cell r="AA11">
            <v>6</v>
          </cell>
          <cell r="AB11">
            <v>18</v>
          </cell>
          <cell r="AC11">
            <v>17</v>
          </cell>
          <cell r="AD11">
            <v>6</v>
          </cell>
          <cell r="AE11">
            <v>0</v>
          </cell>
          <cell r="AF11">
            <v>0</v>
          </cell>
          <cell r="AG11">
            <v>1</v>
          </cell>
          <cell r="AH11">
            <v>1</v>
          </cell>
          <cell r="AI11">
            <v>0</v>
          </cell>
          <cell r="AJ11">
            <v>0</v>
          </cell>
          <cell r="AK11">
            <v>23</v>
          </cell>
          <cell r="AL11">
            <v>20</v>
          </cell>
          <cell r="AM11">
            <v>1</v>
          </cell>
          <cell r="AN11">
            <v>0</v>
          </cell>
          <cell r="AO11">
            <v>2</v>
          </cell>
          <cell r="AP11">
            <v>0</v>
          </cell>
          <cell r="AQ11">
            <v>0</v>
          </cell>
          <cell r="AR11">
            <v>0</v>
          </cell>
        </row>
        <row r="12">
          <cell r="Y12">
            <v>14</v>
          </cell>
          <cell r="Z12">
            <v>8</v>
          </cell>
          <cell r="AA12">
            <v>9</v>
          </cell>
          <cell r="AB12">
            <v>14</v>
          </cell>
          <cell r="AC12">
            <v>11</v>
          </cell>
          <cell r="AD12">
            <v>5</v>
          </cell>
          <cell r="AE12">
            <v>0</v>
          </cell>
          <cell r="AF12">
            <v>0</v>
          </cell>
          <cell r="AG12">
            <v>0</v>
          </cell>
          <cell r="AH12">
            <v>0</v>
          </cell>
          <cell r="AI12">
            <v>0</v>
          </cell>
          <cell r="AJ12">
            <v>0</v>
          </cell>
          <cell r="AK12">
            <v>13</v>
          </cell>
          <cell r="AL12">
            <v>13</v>
          </cell>
          <cell r="AM12">
            <v>0</v>
          </cell>
          <cell r="AN12">
            <v>1</v>
          </cell>
          <cell r="AO12">
            <v>0</v>
          </cell>
          <cell r="AP12">
            <v>0</v>
          </cell>
          <cell r="AQ12">
            <v>0</v>
          </cell>
          <cell r="AR12">
            <v>0</v>
          </cell>
        </row>
        <row r="14">
          <cell r="Y14">
            <v>14.166666666666666</v>
          </cell>
          <cell r="Z14">
            <v>10.166666666666666</v>
          </cell>
          <cell r="AA14">
            <v>12.333333333333334</v>
          </cell>
          <cell r="AB14">
            <v>16.833333333333332</v>
          </cell>
          <cell r="AC14">
            <v>11</v>
          </cell>
          <cell r="AD14">
            <v>7.333333333333333</v>
          </cell>
          <cell r="AE14">
            <v>0</v>
          </cell>
          <cell r="AF14">
            <v>0</v>
          </cell>
          <cell r="AG14">
            <v>0.83333333333333337</v>
          </cell>
          <cell r="AH14">
            <v>1.5</v>
          </cell>
          <cell r="AI14">
            <v>0.66666666666666663</v>
          </cell>
          <cell r="AJ14">
            <v>0</v>
          </cell>
          <cell r="AK14">
            <v>17</v>
          </cell>
          <cell r="AL14">
            <v>16.333333333333332</v>
          </cell>
          <cell r="AM14">
            <v>0.33333333333333331</v>
          </cell>
          <cell r="AN14">
            <v>0.16666666666666666</v>
          </cell>
          <cell r="AO14">
            <v>0.33333333333333331</v>
          </cell>
          <cell r="AP14">
            <v>0</v>
          </cell>
          <cell r="AQ14">
            <v>0</v>
          </cell>
          <cell r="AR14">
            <v>0</v>
          </cell>
        </row>
        <row r="17">
          <cell r="N17">
            <v>2694.8751999999999</v>
          </cell>
          <cell r="O17">
            <v>20515.286699999997</v>
          </cell>
          <cell r="P17">
            <v>16500.614000000001</v>
          </cell>
          <cell r="Q17">
            <v>73768.836700000014</v>
          </cell>
          <cell r="R17">
            <v>157226.89840000001</v>
          </cell>
        </row>
        <row r="18">
          <cell r="O18"/>
          <cell r="P18"/>
          <cell r="Q18"/>
          <cell r="R18"/>
        </row>
        <row r="19">
          <cell r="O19"/>
          <cell r="P19"/>
          <cell r="Q19"/>
          <cell r="R19"/>
        </row>
        <row r="21">
          <cell r="O21"/>
          <cell r="P21"/>
          <cell r="Q21"/>
          <cell r="R21"/>
        </row>
        <row r="22">
          <cell r="N22">
            <v>4749.2861000000003</v>
          </cell>
          <cell r="O22">
            <v>28423.933000000005</v>
          </cell>
          <cell r="P22">
            <v>11704.415199999999</v>
          </cell>
          <cell r="Q22">
            <v>136896.98150000002</v>
          </cell>
          <cell r="R22">
            <v>167818.6201</v>
          </cell>
        </row>
        <row r="24">
          <cell r="N24">
            <v>3198.4528749999999</v>
          </cell>
          <cell r="O24">
            <v>20317.518900000003</v>
          </cell>
          <cell r="P24">
            <v>13568.813775000001</v>
          </cell>
          <cell r="Q24">
            <v>168162.041875</v>
          </cell>
          <cell r="R24">
            <v>116140.24212500002</v>
          </cell>
        </row>
        <row r="25">
          <cell r="N25">
            <v>5349.6501999999991</v>
          </cell>
          <cell r="O25">
            <v>29504.195900000006</v>
          </cell>
          <cell r="P25">
            <v>9571.3477000000003</v>
          </cell>
          <cell r="Q25">
            <v>182852.83779999995</v>
          </cell>
          <cell r="R25">
            <v>102567.54020000002</v>
          </cell>
        </row>
        <row r="26">
          <cell r="N26">
            <v>0</v>
          </cell>
          <cell r="O26">
            <v>2826.66</v>
          </cell>
          <cell r="P26">
            <v>16498.878199999999</v>
          </cell>
          <cell r="Q26">
            <v>279129.51149999996</v>
          </cell>
          <cell r="R26">
            <v>36947.909799999994</v>
          </cell>
        </row>
        <row r="27">
          <cell r="N27">
            <v>4176.1580999999996</v>
          </cell>
          <cell r="O27">
            <v>39074.156299999988</v>
          </cell>
          <cell r="P27">
            <v>12073.318300000003</v>
          </cell>
          <cell r="R27">
            <v>329841.49650000007</v>
          </cell>
          <cell r="AC27">
            <v>18</v>
          </cell>
          <cell r="AD27">
            <v>19</v>
          </cell>
          <cell r="AG27">
            <v>4</v>
          </cell>
          <cell r="AH27">
            <v>3</v>
          </cell>
          <cell r="AI27">
            <v>3</v>
          </cell>
          <cell r="AJ27">
            <v>5</v>
          </cell>
          <cell r="AM27">
            <v>9</v>
          </cell>
          <cell r="AN27">
            <v>6</v>
          </cell>
          <cell r="AO27">
            <v>5</v>
          </cell>
          <cell r="AP27">
            <v>8</v>
          </cell>
          <cell r="AQ27">
            <v>0</v>
          </cell>
          <cell r="AR27">
            <v>0</v>
          </cell>
        </row>
        <row r="28">
          <cell r="N28">
            <v>2822.9513999999999</v>
          </cell>
          <cell r="O28">
            <v>41435.437700000009</v>
          </cell>
          <cell r="P28">
            <v>23983.948099999994</v>
          </cell>
          <cell r="R28">
            <v>490258.2084</v>
          </cell>
          <cell r="AC28">
            <v>27</v>
          </cell>
          <cell r="AD28">
            <v>25</v>
          </cell>
          <cell r="AG28">
            <v>6</v>
          </cell>
          <cell r="AH28">
            <v>7</v>
          </cell>
          <cell r="AI28">
            <v>1</v>
          </cell>
          <cell r="AJ28">
            <v>1</v>
          </cell>
          <cell r="AM28">
            <v>11</v>
          </cell>
          <cell r="AN28">
            <v>9</v>
          </cell>
          <cell r="AO28">
            <v>6</v>
          </cell>
          <cell r="AP28">
            <v>4</v>
          </cell>
          <cell r="AQ28">
            <v>2</v>
          </cell>
          <cell r="AR28">
            <v>0</v>
          </cell>
        </row>
        <row r="29">
          <cell r="N29">
            <v>539.9864</v>
          </cell>
          <cell r="O29">
            <v>38382.61280000001</v>
          </cell>
          <cell r="P29">
            <v>11571.098000000002</v>
          </cell>
          <cell r="R29">
            <v>215150.19470000008</v>
          </cell>
          <cell r="AC29">
            <v>18</v>
          </cell>
          <cell r="AD29">
            <v>17</v>
          </cell>
          <cell r="AG29">
            <v>1</v>
          </cell>
          <cell r="AH29">
            <v>1</v>
          </cell>
          <cell r="AI29">
            <v>0</v>
          </cell>
          <cell r="AJ29">
            <v>0</v>
          </cell>
          <cell r="AM29">
            <v>7</v>
          </cell>
          <cell r="AN29">
            <v>8</v>
          </cell>
          <cell r="AO29">
            <v>6</v>
          </cell>
          <cell r="AP29">
            <v>5</v>
          </cell>
          <cell r="AQ29">
            <v>0</v>
          </cell>
          <cell r="AR29">
            <v>0</v>
          </cell>
        </row>
        <row r="30">
          <cell r="N30">
            <v>1051.5373</v>
          </cell>
          <cell r="O30">
            <v>31912.489299999997</v>
          </cell>
          <cell r="P30">
            <v>9757.8348000000024</v>
          </cell>
          <cell r="R30">
            <v>273850.68209999986</v>
          </cell>
          <cell r="AC30">
            <v>10</v>
          </cell>
          <cell r="AD30">
            <v>12</v>
          </cell>
          <cell r="AG30">
            <v>2</v>
          </cell>
          <cell r="AH30">
            <v>2</v>
          </cell>
          <cell r="AI30">
            <v>0</v>
          </cell>
          <cell r="AJ30">
            <v>0</v>
          </cell>
          <cell r="AM30">
            <v>7</v>
          </cell>
          <cell r="AN30">
            <v>5</v>
          </cell>
          <cell r="AO30">
            <v>2</v>
          </cell>
          <cell r="AP30">
            <v>4</v>
          </cell>
          <cell r="AQ30">
            <v>0</v>
          </cell>
          <cell r="AR30">
            <v>0</v>
          </cell>
        </row>
        <row r="31">
          <cell r="N31">
            <v>185.38900000000001</v>
          </cell>
          <cell r="O31">
            <v>22573.0772</v>
          </cell>
          <cell r="P31">
            <v>11777.9025</v>
          </cell>
          <cell r="R31">
            <v>297270.60360000009</v>
          </cell>
          <cell r="AC31">
            <v>13</v>
          </cell>
          <cell r="AD31">
            <v>18</v>
          </cell>
          <cell r="AG31">
            <v>1</v>
          </cell>
          <cell r="AH31">
            <v>1</v>
          </cell>
          <cell r="AI31">
            <v>0</v>
          </cell>
          <cell r="AJ31">
            <v>0</v>
          </cell>
          <cell r="AM31">
            <v>6</v>
          </cell>
          <cell r="AN31">
            <v>1</v>
          </cell>
          <cell r="AO31">
            <v>5</v>
          </cell>
          <cell r="AP31">
            <v>10</v>
          </cell>
          <cell r="AQ31">
            <v>0</v>
          </cell>
          <cell r="AR31">
            <v>0</v>
          </cell>
        </row>
        <row r="32">
          <cell r="N32">
            <v>2480.5708</v>
          </cell>
          <cell r="O32">
            <v>31461.786600000007</v>
          </cell>
          <cell r="P32">
            <v>11870.354100000002</v>
          </cell>
          <cell r="R32">
            <v>391876.30620000028</v>
          </cell>
          <cell r="AC32">
            <v>9</v>
          </cell>
          <cell r="AD32">
            <v>12</v>
          </cell>
          <cell r="AG32">
            <v>3</v>
          </cell>
          <cell r="AH32">
            <v>5</v>
          </cell>
          <cell r="AI32">
            <v>1</v>
          </cell>
          <cell r="AJ32">
            <v>0</v>
          </cell>
          <cell r="AM32">
            <v>7</v>
          </cell>
          <cell r="AN32">
            <v>7</v>
          </cell>
          <cell r="AO32">
            <v>2</v>
          </cell>
          <cell r="AP32">
            <v>4</v>
          </cell>
          <cell r="AQ32">
            <v>1</v>
          </cell>
          <cell r="AR32">
            <v>0</v>
          </cell>
        </row>
        <row r="33">
          <cell r="N33">
            <v>7596.7852000000003</v>
          </cell>
          <cell r="O33">
            <v>63976.677800000012</v>
          </cell>
          <cell r="P33">
            <v>10102.193700000002</v>
          </cell>
          <cell r="R33">
            <v>260426.98210000014</v>
          </cell>
          <cell r="AC33">
            <v>9</v>
          </cell>
          <cell r="AD33">
            <v>11</v>
          </cell>
          <cell r="AG33">
            <v>14</v>
          </cell>
          <cell r="AH33">
            <v>16</v>
          </cell>
          <cell r="AI33">
            <v>2</v>
          </cell>
          <cell r="AJ33">
            <v>1</v>
          </cell>
          <cell r="AM33">
            <v>10</v>
          </cell>
          <cell r="AN33">
            <v>5</v>
          </cell>
          <cell r="AO33">
            <v>1</v>
          </cell>
          <cell r="AP33">
            <v>3</v>
          </cell>
          <cell r="AQ33">
            <v>3</v>
          </cell>
          <cell r="AR33">
            <v>0</v>
          </cell>
        </row>
        <row r="34">
          <cell r="N34">
            <v>2914.6226999999999</v>
          </cell>
          <cell r="O34">
            <v>35312.71869999999</v>
          </cell>
          <cell r="P34">
            <v>15386.507500000005</v>
          </cell>
          <cell r="R34">
            <v>232925.64380000005</v>
          </cell>
          <cell r="AC34">
            <v>26</v>
          </cell>
          <cell r="AD34">
            <v>27</v>
          </cell>
          <cell r="AG34">
            <v>4</v>
          </cell>
          <cell r="AH34">
            <v>7</v>
          </cell>
          <cell r="AI34">
            <v>1</v>
          </cell>
          <cell r="AJ34">
            <v>1</v>
          </cell>
          <cell r="AM34">
            <v>12</v>
          </cell>
          <cell r="AN34">
            <v>9</v>
          </cell>
          <cell r="AO34">
            <v>4</v>
          </cell>
          <cell r="AP34">
            <v>5</v>
          </cell>
          <cell r="AQ34">
            <v>4</v>
          </cell>
          <cell r="AR34">
            <v>0</v>
          </cell>
        </row>
        <row r="36">
          <cell r="AC36">
            <v>18</v>
          </cell>
          <cell r="AD36">
            <v>20</v>
          </cell>
          <cell r="AG36">
            <v>0</v>
          </cell>
          <cell r="AH36">
            <v>1</v>
          </cell>
          <cell r="AI36">
            <v>1</v>
          </cell>
          <cell r="AJ36">
            <v>0</v>
          </cell>
          <cell r="AM36">
            <v>3</v>
          </cell>
          <cell r="AN36">
            <v>3</v>
          </cell>
          <cell r="AO36">
            <v>3</v>
          </cell>
          <cell r="AP36">
            <v>3</v>
          </cell>
          <cell r="AQ36">
            <v>0</v>
          </cell>
          <cell r="AR36">
            <v>0</v>
          </cell>
        </row>
        <row r="38">
          <cell r="AC38">
            <v>14.454545454545455</v>
          </cell>
          <cell r="AD38">
            <v>15.545454545454545</v>
          </cell>
          <cell r="AG38">
            <v>3.9090909090909092</v>
          </cell>
          <cell r="AH38">
            <v>5</v>
          </cell>
          <cell r="AI38">
            <v>1.2727272727272727</v>
          </cell>
          <cell r="AJ38">
            <v>1</v>
          </cell>
          <cell r="AM38">
            <v>6.5454545454545459</v>
          </cell>
          <cell r="AN38">
            <v>4.8181818181818183</v>
          </cell>
          <cell r="AO38">
            <v>3.0909090909090908</v>
          </cell>
          <cell r="AP38">
            <v>4.1818181818181817</v>
          </cell>
          <cell r="AQ38">
            <v>0.90909090909090906</v>
          </cell>
          <cell r="AR38">
            <v>0</v>
          </cell>
        </row>
        <row r="43">
          <cell r="N43">
            <v>2392.5575999999996</v>
          </cell>
          <cell r="O43">
            <v>30123.617700000003</v>
          </cell>
          <cell r="P43">
            <v>13537.079799999998</v>
          </cell>
          <cell r="R43">
            <v>243070.01690000002</v>
          </cell>
          <cell r="AC43">
            <v>16</v>
          </cell>
          <cell r="AD43">
            <v>15</v>
          </cell>
          <cell r="AG43">
            <v>3</v>
          </cell>
          <cell r="AH43">
            <v>6</v>
          </cell>
          <cell r="AI43">
            <v>5</v>
          </cell>
          <cell r="AJ43">
            <v>2</v>
          </cell>
          <cell r="AM43">
            <v>4</v>
          </cell>
          <cell r="AN43">
            <v>8</v>
          </cell>
          <cell r="AO43">
            <v>7</v>
          </cell>
          <cell r="AP43">
            <v>3</v>
          </cell>
          <cell r="AQ43">
            <v>0</v>
          </cell>
          <cell r="AR43">
            <v>0</v>
          </cell>
        </row>
        <row r="44">
          <cell r="N44">
            <v>2729.6781999999998</v>
          </cell>
          <cell r="O44">
            <v>50198.583099999989</v>
          </cell>
          <cell r="P44">
            <v>22888.891500000002</v>
          </cell>
          <cell r="R44">
            <v>368456.38689999981</v>
          </cell>
          <cell r="AC44">
            <v>28</v>
          </cell>
          <cell r="AD44">
            <v>33</v>
          </cell>
          <cell r="AG44">
            <v>1</v>
          </cell>
          <cell r="AH44">
            <v>2</v>
          </cell>
          <cell r="AI44">
            <v>1</v>
          </cell>
          <cell r="AJ44">
            <v>1</v>
          </cell>
          <cell r="AM44">
            <v>12</v>
          </cell>
          <cell r="AN44">
            <v>8</v>
          </cell>
          <cell r="AO44">
            <v>6</v>
          </cell>
          <cell r="AP44">
            <v>10</v>
          </cell>
          <cell r="AQ44">
            <v>0</v>
          </cell>
          <cell r="AR44">
            <v>0</v>
          </cell>
        </row>
        <row r="45">
          <cell r="N45">
            <v>4013.8247999999999</v>
          </cell>
          <cell r="O45">
            <v>38621.834100000007</v>
          </cell>
          <cell r="P45">
            <v>11282.668299999996</v>
          </cell>
          <cell r="R45">
            <v>234461.17319999996</v>
          </cell>
          <cell r="AC45">
            <v>12</v>
          </cell>
          <cell r="AD45">
            <v>14</v>
          </cell>
          <cell r="AG45">
            <v>8</v>
          </cell>
          <cell r="AH45">
            <v>10</v>
          </cell>
          <cell r="AI45">
            <v>2</v>
          </cell>
          <cell r="AJ45">
            <v>0</v>
          </cell>
          <cell r="AM45">
            <v>6</v>
          </cell>
          <cell r="AN45">
            <v>6</v>
          </cell>
          <cell r="AO45">
            <v>1</v>
          </cell>
          <cell r="AP45">
            <v>1</v>
          </cell>
          <cell r="AQ45">
            <v>0</v>
          </cell>
          <cell r="AR45">
            <v>0</v>
          </cell>
        </row>
        <row r="46">
          <cell r="N46">
            <v>190.47720000000001</v>
          </cell>
          <cell r="O46">
            <v>69636.359899999996</v>
          </cell>
          <cell r="P46">
            <v>6008.6553999999996</v>
          </cell>
          <cell r="R46">
            <v>397557.32959999994</v>
          </cell>
          <cell r="AC46">
            <v>9</v>
          </cell>
          <cell r="AD46">
            <v>8</v>
          </cell>
          <cell r="AG46">
            <v>1</v>
          </cell>
          <cell r="AH46">
            <v>1</v>
          </cell>
          <cell r="AI46">
            <v>0</v>
          </cell>
          <cell r="AJ46">
            <v>0</v>
          </cell>
          <cell r="AM46">
            <v>15</v>
          </cell>
          <cell r="AN46">
            <v>16</v>
          </cell>
          <cell r="AO46">
            <v>8</v>
          </cell>
          <cell r="AP46">
            <v>7</v>
          </cell>
          <cell r="AQ46">
            <v>0</v>
          </cell>
          <cell r="AR46">
            <v>0</v>
          </cell>
        </row>
        <row r="47">
          <cell r="N47">
            <v>2265.0210000000002</v>
          </cell>
          <cell r="O47">
            <v>30734.326399999998</v>
          </cell>
          <cell r="P47">
            <v>17073.162899999999</v>
          </cell>
          <cell r="R47">
            <v>205803.47179999997</v>
          </cell>
          <cell r="AC47">
            <v>19</v>
          </cell>
          <cell r="AD47">
            <v>19</v>
          </cell>
          <cell r="AG47">
            <v>4</v>
          </cell>
          <cell r="AH47">
            <v>4</v>
          </cell>
          <cell r="AI47">
            <v>1</v>
          </cell>
          <cell r="AJ47">
            <v>2</v>
          </cell>
          <cell r="AM47">
            <v>4</v>
          </cell>
          <cell r="AN47">
            <v>5</v>
          </cell>
          <cell r="AO47">
            <v>8</v>
          </cell>
          <cell r="AP47">
            <v>7</v>
          </cell>
          <cell r="AQ47">
            <v>0</v>
          </cell>
          <cell r="AR47">
            <v>0</v>
          </cell>
        </row>
        <row r="48">
          <cell r="N48">
            <v>3559.2709</v>
          </cell>
          <cell r="O48">
            <v>36841.375100000005</v>
          </cell>
          <cell r="P48">
            <v>12053.350399999999</v>
          </cell>
          <cell r="R48">
            <v>427358.70730000013</v>
          </cell>
          <cell r="AC48">
            <v>5</v>
          </cell>
          <cell r="AD48">
            <v>14</v>
          </cell>
          <cell r="AG48">
            <v>3</v>
          </cell>
          <cell r="AH48">
            <v>6</v>
          </cell>
          <cell r="AI48">
            <v>1</v>
          </cell>
          <cell r="AJ48">
            <v>0</v>
          </cell>
          <cell r="AM48">
            <v>6</v>
          </cell>
          <cell r="AN48">
            <v>1</v>
          </cell>
          <cell r="AO48">
            <v>0</v>
          </cell>
          <cell r="AP48">
            <v>7</v>
          </cell>
          <cell r="AQ48">
            <v>1</v>
          </cell>
          <cell r="AR48">
            <v>0</v>
          </cell>
        </row>
        <row r="49">
          <cell r="N49">
            <v>7200.9300999999996</v>
          </cell>
          <cell r="O49">
            <v>17733.772699999994</v>
          </cell>
          <cell r="P49">
            <v>9842.852600000002</v>
          </cell>
          <cell r="R49">
            <v>198218.18349999996</v>
          </cell>
          <cell r="AC49">
            <v>10</v>
          </cell>
          <cell r="AD49">
            <v>10</v>
          </cell>
          <cell r="AG49">
            <v>5</v>
          </cell>
          <cell r="AH49">
            <v>7</v>
          </cell>
          <cell r="AI49">
            <v>3</v>
          </cell>
          <cell r="AJ49">
            <v>3</v>
          </cell>
          <cell r="AM49">
            <v>6</v>
          </cell>
          <cell r="AN49">
            <v>7</v>
          </cell>
          <cell r="AO49">
            <v>3</v>
          </cell>
          <cell r="AP49">
            <v>4</v>
          </cell>
          <cell r="AQ49">
            <v>2</v>
          </cell>
          <cell r="AR49">
            <v>0</v>
          </cell>
        </row>
        <row r="50">
          <cell r="N50">
            <v>3840.0981999999999</v>
          </cell>
          <cell r="O50">
            <v>53423.12839999998</v>
          </cell>
          <cell r="P50">
            <v>9704.2466999999997</v>
          </cell>
          <cell r="R50">
            <v>135979.59179999999</v>
          </cell>
          <cell r="AC50">
            <v>9</v>
          </cell>
          <cell r="AD50">
            <v>13</v>
          </cell>
          <cell r="AG50">
            <v>4</v>
          </cell>
          <cell r="AH50">
            <v>4</v>
          </cell>
          <cell r="AI50">
            <v>1</v>
          </cell>
          <cell r="AJ50">
            <v>1</v>
          </cell>
          <cell r="AM50">
            <v>9</v>
          </cell>
          <cell r="AN50">
            <v>7</v>
          </cell>
          <cell r="AO50">
            <v>1</v>
          </cell>
          <cell r="AP50">
            <v>3</v>
          </cell>
          <cell r="AQ50">
            <v>0</v>
          </cell>
          <cell r="AR50">
            <v>0</v>
          </cell>
        </row>
        <row r="51">
          <cell r="N51">
            <v>1314.6387999999999</v>
          </cell>
          <cell r="O51">
            <v>35762.598000000005</v>
          </cell>
          <cell r="P51">
            <v>12863.888200000003</v>
          </cell>
          <cell r="R51">
            <v>294654.91440000007</v>
          </cell>
          <cell r="AC51">
            <v>15</v>
          </cell>
          <cell r="AD51">
            <v>17</v>
          </cell>
          <cell r="AG51">
            <v>2</v>
          </cell>
          <cell r="AH51">
            <v>5</v>
          </cell>
          <cell r="AI51">
            <v>0</v>
          </cell>
          <cell r="AJ51">
            <v>0</v>
          </cell>
          <cell r="AM51">
            <v>6</v>
          </cell>
          <cell r="AN51">
            <v>8</v>
          </cell>
          <cell r="AO51">
            <v>5</v>
          </cell>
          <cell r="AP51">
            <v>6</v>
          </cell>
          <cell r="AQ51">
            <v>3</v>
          </cell>
          <cell r="AR51">
            <v>0</v>
          </cell>
        </row>
        <row r="52">
          <cell r="N52">
            <v>1523.1004</v>
          </cell>
          <cell r="O52">
            <v>36765.922099999982</v>
          </cell>
          <cell r="P52">
            <v>9986.8983999999982</v>
          </cell>
          <cell r="R52">
            <v>327957.96259999997</v>
          </cell>
          <cell r="AC52">
            <v>11</v>
          </cell>
          <cell r="AD52">
            <v>14</v>
          </cell>
          <cell r="AG52">
            <v>2</v>
          </cell>
          <cell r="AH52">
            <v>3</v>
          </cell>
          <cell r="AI52">
            <v>0</v>
          </cell>
          <cell r="AJ52">
            <v>0</v>
          </cell>
          <cell r="AM52">
            <v>10</v>
          </cell>
          <cell r="AN52">
            <v>9</v>
          </cell>
          <cell r="AO52">
            <v>2</v>
          </cell>
          <cell r="AP52">
            <v>5</v>
          </cell>
          <cell r="AQ52">
            <v>0</v>
          </cell>
          <cell r="AR52">
            <v>0</v>
          </cell>
        </row>
        <row r="54">
          <cell r="AC54">
            <v>13.4</v>
          </cell>
          <cell r="AD54">
            <v>15.7</v>
          </cell>
          <cell r="AG54">
            <v>3.3</v>
          </cell>
          <cell r="AH54">
            <v>4.8</v>
          </cell>
          <cell r="AI54">
            <v>1.4</v>
          </cell>
          <cell r="AJ54">
            <v>0.9</v>
          </cell>
          <cell r="AM54">
            <v>7.8</v>
          </cell>
          <cell r="AN54">
            <v>7.5</v>
          </cell>
          <cell r="AO54">
            <v>4.0999999999999996</v>
          </cell>
          <cell r="AP54">
            <v>5.3</v>
          </cell>
          <cell r="AQ54">
            <v>0.6</v>
          </cell>
          <cell r="AR54">
            <v>0</v>
          </cell>
        </row>
      </sheetData>
      <sheetData sheetId="6"/>
      <sheetData sheetId="7"/>
      <sheetData sheetId="8">
        <row r="2">
          <cell r="Y2" t="str">
            <v>Video - Tool</v>
          </cell>
          <cell r="Z2" t="str">
            <v>Tool - Video</v>
          </cell>
          <cell r="AA2" t="str">
            <v>Video - Text</v>
          </cell>
          <cell r="AB2" t="str">
            <v>Text - Video</v>
          </cell>
          <cell r="AC2" t="str">
            <v>Tool - Text</v>
          </cell>
          <cell r="AD2" t="str">
            <v>Text - Tool</v>
          </cell>
          <cell r="AE2" t="str">
            <v>Video - MainInstruction</v>
          </cell>
          <cell r="AF2" t="str">
            <v>MainInstruction - Video</v>
          </cell>
          <cell r="AG2" t="str">
            <v>Text - MainInstruction</v>
          </cell>
          <cell r="AH2" t="str">
            <v>MainInstruction - Text</v>
          </cell>
          <cell r="AI2" t="str">
            <v>Tool - MainInstruction</v>
          </cell>
          <cell r="AJ2" t="str">
            <v>MainInstructon - Tool</v>
          </cell>
          <cell r="AK2" t="str">
            <v>Video - Gearbox</v>
          </cell>
          <cell r="AL2" t="str">
            <v>Gearbox-video</v>
          </cell>
          <cell r="AM2" t="str">
            <v>Gearbox-Text</v>
          </cell>
          <cell r="AN2" t="str">
            <v>Text-Gearbox</v>
          </cell>
          <cell r="AO2" t="str">
            <v>Gearbox-tool</v>
          </cell>
          <cell r="AP2" t="str">
            <v>Tool-Gearbox</v>
          </cell>
          <cell r="AQ2" t="str">
            <v>Gearbox-MainInstruction</v>
          </cell>
          <cell r="AR2" t="str">
            <v>MainInstruction-Gearbox</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5"/>
  <sheetViews>
    <sheetView topLeftCell="V13" zoomScale="85" workbookViewId="0">
      <selection activeCell="W44" sqref="W44"/>
    </sheetView>
  </sheetViews>
  <sheetFormatPr defaultRowHeight="15" x14ac:dyDescent="0.25"/>
  <cols>
    <col min="1" max="1" width="11.7109375" bestFit="1" customWidth="1"/>
    <col min="2" max="2" width="15.28515625" bestFit="1" customWidth="1"/>
    <col min="3" max="3" width="17.5703125" bestFit="1" customWidth="1"/>
    <col min="6" max="6" width="16" customWidth="1"/>
    <col min="7" max="7" width="14" bestFit="1" customWidth="1"/>
    <col min="15" max="15" width="7.7109375" customWidth="1"/>
    <col min="16" max="19" width="6.85546875" customWidth="1"/>
    <col min="20" max="20" width="144.42578125" customWidth="1"/>
    <col min="21" max="21" width="183.7109375" customWidth="1"/>
    <col min="22" max="22" width="133.140625" customWidth="1"/>
    <col min="23" max="23" width="68.42578125" customWidth="1"/>
  </cols>
  <sheetData>
    <row r="1" spans="1:29" ht="15.75" thickBot="1" x14ac:dyDescent="0.3"/>
    <row r="2" spans="1:29" ht="345.75" thickBot="1" x14ac:dyDescent="0.3">
      <c r="A2" s="10" t="s">
        <v>159</v>
      </c>
      <c r="B2" s="10" t="s">
        <v>214</v>
      </c>
      <c r="C2" s="10" t="s">
        <v>160</v>
      </c>
      <c r="D2" s="10"/>
      <c r="E2" s="10" t="s">
        <v>138</v>
      </c>
      <c r="F2" s="29" t="s">
        <v>161</v>
      </c>
      <c r="G2" s="10" t="s">
        <v>150</v>
      </c>
      <c r="H2" s="25" t="s">
        <v>245</v>
      </c>
      <c r="I2" s="25" t="s">
        <v>246</v>
      </c>
      <c r="J2" s="25" t="s">
        <v>247</v>
      </c>
      <c r="K2" s="25" t="s">
        <v>248</v>
      </c>
      <c r="L2" s="25" t="s">
        <v>249</v>
      </c>
      <c r="M2" s="25" t="s">
        <v>250</v>
      </c>
      <c r="N2" s="25" t="s">
        <v>251</v>
      </c>
      <c r="O2" s="25" t="s">
        <v>252</v>
      </c>
      <c r="P2" s="25" t="s">
        <v>253</v>
      </c>
      <c r="Q2" s="25" t="s">
        <v>505</v>
      </c>
      <c r="R2" s="25" t="s">
        <v>506</v>
      </c>
      <c r="S2" s="25"/>
      <c r="T2" s="26" t="s">
        <v>258</v>
      </c>
      <c r="U2" s="26" t="s">
        <v>259</v>
      </c>
      <c r="V2" s="26" t="s">
        <v>260</v>
      </c>
      <c r="W2" s="26" t="s">
        <v>261</v>
      </c>
      <c r="X2" s="3"/>
      <c r="Y2" s="3"/>
      <c r="Z2" s="3"/>
      <c r="AA2" s="3"/>
      <c r="AB2" s="3"/>
      <c r="AC2" s="3"/>
    </row>
    <row r="3" spans="1:29" s="31" customFormat="1" ht="15.75" thickBot="1" x14ac:dyDescent="0.3">
      <c r="A3" s="31" t="s">
        <v>189</v>
      </c>
      <c r="B3" s="31" t="s">
        <v>215</v>
      </c>
      <c r="C3" s="31">
        <v>1</v>
      </c>
      <c r="D3" s="31" t="s">
        <v>190</v>
      </c>
      <c r="E3" s="31">
        <v>27</v>
      </c>
      <c r="F3" s="31">
        <v>2</v>
      </c>
      <c r="G3" s="31" t="s">
        <v>154</v>
      </c>
      <c r="H3" s="38">
        <v>1</v>
      </c>
      <c r="I3" s="38">
        <v>1</v>
      </c>
      <c r="J3" s="38">
        <v>1</v>
      </c>
      <c r="K3" s="38">
        <v>2</v>
      </c>
      <c r="L3" s="38">
        <v>1</v>
      </c>
      <c r="M3" s="38">
        <v>1</v>
      </c>
      <c r="N3" s="38">
        <v>1</v>
      </c>
      <c r="O3" s="38">
        <v>1</v>
      </c>
      <c r="P3" s="38">
        <v>2</v>
      </c>
      <c r="Q3" s="38">
        <f>AVERAGE(H3:M3)</f>
        <v>1.1666666666666667</v>
      </c>
      <c r="R3" s="38">
        <f>AVERAGE(N3:P3)</f>
        <v>1.3333333333333333</v>
      </c>
      <c r="S3" s="38">
        <f>AVERAGE(H3:P3)</f>
        <v>1.2222222222222223</v>
      </c>
      <c r="T3" s="41" t="s">
        <v>254</v>
      </c>
      <c r="U3" s="41" t="s">
        <v>255</v>
      </c>
      <c r="V3" s="41" t="s">
        <v>256</v>
      </c>
      <c r="W3" s="42" t="s">
        <v>257</v>
      </c>
      <c r="X3" s="41"/>
      <c r="Y3" s="41"/>
      <c r="Z3" s="41"/>
      <c r="AA3" s="41"/>
      <c r="AB3" s="41"/>
      <c r="AC3" s="41"/>
    </row>
    <row r="4" spans="1:29" s="31" customFormat="1" ht="15.75" thickBot="1" x14ac:dyDescent="0.3">
      <c r="B4" s="31" t="s">
        <v>215</v>
      </c>
      <c r="C4" s="31">
        <v>2</v>
      </c>
      <c r="D4" s="31" t="s">
        <v>190</v>
      </c>
      <c r="E4" s="31">
        <v>31</v>
      </c>
      <c r="F4" s="31">
        <v>0</v>
      </c>
      <c r="G4" s="31" t="s">
        <v>191</v>
      </c>
      <c r="H4" s="38">
        <v>3</v>
      </c>
      <c r="I4" s="38">
        <v>3</v>
      </c>
      <c r="J4" s="38">
        <v>1</v>
      </c>
      <c r="K4" s="38">
        <v>2</v>
      </c>
      <c r="L4" s="38">
        <v>3</v>
      </c>
      <c r="M4" s="38">
        <v>2</v>
      </c>
      <c r="N4" s="38">
        <v>4</v>
      </c>
      <c r="O4" s="38">
        <v>4</v>
      </c>
      <c r="P4" s="38">
        <v>3</v>
      </c>
      <c r="Q4" s="38">
        <f t="shared" ref="Q4:Q55" si="0">AVERAGE(H4:M4)</f>
        <v>2.3333333333333335</v>
      </c>
      <c r="R4" s="38">
        <f t="shared" ref="R4:R55" si="1">AVERAGE(N4:P4)</f>
        <v>3.6666666666666665</v>
      </c>
      <c r="S4" s="38">
        <f t="shared" ref="S4:S52" si="2">AVERAGE(H4:P4)</f>
        <v>2.7777777777777777</v>
      </c>
      <c r="T4" s="41" t="s">
        <v>451</v>
      </c>
      <c r="U4" s="41" t="s">
        <v>452</v>
      </c>
      <c r="V4" s="41" t="s">
        <v>453</v>
      </c>
      <c r="W4" s="42" t="s">
        <v>454</v>
      </c>
      <c r="X4" s="41"/>
      <c r="Y4" s="41"/>
      <c r="Z4" s="41"/>
      <c r="AA4" s="41"/>
      <c r="AB4" s="41"/>
      <c r="AC4" s="41"/>
    </row>
    <row r="5" spans="1:29" s="31" customFormat="1" ht="15.75" thickBot="1" x14ac:dyDescent="0.3">
      <c r="B5" s="31" t="s">
        <v>215</v>
      </c>
      <c r="C5" s="31">
        <v>3</v>
      </c>
      <c r="D5" s="31" t="s">
        <v>190</v>
      </c>
      <c r="E5" s="31">
        <v>32</v>
      </c>
      <c r="F5" s="31">
        <v>20</v>
      </c>
      <c r="G5" s="31" t="s">
        <v>152</v>
      </c>
      <c r="H5" s="38">
        <v>1</v>
      </c>
      <c r="I5" s="38">
        <v>1</v>
      </c>
      <c r="J5" s="38">
        <v>1</v>
      </c>
      <c r="K5" s="38">
        <v>3</v>
      </c>
      <c r="L5" s="38">
        <v>1</v>
      </c>
      <c r="M5" s="38">
        <v>1</v>
      </c>
      <c r="N5" s="38">
        <v>2</v>
      </c>
      <c r="O5" s="38">
        <v>1</v>
      </c>
      <c r="P5" s="38">
        <v>3</v>
      </c>
      <c r="Q5" s="38">
        <f t="shared" si="0"/>
        <v>1.3333333333333333</v>
      </c>
      <c r="R5" s="38">
        <f t="shared" si="1"/>
        <v>2</v>
      </c>
      <c r="S5" s="38">
        <f t="shared" si="2"/>
        <v>1.5555555555555556</v>
      </c>
      <c r="T5" s="41" t="s">
        <v>262</v>
      </c>
      <c r="U5" s="41" t="s">
        <v>263</v>
      </c>
      <c r="V5" s="41" t="s">
        <v>264</v>
      </c>
      <c r="W5" s="42" t="s">
        <v>265</v>
      </c>
      <c r="X5" s="41"/>
      <c r="Y5" s="41"/>
      <c r="Z5" s="41"/>
      <c r="AA5" s="41"/>
      <c r="AB5" s="41"/>
      <c r="AC5" s="41"/>
    </row>
    <row r="6" spans="1:29" s="31" customFormat="1" ht="15.75" thickBot="1" x14ac:dyDescent="0.3">
      <c r="B6" s="31" t="s">
        <v>215</v>
      </c>
      <c r="C6" s="31">
        <v>4</v>
      </c>
      <c r="D6" s="31" t="s">
        <v>190</v>
      </c>
      <c r="E6" s="31">
        <v>23</v>
      </c>
      <c r="F6" s="31">
        <v>0</v>
      </c>
      <c r="G6" s="31" t="s">
        <v>192</v>
      </c>
      <c r="H6" s="38">
        <v>1</v>
      </c>
      <c r="I6" s="38">
        <v>3</v>
      </c>
      <c r="J6" s="38">
        <v>1</v>
      </c>
      <c r="K6" s="38">
        <v>1</v>
      </c>
      <c r="L6" s="38">
        <v>1</v>
      </c>
      <c r="M6" s="38">
        <v>3</v>
      </c>
      <c r="N6" s="38">
        <v>1</v>
      </c>
      <c r="O6" s="38">
        <v>1</v>
      </c>
      <c r="P6" s="38">
        <v>1</v>
      </c>
      <c r="Q6" s="38">
        <f t="shared" si="0"/>
        <v>1.6666666666666667</v>
      </c>
      <c r="R6" s="38">
        <f t="shared" si="1"/>
        <v>1</v>
      </c>
      <c r="S6" s="38">
        <f t="shared" si="2"/>
        <v>1.4444444444444444</v>
      </c>
      <c r="T6" s="41" t="s">
        <v>266</v>
      </c>
      <c r="U6" s="41" t="s">
        <v>267</v>
      </c>
      <c r="V6" s="41" t="s">
        <v>268</v>
      </c>
      <c r="W6" s="42" t="s">
        <v>269</v>
      </c>
      <c r="X6" s="41"/>
      <c r="Y6" s="41"/>
      <c r="Z6" s="41"/>
      <c r="AA6" s="41"/>
      <c r="AB6" s="41"/>
      <c r="AC6" s="41"/>
    </row>
    <row r="7" spans="1:29" s="31" customFormat="1" ht="15.75" thickBot="1" x14ac:dyDescent="0.3">
      <c r="B7" s="31" t="s">
        <v>215</v>
      </c>
      <c r="C7" s="31">
        <v>5</v>
      </c>
      <c r="D7" s="31" t="s">
        <v>190</v>
      </c>
      <c r="E7" s="31">
        <v>23</v>
      </c>
      <c r="F7" s="31">
        <v>0</v>
      </c>
      <c r="G7" s="31" t="s">
        <v>193</v>
      </c>
      <c r="H7" s="38">
        <v>1</v>
      </c>
      <c r="I7" s="38">
        <v>2</v>
      </c>
      <c r="J7" s="38">
        <v>1</v>
      </c>
      <c r="K7" s="38">
        <v>2</v>
      </c>
      <c r="L7" s="38">
        <v>1</v>
      </c>
      <c r="M7" s="38">
        <v>1</v>
      </c>
      <c r="N7" s="38">
        <v>1</v>
      </c>
      <c r="O7" s="38">
        <v>3</v>
      </c>
      <c r="P7" s="38">
        <v>2</v>
      </c>
      <c r="Q7" s="38">
        <f t="shared" si="0"/>
        <v>1.3333333333333333</v>
      </c>
      <c r="R7" s="38">
        <f t="shared" si="1"/>
        <v>2</v>
      </c>
      <c r="S7" s="38">
        <f t="shared" si="2"/>
        <v>1.5555555555555556</v>
      </c>
      <c r="T7" s="41" t="s">
        <v>270</v>
      </c>
      <c r="U7" s="41" t="s">
        <v>271</v>
      </c>
      <c r="V7" s="41" t="s">
        <v>272</v>
      </c>
      <c r="W7" s="41" t="s">
        <v>273</v>
      </c>
      <c r="X7" s="41"/>
      <c r="Y7" s="41"/>
      <c r="Z7" s="41"/>
      <c r="AA7" s="41"/>
      <c r="AB7" s="41"/>
      <c r="AC7" s="41"/>
    </row>
    <row r="8" spans="1:29" s="31" customFormat="1" ht="15.75" thickBot="1" x14ac:dyDescent="0.3">
      <c r="B8" s="31" t="s">
        <v>215</v>
      </c>
      <c r="C8" s="31">
        <v>6</v>
      </c>
      <c r="D8" s="31" t="s">
        <v>194</v>
      </c>
      <c r="E8" s="31">
        <v>25</v>
      </c>
      <c r="F8" s="31">
        <v>50</v>
      </c>
      <c r="G8" s="31" t="s">
        <v>22</v>
      </c>
      <c r="H8" s="38">
        <v>2</v>
      </c>
      <c r="I8" s="38">
        <v>2</v>
      </c>
      <c r="J8" s="38">
        <v>1</v>
      </c>
      <c r="K8" s="38">
        <v>1</v>
      </c>
      <c r="L8" s="38">
        <v>1</v>
      </c>
      <c r="M8" s="38">
        <v>1</v>
      </c>
      <c r="N8" s="38">
        <v>1</v>
      </c>
      <c r="O8" s="38">
        <v>1</v>
      </c>
      <c r="P8" s="38">
        <v>3</v>
      </c>
      <c r="Q8" s="38">
        <f t="shared" si="0"/>
        <v>1.3333333333333333</v>
      </c>
      <c r="R8" s="38">
        <f t="shared" si="1"/>
        <v>1.6666666666666667</v>
      </c>
      <c r="S8" s="38">
        <f t="shared" si="2"/>
        <v>1.4444444444444444</v>
      </c>
      <c r="T8" s="41" t="s">
        <v>274</v>
      </c>
      <c r="U8" s="41" t="s">
        <v>275</v>
      </c>
      <c r="V8" s="41" t="s">
        <v>276</v>
      </c>
      <c r="W8" s="42" t="s">
        <v>277</v>
      </c>
      <c r="X8" s="41"/>
      <c r="Y8" s="41"/>
      <c r="Z8" s="41"/>
      <c r="AA8" s="41"/>
      <c r="AB8" s="41"/>
      <c r="AC8" s="41"/>
    </row>
    <row r="9" spans="1:29" s="31" customFormat="1" ht="15.75" thickBot="1" x14ac:dyDescent="0.3">
      <c r="B9" s="31" t="s">
        <v>215</v>
      </c>
      <c r="C9" s="31">
        <v>7</v>
      </c>
      <c r="D9" s="31" t="s">
        <v>190</v>
      </c>
      <c r="E9" s="31">
        <v>22</v>
      </c>
      <c r="F9" s="31">
        <v>8</v>
      </c>
      <c r="G9" s="31" t="s">
        <v>195</v>
      </c>
      <c r="H9" s="38">
        <v>1</v>
      </c>
      <c r="I9" s="38">
        <v>1</v>
      </c>
      <c r="J9" s="38">
        <v>2</v>
      </c>
      <c r="K9" s="38">
        <v>1</v>
      </c>
      <c r="L9" s="38">
        <v>1</v>
      </c>
      <c r="M9" s="38">
        <v>1</v>
      </c>
      <c r="N9" s="38">
        <v>2</v>
      </c>
      <c r="O9" s="38">
        <v>2</v>
      </c>
      <c r="P9" s="38">
        <v>2</v>
      </c>
      <c r="Q9" s="38">
        <f t="shared" si="0"/>
        <v>1.1666666666666667</v>
      </c>
      <c r="R9" s="38">
        <f t="shared" si="1"/>
        <v>2</v>
      </c>
      <c r="S9" s="38">
        <f t="shared" si="2"/>
        <v>1.4444444444444444</v>
      </c>
      <c r="T9" s="41" t="s">
        <v>278</v>
      </c>
      <c r="U9" s="41" t="s">
        <v>279</v>
      </c>
      <c r="V9" s="41" t="s">
        <v>280</v>
      </c>
      <c r="W9" s="42" t="s">
        <v>281</v>
      </c>
      <c r="X9" s="41"/>
      <c r="Y9" s="41"/>
      <c r="Z9" s="41"/>
      <c r="AA9" s="41"/>
      <c r="AB9" s="41"/>
      <c r="AC9" s="41"/>
    </row>
    <row r="10" spans="1:29" s="31" customFormat="1" ht="15.75" thickBot="1" x14ac:dyDescent="0.3">
      <c r="B10" s="31" t="s">
        <v>215</v>
      </c>
      <c r="C10" s="31">
        <v>8</v>
      </c>
      <c r="D10" s="31" t="s">
        <v>190</v>
      </c>
      <c r="E10" s="31">
        <v>31</v>
      </c>
      <c r="F10" s="31">
        <v>6</v>
      </c>
      <c r="G10" s="31" t="s">
        <v>196</v>
      </c>
      <c r="H10" s="38">
        <v>1</v>
      </c>
      <c r="I10" s="38">
        <v>1</v>
      </c>
      <c r="J10" s="38">
        <v>1</v>
      </c>
      <c r="K10" s="38">
        <v>1</v>
      </c>
      <c r="L10" s="38">
        <v>1</v>
      </c>
      <c r="M10" s="38">
        <v>1</v>
      </c>
      <c r="N10" s="38">
        <v>1</v>
      </c>
      <c r="O10" s="38">
        <v>1</v>
      </c>
      <c r="P10" s="38">
        <v>2</v>
      </c>
      <c r="Q10" s="38">
        <f t="shared" si="0"/>
        <v>1</v>
      </c>
      <c r="R10" s="38">
        <f t="shared" si="1"/>
        <v>1.3333333333333333</v>
      </c>
      <c r="S10" s="38">
        <f t="shared" si="2"/>
        <v>1.1111111111111112</v>
      </c>
      <c r="T10" s="41" t="s">
        <v>282</v>
      </c>
      <c r="U10" s="41" t="s">
        <v>283</v>
      </c>
      <c r="V10" s="41" t="s">
        <v>71</v>
      </c>
      <c r="W10" s="41" t="s">
        <v>284</v>
      </c>
      <c r="X10" s="41"/>
      <c r="Y10" s="41"/>
      <c r="Z10" s="41"/>
      <c r="AA10" s="41"/>
      <c r="AB10" s="41"/>
      <c r="AC10" s="41"/>
    </row>
    <row r="11" spans="1:29" s="31" customFormat="1" ht="15.75" thickBot="1" x14ac:dyDescent="0.3">
      <c r="B11" s="31" t="s">
        <v>215</v>
      </c>
      <c r="C11" s="31">
        <v>9</v>
      </c>
      <c r="D11" s="31" t="s">
        <v>194</v>
      </c>
      <c r="E11" s="31">
        <v>22</v>
      </c>
      <c r="F11" s="31">
        <v>0</v>
      </c>
      <c r="G11" s="31" t="s">
        <v>197</v>
      </c>
      <c r="H11" s="38">
        <v>1</v>
      </c>
      <c r="I11" s="38">
        <v>1</v>
      </c>
      <c r="J11" s="38">
        <v>1</v>
      </c>
      <c r="K11" s="38">
        <v>1</v>
      </c>
      <c r="L11" s="38">
        <v>1</v>
      </c>
      <c r="M11" s="38">
        <v>1</v>
      </c>
      <c r="N11" s="38">
        <v>1</v>
      </c>
      <c r="O11" s="38">
        <v>1</v>
      </c>
      <c r="P11" s="38">
        <v>2</v>
      </c>
      <c r="Q11" s="38">
        <f t="shared" si="0"/>
        <v>1</v>
      </c>
      <c r="R11" s="38">
        <f t="shared" si="1"/>
        <v>1.3333333333333333</v>
      </c>
      <c r="S11" s="38">
        <f t="shared" si="2"/>
        <v>1.1111111111111112</v>
      </c>
      <c r="T11" s="41" t="s">
        <v>285</v>
      </c>
      <c r="U11" s="41" t="s">
        <v>286</v>
      </c>
      <c r="V11" s="41" t="s">
        <v>71</v>
      </c>
      <c r="W11" s="42" t="s">
        <v>287</v>
      </c>
      <c r="X11" s="41"/>
      <c r="Y11" s="41"/>
      <c r="Z11" s="41"/>
      <c r="AA11" s="41"/>
      <c r="AB11" s="41"/>
      <c r="AC11" s="41"/>
    </row>
    <row r="12" spans="1:29" s="31" customFormat="1" ht="15.75" thickBot="1" x14ac:dyDescent="0.3">
      <c r="B12" s="31" t="s">
        <v>215</v>
      </c>
      <c r="C12" s="31">
        <v>10</v>
      </c>
      <c r="D12" s="31" t="s">
        <v>190</v>
      </c>
      <c r="E12" s="31">
        <v>26</v>
      </c>
      <c r="F12" s="31">
        <v>30</v>
      </c>
      <c r="G12" s="31" t="s">
        <v>198</v>
      </c>
      <c r="H12" s="38">
        <v>3</v>
      </c>
      <c r="I12" s="38">
        <v>1</v>
      </c>
      <c r="J12" s="38">
        <v>2</v>
      </c>
      <c r="K12" s="38">
        <v>2</v>
      </c>
      <c r="L12" s="38">
        <v>2</v>
      </c>
      <c r="M12" s="38">
        <v>1</v>
      </c>
      <c r="N12" s="38">
        <v>5</v>
      </c>
      <c r="O12" s="38">
        <v>6</v>
      </c>
      <c r="P12" s="38">
        <v>5</v>
      </c>
      <c r="Q12" s="38">
        <f t="shared" si="0"/>
        <v>1.8333333333333333</v>
      </c>
      <c r="R12" s="38">
        <f t="shared" si="1"/>
        <v>5.333333333333333</v>
      </c>
      <c r="S12" s="38">
        <f t="shared" si="2"/>
        <v>3</v>
      </c>
      <c r="T12" s="41" t="s">
        <v>288</v>
      </c>
      <c r="U12" s="41" t="s">
        <v>289</v>
      </c>
      <c r="V12" s="41" t="s">
        <v>71</v>
      </c>
      <c r="W12" s="42" t="s">
        <v>290</v>
      </c>
      <c r="X12" s="41"/>
      <c r="Y12" s="41"/>
      <c r="Z12" s="41"/>
      <c r="AA12" s="41"/>
      <c r="AB12" s="41"/>
      <c r="AC12" s="41"/>
    </row>
    <row r="13" spans="1:29" s="31" customFormat="1" ht="15.75" thickBot="1" x14ac:dyDescent="0.3">
      <c r="B13" s="31" t="s">
        <v>215</v>
      </c>
      <c r="C13" s="31">
        <v>11</v>
      </c>
      <c r="D13" s="31" t="s">
        <v>190</v>
      </c>
      <c r="E13" s="31">
        <v>24</v>
      </c>
      <c r="F13" s="31">
        <v>10</v>
      </c>
      <c r="G13" s="31" t="s">
        <v>199</v>
      </c>
      <c r="H13" s="38">
        <v>1</v>
      </c>
      <c r="I13" s="38">
        <v>1</v>
      </c>
      <c r="J13" s="38">
        <v>3</v>
      </c>
      <c r="K13" s="38">
        <v>1</v>
      </c>
      <c r="L13" s="38">
        <v>1</v>
      </c>
      <c r="M13" s="38">
        <v>2</v>
      </c>
      <c r="N13" s="38">
        <v>2</v>
      </c>
      <c r="O13" s="38">
        <v>1</v>
      </c>
      <c r="P13" s="38">
        <v>3</v>
      </c>
      <c r="Q13" s="38">
        <f t="shared" si="0"/>
        <v>1.5</v>
      </c>
      <c r="R13" s="38">
        <f t="shared" si="1"/>
        <v>2</v>
      </c>
      <c r="S13" s="38">
        <f t="shared" si="2"/>
        <v>1.6666666666666667</v>
      </c>
      <c r="T13" s="41" t="s">
        <v>291</v>
      </c>
      <c r="U13" s="41" t="s">
        <v>292</v>
      </c>
      <c r="V13" s="41" t="s">
        <v>5</v>
      </c>
      <c r="W13" s="42" t="s">
        <v>293</v>
      </c>
      <c r="X13" s="41"/>
      <c r="Y13" s="41"/>
      <c r="Z13" s="41"/>
      <c r="AA13" s="41"/>
      <c r="AB13" s="41"/>
      <c r="AC13" s="41"/>
    </row>
    <row r="14" spans="1:29" ht="15.75" thickBot="1" x14ac:dyDescent="0.3">
      <c r="A14" s="19"/>
      <c r="B14" s="19" t="s">
        <v>215</v>
      </c>
      <c r="C14" s="19">
        <v>12</v>
      </c>
      <c r="D14" s="19" t="s">
        <v>190</v>
      </c>
      <c r="E14" s="19">
        <v>23</v>
      </c>
      <c r="F14" s="19">
        <v>0</v>
      </c>
      <c r="G14" s="19" t="s">
        <v>200</v>
      </c>
      <c r="H14" s="2">
        <v>6</v>
      </c>
      <c r="I14" s="2">
        <v>5</v>
      </c>
      <c r="J14" s="2">
        <v>5</v>
      </c>
      <c r="K14" s="2">
        <v>6</v>
      </c>
      <c r="L14" s="2">
        <v>4</v>
      </c>
      <c r="M14" s="2">
        <v>5</v>
      </c>
      <c r="N14" s="2">
        <v>4</v>
      </c>
      <c r="O14" s="2">
        <v>4</v>
      </c>
      <c r="P14" s="2">
        <v>4</v>
      </c>
      <c r="Q14" s="2">
        <f t="shared" si="0"/>
        <v>5.166666666666667</v>
      </c>
      <c r="R14" s="2">
        <f t="shared" si="1"/>
        <v>4</v>
      </c>
      <c r="S14" s="38">
        <f t="shared" si="2"/>
        <v>4.7777777777777777</v>
      </c>
      <c r="T14" s="43" t="s">
        <v>413</v>
      </c>
      <c r="U14" s="43" t="s">
        <v>414</v>
      </c>
      <c r="V14" s="43" t="s">
        <v>415</v>
      </c>
      <c r="W14" s="1" t="s">
        <v>416</v>
      </c>
      <c r="X14" s="3"/>
      <c r="Y14" s="3"/>
      <c r="Z14" s="3"/>
      <c r="AA14" s="3"/>
      <c r="AB14" s="3"/>
      <c r="AC14" s="3"/>
    </row>
    <row r="15" spans="1:29" ht="15.75" thickBot="1" x14ac:dyDescent="0.3">
      <c r="A15" s="19"/>
      <c r="B15" s="19" t="s">
        <v>215</v>
      </c>
      <c r="C15" s="19">
        <v>13</v>
      </c>
      <c r="D15" s="19" t="s">
        <v>190</v>
      </c>
      <c r="E15" s="19">
        <v>59</v>
      </c>
      <c r="F15" s="19"/>
      <c r="G15" s="19" t="s">
        <v>155</v>
      </c>
      <c r="H15" s="2">
        <v>2</v>
      </c>
      <c r="I15" s="2">
        <v>2</v>
      </c>
      <c r="J15" s="2">
        <v>2</v>
      </c>
      <c r="K15" s="2">
        <v>3</v>
      </c>
      <c r="L15" s="2">
        <v>3</v>
      </c>
      <c r="M15" s="2">
        <v>1</v>
      </c>
      <c r="N15" s="2">
        <v>3</v>
      </c>
      <c r="O15" s="2">
        <v>2</v>
      </c>
      <c r="P15" s="2">
        <v>3</v>
      </c>
      <c r="Q15" s="2">
        <f t="shared" si="0"/>
        <v>2.1666666666666665</v>
      </c>
      <c r="R15" s="2">
        <f t="shared" si="1"/>
        <v>2.6666666666666665</v>
      </c>
      <c r="S15" s="38">
        <f t="shared" si="2"/>
        <v>2.3333333333333335</v>
      </c>
      <c r="T15" s="3" t="s">
        <v>378</v>
      </c>
      <c r="U15" s="3" t="s">
        <v>379</v>
      </c>
      <c r="V15" s="43" t="s">
        <v>380</v>
      </c>
      <c r="W15" s="1" t="s">
        <v>381</v>
      </c>
      <c r="X15" s="3"/>
      <c r="Y15" s="3"/>
      <c r="Z15" s="3"/>
      <c r="AA15" s="3"/>
      <c r="AB15" s="3"/>
      <c r="AC15" s="3"/>
    </row>
    <row r="16" spans="1:29" s="31" customFormat="1" ht="15.75" thickBot="1" x14ac:dyDescent="0.3">
      <c r="B16" s="31" t="s">
        <v>216</v>
      </c>
      <c r="C16" s="31">
        <v>1</v>
      </c>
      <c r="D16" s="31" t="s">
        <v>190</v>
      </c>
      <c r="E16" s="31">
        <v>34</v>
      </c>
      <c r="F16" s="31">
        <v>10</v>
      </c>
      <c r="G16" s="31" t="s">
        <v>217</v>
      </c>
      <c r="H16" s="38">
        <v>1</v>
      </c>
      <c r="I16" s="38">
        <v>2</v>
      </c>
      <c r="J16" s="38">
        <v>6</v>
      </c>
      <c r="K16" s="38">
        <v>6</v>
      </c>
      <c r="L16" s="38">
        <v>1</v>
      </c>
      <c r="M16" s="38">
        <v>6</v>
      </c>
      <c r="N16" s="38">
        <v>6</v>
      </c>
      <c r="O16" s="38">
        <v>5</v>
      </c>
      <c r="P16" s="38">
        <v>6</v>
      </c>
      <c r="Q16" s="38">
        <f t="shared" si="0"/>
        <v>3.6666666666666665</v>
      </c>
      <c r="R16" s="38">
        <f t="shared" si="1"/>
        <v>5.666666666666667</v>
      </c>
      <c r="S16" s="38">
        <f t="shared" si="2"/>
        <v>4.333333333333333</v>
      </c>
      <c r="T16" s="41" t="s">
        <v>294</v>
      </c>
      <c r="U16" s="41" t="s">
        <v>295</v>
      </c>
      <c r="V16" s="41" t="s">
        <v>296</v>
      </c>
      <c r="W16" s="42" t="s">
        <v>297</v>
      </c>
      <c r="X16" s="41"/>
      <c r="Y16" s="41"/>
      <c r="Z16" s="41"/>
      <c r="AA16" s="41"/>
      <c r="AB16" s="41"/>
      <c r="AC16" s="41"/>
    </row>
    <row r="17" spans="1:29" s="31" customFormat="1" ht="15.75" thickBot="1" x14ac:dyDescent="0.3">
      <c r="B17" s="31" t="s">
        <v>216</v>
      </c>
      <c r="C17" s="31">
        <v>2</v>
      </c>
      <c r="D17" s="31" t="s">
        <v>190</v>
      </c>
      <c r="E17" s="31">
        <v>29</v>
      </c>
      <c r="F17" s="31">
        <v>0</v>
      </c>
      <c r="G17" s="31" t="s">
        <v>218</v>
      </c>
      <c r="H17" s="38">
        <v>6</v>
      </c>
      <c r="I17" s="38">
        <v>5</v>
      </c>
      <c r="J17" s="38">
        <v>2</v>
      </c>
      <c r="K17" s="38">
        <v>4</v>
      </c>
      <c r="L17" s="38">
        <v>2</v>
      </c>
      <c r="M17" s="38">
        <v>2</v>
      </c>
      <c r="N17" s="38">
        <v>2</v>
      </c>
      <c r="O17" s="38">
        <v>2</v>
      </c>
      <c r="P17" s="38">
        <v>2</v>
      </c>
      <c r="Q17" s="38">
        <f t="shared" si="0"/>
        <v>3.5</v>
      </c>
      <c r="R17" s="38">
        <f t="shared" si="1"/>
        <v>2</v>
      </c>
      <c r="S17" s="38">
        <f t="shared" si="2"/>
        <v>3</v>
      </c>
      <c r="T17" s="41" t="s">
        <v>298</v>
      </c>
      <c r="U17" s="41" t="s">
        <v>299</v>
      </c>
      <c r="V17" s="41" t="s">
        <v>300</v>
      </c>
      <c r="W17" s="41" t="s">
        <v>301</v>
      </c>
      <c r="X17" s="41"/>
      <c r="Y17" s="41"/>
      <c r="Z17" s="41"/>
      <c r="AA17" s="41"/>
      <c r="AB17" s="41"/>
      <c r="AC17" s="41"/>
    </row>
    <row r="18" spans="1:29" s="31" customFormat="1" ht="15.75" hidden="1" thickBot="1" x14ac:dyDescent="0.3">
      <c r="B18" s="31" t="s">
        <v>216</v>
      </c>
      <c r="C18" s="31">
        <v>3</v>
      </c>
      <c r="D18" s="31" t="s">
        <v>190</v>
      </c>
      <c r="E18" s="31">
        <v>51</v>
      </c>
      <c r="F18" s="31">
        <v>100</v>
      </c>
      <c r="G18" s="31" t="s">
        <v>219</v>
      </c>
      <c r="H18" s="38">
        <v>2</v>
      </c>
      <c r="I18" s="38">
        <v>2</v>
      </c>
      <c r="J18" s="38">
        <v>1</v>
      </c>
      <c r="K18" s="38">
        <v>1</v>
      </c>
      <c r="L18" s="38">
        <v>1</v>
      </c>
      <c r="M18" s="38">
        <v>3</v>
      </c>
      <c r="N18" s="38">
        <v>2</v>
      </c>
      <c r="O18" s="38">
        <v>2</v>
      </c>
      <c r="P18" s="38">
        <v>2</v>
      </c>
      <c r="Q18" s="38">
        <f t="shared" si="0"/>
        <v>1.6666666666666667</v>
      </c>
      <c r="R18" s="38">
        <f t="shared" si="1"/>
        <v>2</v>
      </c>
      <c r="S18" s="38">
        <f t="shared" si="2"/>
        <v>1.7777777777777777</v>
      </c>
      <c r="T18" s="41" t="s">
        <v>305</v>
      </c>
      <c r="U18" s="41" t="s">
        <v>306</v>
      </c>
      <c r="V18" s="41" t="s">
        <v>307</v>
      </c>
      <c r="W18" s="42" t="s">
        <v>308</v>
      </c>
      <c r="X18" s="41"/>
      <c r="Y18" s="41"/>
      <c r="Z18" s="41"/>
      <c r="AA18" s="41"/>
      <c r="AB18" s="41"/>
      <c r="AC18" s="41"/>
    </row>
    <row r="19" spans="1:29" s="31" customFormat="1" ht="15.75" thickBot="1" x14ac:dyDescent="0.3">
      <c r="B19" s="31" t="s">
        <v>216</v>
      </c>
      <c r="C19" s="31">
        <v>4</v>
      </c>
      <c r="D19" s="31" t="s">
        <v>194</v>
      </c>
      <c r="E19" s="31">
        <v>27</v>
      </c>
      <c r="F19" s="31">
        <v>0</v>
      </c>
      <c r="G19" s="31" t="s">
        <v>220</v>
      </c>
      <c r="H19" s="38">
        <v>1</v>
      </c>
      <c r="I19" s="38">
        <v>1</v>
      </c>
      <c r="J19" s="38">
        <v>3</v>
      </c>
      <c r="K19" s="38">
        <v>1</v>
      </c>
      <c r="L19" s="38">
        <v>1</v>
      </c>
      <c r="M19" s="38">
        <v>2</v>
      </c>
      <c r="N19" s="38">
        <v>1</v>
      </c>
      <c r="O19" s="38">
        <v>1</v>
      </c>
      <c r="P19" s="38">
        <v>1</v>
      </c>
      <c r="Q19" s="38">
        <f t="shared" si="0"/>
        <v>1.5</v>
      </c>
      <c r="R19" s="38">
        <f t="shared" si="1"/>
        <v>1</v>
      </c>
      <c r="S19" s="38">
        <f t="shared" si="2"/>
        <v>1.3333333333333333</v>
      </c>
      <c r="T19" s="41" t="s">
        <v>309</v>
      </c>
      <c r="U19" s="41" t="s">
        <v>310</v>
      </c>
      <c r="V19" s="41" t="s">
        <v>311</v>
      </c>
      <c r="W19" s="42" t="s">
        <v>312</v>
      </c>
      <c r="X19" s="41"/>
      <c r="Y19" s="41"/>
      <c r="Z19" s="41"/>
      <c r="AA19" s="41"/>
      <c r="AB19" s="41"/>
      <c r="AC19" s="41"/>
    </row>
    <row r="20" spans="1:29" s="31" customFormat="1" ht="15.75" thickBot="1" x14ac:dyDescent="0.3">
      <c r="B20" s="31" t="s">
        <v>216</v>
      </c>
      <c r="C20" s="31">
        <v>5</v>
      </c>
      <c r="D20" s="31" t="s">
        <v>190</v>
      </c>
      <c r="E20" s="31">
        <v>22</v>
      </c>
      <c r="F20" s="31">
        <v>150</v>
      </c>
      <c r="G20" s="31" t="s">
        <v>221</v>
      </c>
      <c r="H20" s="38">
        <v>2</v>
      </c>
      <c r="I20" s="38">
        <v>2</v>
      </c>
      <c r="J20" s="38">
        <v>2</v>
      </c>
      <c r="K20" s="38">
        <v>1</v>
      </c>
      <c r="L20" s="38">
        <v>1</v>
      </c>
      <c r="M20" s="38">
        <v>2</v>
      </c>
      <c r="N20" s="38">
        <v>2</v>
      </c>
      <c r="O20" s="38">
        <v>1</v>
      </c>
      <c r="P20" s="38">
        <v>1</v>
      </c>
      <c r="Q20" s="38">
        <f t="shared" si="0"/>
        <v>1.6666666666666667</v>
      </c>
      <c r="R20" s="38">
        <f t="shared" si="1"/>
        <v>1.3333333333333333</v>
      </c>
      <c r="S20" s="38">
        <f t="shared" si="2"/>
        <v>1.5555555555555556</v>
      </c>
      <c r="T20" s="41" t="s">
        <v>313</v>
      </c>
      <c r="U20" s="41" t="s">
        <v>314</v>
      </c>
      <c r="V20" s="41" t="s">
        <v>315</v>
      </c>
      <c r="W20" s="42" t="s">
        <v>316</v>
      </c>
      <c r="X20" s="41"/>
      <c r="Y20" s="41"/>
      <c r="Z20" s="41"/>
      <c r="AA20" s="41"/>
      <c r="AB20" s="41"/>
      <c r="AC20" s="41"/>
    </row>
    <row r="21" spans="1:29" s="31" customFormat="1" ht="15.75" thickBot="1" x14ac:dyDescent="0.3">
      <c r="B21" s="31" t="s">
        <v>216</v>
      </c>
      <c r="C21" s="31">
        <v>6</v>
      </c>
      <c r="D21" s="31" t="s">
        <v>190</v>
      </c>
      <c r="E21" s="31">
        <v>24</v>
      </c>
      <c r="F21" s="31">
        <v>20</v>
      </c>
      <c r="G21" s="31" t="s">
        <v>222</v>
      </c>
      <c r="H21" s="38">
        <v>1</v>
      </c>
      <c r="I21" s="38">
        <v>1</v>
      </c>
      <c r="J21" s="38">
        <v>1</v>
      </c>
      <c r="K21" s="38">
        <v>1</v>
      </c>
      <c r="L21" s="38">
        <v>1</v>
      </c>
      <c r="M21" s="38">
        <v>1</v>
      </c>
      <c r="N21" s="38">
        <v>1</v>
      </c>
      <c r="O21" s="38">
        <v>1</v>
      </c>
      <c r="P21" s="38">
        <v>1</v>
      </c>
      <c r="Q21" s="38">
        <f t="shared" si="0"/>
        <v>1</v>
      </c>
      <c r="R21" s="38">
        <f t="shared" si="1"/>
        <v>1</v>
      </c>
      <c r="S21" s="38">
        <f t="shared" si="2"/>
        <v>1</v>
      </c>
      <c r="T21" s="41" t="s">
        <v>317</v>
      </c>
      <c r="U21" s="41" t="s">
        <v>318</v>
      </c>
      <c r="V21" s="41" t="s">
        <v>319</v>
      </c>
      <c r="W21" s="42" t="s">
        <v>320</v>
      </c>
      <c r="X21" s="41"/>
      <c r="Y21" s="41"/>
      <c r="Z21" s="41"/>
      <c r="AA21" s="41"/>
      <c r="AB21" s="41"/>
      <c r="AC21" s="41"/>
    </row>
    <row r="22" spans="1:29" s="31" customFormat="1" ht="15.75" thickBot="1" x14ac:dyDescent="0.3">
      <c r="B22" s="31" t="s">
        <v>216</v>
      </c>
      <c r="C22" s="31">
        <v>7</v>
      </c>
      <c r="D22" s="31" t="s">
        <v>190</v>
      </c>
      <c r="E22" s="31">
        <v>23</v>
      </c>
      <c r="F22" s="31">
        <v>10</v>
      </c>
      <c r="G22" s="31" t="s">
        <v>223</v>
      </c>
      <c r="H22" s="38">
        <v>1</v>
      </c>
      <c r="I22" s="38">
        <v>1</v>
      </c>
      <c r="J22" s="38">
        <v>1</v>
      </c>
      <c r="K22" s="38">
        <v>1</v>
      </c>
      <c r="L22" s="38">
        <v>1</v>
      </c>
      <c r="M22" s="38">
        <v>2</v>
      </c>
      <c r="N22" s="38">
        <v>2</v>
      </c>
      <c r="O22" s="38">
        <v>1</v>
      </c>
      <c r="P22" s="38">
        <v>3</v>
      </c>
      <c r="Q22" s="38">
        <f t="shared" si="0"/>
        <v>1.1666666666666667</v>
      </c>
      <c r="R22" s="38">
        <f t="shared" si="1"/>
        <v>2</v>
      </c>
      <c r="S22" s="38">
        <f t="shared" si="2"/>
        <v>1.4444444444444444</v>
      </c>
      <c r="T22" s="41" t="s">
        <v>321</v>
      </c>
      <c r="U22" s="41" t="s">
        <v>322</v>
      </c>
      <c r="V22" s="41" t="s">
        <v>319</v>
      </c>
      <c r="W22" s="42" t="s">
        <v>323</v>
      </c>
      <c r="X22" s="41"/>
      <c r="Y22" s="41"/>
      <c r="Z22" s="41"/>
      <c r="AA22" s="41"/>
      <c r="AB22" s="41"/>
      <c r="AC22" s="41"/>
    </row>
    <row r="23" spans="1:29" s="31" customFormat="1" ht="15.75" thickBot="1" x14ac:dyDescent="0.3">
      <c r="B23" s="31" t="s">
        <v>216</v>
      </c>
      <c r="C23" s="31">
        <v>8</v>
      </c>
      <c r="D23" s="31" t="s">
        <v>190</v>
      </c>
      <c r="E23" s="31">
        <v>28</v>
      </c>
      <c r="F23" s="31">
        <v>10</v>
      </c>
      <c r="G23" s="31" t="s">
        <v>224</v>
      </c>
      <c r="H23" s="38">
        <v>2</v>
      </c>
      <c r="I23" s="38">
        <v>2</v>
      </c>
      <c r="J23" s="38">
        <v>2</v>
      </c>
      <c r="K23" s="38">
        <v>2</v>
      </c>
      <c r="L23" s="38">
        <v>2</v>
      </c>
      <c r="M23" s="38">
        <v>2</v>
      </c>
      <c r="N23" s="38">
        <v>2</v>
      </c>
      <c r="O23" s="38">
        <v>2</v>
      </c>
      <c r="P23" s="38">
        <v>3</v>
      </c>
      <c r="Q23" s="38">
        <f t="shared" si="0"/>
        <v>2</v>
      </c>
      <c r="R23" s="38">
        <f t="shared" si="1"/>
        <v>2.3333333333333335</v>
      </c>
      <c r="S23" s="38">
        <f t="shared" si="2"/>
        <v>2.1111111111111112</v>
      </c>
      <c r="T23" s="41" t="s">
        <v>324</v>
      </c>
      <c r="U23" s="41" t="s">
        <v>325</v>
      </c>
      <c r="V23" s="41" t="s">
        <v>5</v>
      </c>
      <c r="W23" s="42" t="s">
        <v>326</v>
      </c>
      <c r="X23" s="41"/>
      <c r="Y23" s="41"/>
      <c r="Z23" s="41"/>
      <c r="AA23" s="41"/>
      <c r="AB23" s="41"/>
      <c r="AC23" s="41"/>
    </row>
    <row r="24" spans="1:29" s="31" customFormat="1" ht="15.75" thickBot="1" x14ac:dyDescent="0.3">
      <c r="B24" s="31" t="s">
        <v>216</v>
      </c>
      <c r="C24" s="31">
        <v>9</v>
      </c>
      <c r="D24" s="31" t="s">
        <v>190</v>
      </c>
      <c r="E24" s="31">
        <v>33</v>
      </c>
      <c r="F24" s="31">
        <v>100</v>
      </c>
      <c r="G24" s="31" t="s">
        <v>225</v>
      </c>
      <c r="H24" s="38">
        <v>2</v>
      </c>
      <c r="I24" s="38">
        <v>2</v>
      </c>
      <c r="J24" s="38">
        <v>1</v>
      </c>
      <c r="K24" s="38">
        <v>4</v>
      </c>
      <c r="L24" s="38">
        <v>2</v>
      </c>
      <c r="M24" s="38">
        <v>3</v>
      </c>
      <c r="N24" s="38">
        <v>3</v>
      </c>
      <c r="O24" s="38">
        <v>2</v>
      </c>
      <c r="P24" s="38">
        <v>2</v>
      </c>
      <c r="Q24" s="38">
        <f t="shared" si="0"/>
        <v>2.3333333333333335</v>
      </c>
      <c r="R24" s="38">
        <f t="shared" si="1"/>
        <v>2.3333333333333335</v>
      </c>
      <c r="S24" s="38">
        <f t="shared" si="2"/>
        <v>2.3333333333333335</v>
      </c>
      <c r="T24" s="41" t="s">
        <v>327</v>
      </c>
      <c r="U24" s="41" t="s">
        <v>328</v>
      </c>
      <c r="V24" s="41" t="s">
        <v>71</v>
      </c>
      <c r="W24" s="42" t="s">
        <v>329</v>
      </c>
      <c r="X24" s="41"/>
      <c r="Y24" s="41"/>
      <c r="Z24" s="41"/>
      <c r="AA24" s="41"/>
      <c r="AB24" s="41"/>
      <c r="AC24" s="41"/>
    </row>
    <row r="25" spans="1:29" s="31" customFormat="1" ht="15.75" thickBot="1" x14ac:dyDescent="0.3">
      <c r="B25" s="31" t="s">
        <v>216</v>
      </c>
      <c r="C25" s="31">
        <v>10</v>
      </c>
      <c r="D25" s="31" t="s">
        <v>190</v>
      </c>
      <c r="E25" s="31">
        <v>22</v>
      </c>
      <c r="F25" s="31">
        <v>20</v>
      </c>
      <c r="G25" s="31" t="s">
        <v>226</v>
      </c>
      <c r="H25" s="38">
        <v>2</v>
      </c>
      <c r="I25" s="38">
        <v>1</v>
      </c>
      <c r="J25" s="38">
        <v>1</v>
      </c>
      <c r="K25" s="38">
        <v>1</v>
      </c>
      <c r="L25" s="38">
        <v>1</v>
      </c>
      <c r="M25" s="38">
        <v>1</v>
      </c>
      <c r="N25" s="38">
        <v>2</v>
      </c>
      <c r="O25" s="38">
        <v>2</v>
      </c>
      <c r="P25" s="38">
        <v>3</v>
      </c>
      <c r="Q25" s="38">
        <f t="shared" si="0"/>
        <v>1.1666666666666667</v>
      </c>
      <c r="R25" s="38">
        <f t="shared" si="1"/>
        <v>2.3333333333333335</v>
      </c>
      <c r="S25" s="38">
        <f t="shared" si="2"/>
        <v>1.5555555555555556</v>
      </c>
      <c r="T25" s="41" t="s">
        <v>330</v>
      </c>
      <c r="U25" s="41" t="s">
        <v>331</v>
      </c>
      <c r="V25" s="41" t="s">
        <v>332</v>
      </c>
      <c r="W25" s="42" t="s">
        <v>333</v>
      </c>
      <c r="X25" s="41"/>
      <c r="Y25" s="41"/>
      <c r="Z25" s="41"/>
      <c r="AA25" s="41"/>
      <c r="AB25" s="41"/>
      <c r="AC25" s="41"/>
    </row>
    <row r="26" spans="1:29" s="31" customFormat="1" ht="15.75" thickBot="1" x14ac:dyDescent="0.3">
      <c r="B26" s="31" t="s">
        <v>216</v>
      </c>
      <c r="C26" s="31">
        <v>11</v>
      </c>
      <c r="D26" s="31" t="s">
        <v>190</v>
      </c>
      <c r="E26" s="31">
        <v>33</v>
      </c>
      <c r="F26" s="31">
        <v>5</v>
      </c>
      <c r="G26" s="31" t="s">
        <v>227</v>
      </c>
      <c r="H26" s="38">
        <v>2</v>
      </c>
      <c r="I26" s="38">
        <v>2</v>
      </c>
      <c r="J26" s="38">
        <v>2</v>
      </c>
      <c r="K26" s="38">
        <v>3</v>
      </c>
      <c r="L26" s="38">
        <v>2</v>
      </c>
      <c r="M26" s="38">
        <v>3</v>
      </c>
      <c r="N26" s="38">
        <v>2</v>
      </c>
      <c r="O26" s="38">
        <v>2</v>
      </c>
      <c r="P26" s="38">
        <v>3</v>
      </c>
      <c r="Q26" s="38">
        <f t="shared" si="0"/>
        <v>2.3333333333333335</v>
      </c>
      <c r="R26" s="38">
        <f t="shared" si="1"/>
        <v>2.3333333333333335</v>
      </c>
      <c r="S26" s="38">
        <f t="shared" si="2"/>
        <v>2.3333333333333335</v>
      </c>
      <c r="T26" s="41" t="s">
        <v>334</v>
      </c>
      <c r="U26" s="41" t="s">
        <v>335</v>
      </c>
      <c r="V26" s="41" t="s">
        <v>5</v>
      </c>
      <c r="W26" s="41" t="s">
        <v>336</v>
      </c>
      <c r="X26" s="41"/>
      <c r="Y26" s="41"/>
      <c r="Z26" s="41"/>
      <c r="AA26" s="41"/>
      <c r="AB26" s="41"/>
      <c r="AC26" s="41"/>
    </row>
    <row r="27" spans="1:29" ht="15.75" thickBot="1" x14ac:dyDescent="0.3">
      <c r="A27" t="s">
        <v>201</v>
      </c>
      <c r="B27" t="s">
        <v>215</v>
      </c>
      <c r="C27" s="14">
        <v>1</v>
      </c>
      <c r="D27" s="14" t="s">
        <v>190</v>
      </c>
      <c r="E27" s="14">
        <v>27</v>
      </c>
      <c r="F27" s="14">
        <v>4</v>
      </c>
      <c r="G27" s="14" t="s">
        <v>202</v>
      </c>
      <c r="H27" s="2">
        <v>3</v>
      </c>
      <c r="I27" s="2">
        <v>3</v>
      </c>
      <c r="J27" s="2">
        <v>3</v>
      </c>
      <c r="K27" s="2">
        <v>3</v>
      </c>
      <c r="L27" s="2">
        <v>2</v>
      </c>
      <c r="M27" s="2">
        <v>2</v>
      </c>
      <c r="N27" s="2">
        <v>2</v>
      </c>
      <c r="O27" s="2">
        <v>1</v>
      </c>
      <c r="P27" s="2">
        <v>3</v>
      </c>
      <c r="Q27" s="38">
        <f t="shared" si="0"/>
        <v>2.6666666666666665</v>
      </c>
      <c r="R27" s="38">
        <f t="shared" si="1"/>
        <v>2</v>
      </c>
      <c r="S27" s="38">
        <f t="shared" si="2"/>
        <v>2.4444444444444446</v>
      </c>
      <c r="T27" s="3" t="s">
        <v>337</v>
      </c>
      <c r="U27" s="3" t="s">
        <v>338</v>
      </c>
      <c r="V27" s="3" t="s">
        <v>339</v>
      </c>
      <c r="W27" s="3" t="s">
        <v>340</v>
      </c>
      <c r="X27" s="3"/>
      <c r="Y27" s="3"/>
      <c r="Z27" s="3"/>
      <c r="AA27" s="3"/>
      <c r="AB27" s="3"/>
      <c r="AC27" s="3"/>
    </row>
    <row r="28" spans="1:29" ht="15.75" thickBot="1" x14ac:dyDescent="0.3">
      <c r="A28" s="14"/>
      <c r="B28" t="s">
        <v>215</v>
      </c>
      <c r="C28" s="14">
        <v>2</v>
      </c>
      <c r="D28" s="14" t="s">
        <v>190</v>
      </c>
      <c r="E28" s="14">
        <v>24</v>
      </c>
      <c r="F28" s="14">
        <v>0</v>
      </c>
      <c r="G28" s="14" t="s">
        <v>203</v>
      </c>
      <c r="H28" s="2">
        <v>1</v>
      </c>
      <c r="I28" s="2">
        <v>1</v>
      </c>
      <c r="J28" s="2">
        <v>1</v>
      </c>
      <c r="K28" s="2">
        <v>3</v>
      </c>
      <c r="L28" s="2">
        <v>1</v>
      </c>
      <c r="M28" s="2">
        <v>1</v>
      </c>
      <c r="N28" s="2">
        <v>1</v>
      </c>
      <c r="O28" s="2">
        <v>2</v>
      </c>
      <c r="P28" s="2">
        <v>1</v>
      </c>
      <c r="Q28" s="38">
        <f t="shared" si="0"/>
        <v>1.3333333333333333</v>
      </c>
      <c r="R28" s="38">
        <f t="shared" si="1"/>
        <v>1.3333333333333333</v>
      </c>
      <c r="S28" s="38">
        <f t="shared" si="2"/>
        <v>1.3333333333333333</v>
      </c>
      <c r="T28" s="3" t="s">
        <v>302</v>
      </c>
      <c r="U28" s="3" t="s">
        <v>303</v>
      </c>
      <c r="V28" s="3" t="s">
        <v>71</v>
      </c>
      <c r="W28" s="3" t="s">
        <v>304</v>
      </c>
      <c r="X28" s="3"/>
      <c r="Y28" s="3"/>
      <c r="Z28" s="3"/>
      <c r="AA28" s="3"/>
      <c r="AB28" s="3"/>
      <c r="AC28" s="3"/>
    </row>
    <row r="29" spans="1:29" ht="15.75" thickBot="1" x14ac:dyDescent="0.3">
      <c r="A29" s="14"/>
      <c r="B29" t="s">
        <v>215</v>
      </c>
      <c r="C29" s="14">
        <v>3</v>
      </c>
      <c r="D29" s="14" t="s">
        <v>190</v>
      </c>
      <c r="E29" s="14">
        <v>25</v>
      </c>
      <c r="F29" s="14">
        <v>1</v>
      </c>
      <c r="G29" s="14" t="s">
        <v>153</v>
      </c>
      <c r="H29" s="2">
        <v>1</v>
      </c>
      <c r="I29" s="2">
        <v>1</v>
      </c>
      <c r="J29" s="2">
        <v>1</v>
      </c>
      <c r="K29" s="2">
        <v>1</v>
      </c>
      <c r="L29" s="2">
        <v>1</v>
      </c>
      <c r="M29" s="2">
        <v>1</v>
      </c>
      <c r="N29" s="2">
        <v>2</v>
      </c>
      <c r="O29" s="2">
        <v>1</v>
      </c>
      <c r="P29" s="2">
        <v>2</v>
      </c>
      <c r="Q29" s="38">
        <f t="shared" si="0"/>
        <v>1</v>
      </c>
      <c r="R29" s="38">
        <f t="shared" si="1"/>
        <v>1.6666666666666667</v>
      </c>
      <c r="S29" s="38">
        <f t="shared" si="2"/>
        <v>1.2222222222222223</v>
      </c>
      <c r="T29" s="3" t="s">
        <v>341</v>
      </c>
      <c r="U29" s="3" t="s">
        <v>342</v>
      </c>
      <c r="V29" s="3" t="s">
        <v>71</v>
      </c>
      <c r="W29" s="1" t="s">
        <v>343</v>
      </c>
      <c r="X29" s="3"/>
      <c r="Y29" s="3"/>
      <c r="Z29" s="3"/>
      <c r="AA29" s="3"/>
      <c r="AB29" s="3"/>
      <c r="AC29" s="3"/>
    </row>
    <row r="30" spans="1:29" ht="15.75" thickBot="1" x14ac:dyDescent="0.3">
      <c r="A30" s="14"/>
      <c r="B30" t="s">
        <v>215</v>
      </c>
      <c r="C30" s="14">
        <v>4</v>
      </c>
      <c r="D30" s="14" t="s">
        <v>190</v>
      </c>
      <c r="E30" s="14">
        <v>22</v>
      </c>
      <c r="F30" s="14">
        <v>30</v>
      </c>
      <c r="G30" s="14" t="s">
        <v>204</v>
      </c>
      <c r="H30" s="2">
        <v>1</v>
      </c>
      <c r="I30" s="2">
        <v>1</v>
      </c>
      <c r="J30" s="2">
        <v>2</v>
      </c>
      <c r="K30" s="2">
        <v>1</v>
      </c>
      <c r="L30" s="2">
        <v>1</v>
      </c>
      <c r="M30" s="2">
        <v>1</v>
      </c>
      <c r="N30" s="2">
        <v>2</v>
      </c>
      <c r="O30" s="2">
        <v>2</v>
      </c>
      <c r="P30" s="2">
        <v>1</v>
      </c>
      <c r="Q30" s="38">
        <f t="shared" si="0"/>
        <v>1.1666666666666667</v>
      </c>
      <c r="R30" s="38">
        <f t="shared" si="1"/>
        <v>1.6666666666666667</v>
      </c>
      <c r="S30" s="38">
        <f t="shared" si="2"/>
        <v>1.3333333333333333</v>
      </c>
      <c r="T30" s="3" t="s">
        <v>344</v>
      </c>
      <c r="U30" s="3" t="s">
        <v>345</v>
      </c>
      <c r="V30" s="3" t="s">
        <v>5</v>
      </c>
      <c r="W30" s="1" t="s">
        <v>346</v>
      </c>
      <c r="X30" s="3"/>
      <c r="Y30" s="3"/>
      <c r="Z30" s="3"/>
      <c r="AA30" s="3"/>
      <c r="AB30" s="3"/>
      <c r="AC30" s="3"/>
    </row>
    <row r="31" spans="1:29" ht="15.75" thickBot="1" x14ac:dyDescent="0.3">
      <c r="A31" s="14"/>
      <c r="B31" t="s">
        <v>215</v>
      </c>
      <c r="C31" s="14">
        <v>5</v>
      </c>
      <c r="D31" s="14" t="s">
        <v>190</v>
      </c>
      <c r="E31" s="14">
        <v>22</v>
      </c>
      <c r="F31" s="14">
        <v>5</v>
      </c>
      <c r="G31" s="14" t="s">
        <v>205</v>
      </c>
      <c r="H31" s="2">
        <v>1</v>
      </c>
      <c r="I31" s="2">
        <v>1</v>
      </c>
      <c r="J31" s="2">
        <v>2</v>
      </c>
      <c r="K31" s="2">
        <v>2</v>
      </c>
      <c r="L31" s="2">
        <v>1</v>
      </c>
      <c r="M31" s="2">
        <v>3</v>
      </c>
      <c r="N31" s="2">
        <v>2</v>
      </c>
      <c r="O31" s="2">
        <v>2</v>
      </c>
      <c r="P31" s="2">
        <v>2</v>
      </c>
      <c r="Q31" s="38">
        <f t="shared" si="0"/>
        <v>1.6666666666666667</v>
      </c>
      <c r="R31" s="38">
        <f t="shared" si="1"/>
        <v>2</v>
      </c>
      <c r="S31" s="38">
        <f t="shared" si="2"/>
        <v>1.7777777777777777</v>
      </c>
      <c r="T31" s="3" t="s">
        <v>347</v>
      </c>
      <c r="U31" s="3" t="s">
        <v>348</v>
      </c>
      <c r="V31" s="3" t="s">
        <v>349</v>
      </c>
      <c r="W31" s="1" t="s">
        <v>350</v>
      </c>
      <c r="X31" s="3"/>
      <c r="Y31" s="3"/>
      <c r="Z31" s="3"/>
      <c r="AA31" s="3"/>
      <c r="AB31" s="3"/>
      <c r="AC31" s="3"/>
    </row>
    <row r="32" spans="1:29" ht="15.75" thickBot="1" x14ac:dyDescent="0.3">
      <c r="A32" s="14"/>
      <c r="B32" t="s">
        <v>215</v>
      </c>
      <c r="C32" s="14">
        <v>6</v>
      </c>
      <c r="D32" s="14" t="s">
        <v>194</v>
      </c>
      <c r="E32" s="14">
        <v>26</v>
      </c>
      <c r="F32" s="14">
        <v>0</v>
      </c>
      <c r="G32" s="14" t="s">
        <v>206</v>
      </c>
      <c r="H32" s="2">
        <v>2</v>
      </c>
      <c r="I32" s="2">
        <v>2</v>
      </c>
      <c r="J32" s="2">
        <v>2</v>
      </c>
      <c r="K32" s="2">
        <v>2</v>
      </c>
      <c r="L32" s="2">
        <v>1</v>
      </c>
      <c r="M32" s="2">
        <v>1</v>
      </c>
      <c r="N32" s="2">
        <v>3</v>
      </c>
      <c r="O32" s="2">
        <v>3</v>
      </c>
      <c r="P32" s="2">
        <v>2</v>
      </c>
      <c r="Q32" s="38">
        <f t="shared" si="0"/>
        <v>1.6666666666666667</v>
      </c>
      <c r="R32" s="38">
        <f t="shared" si="1"/>
        <v>2.6666666666666665</v>
      </c>
      <c r="S32" s="38">
        <f t="shared" si="2"/>
        <v>2</v>
      </c>
      <c r="T32" s="3" t="s">
        <v>351</v>
      </c>
      <c r="U32" s="3" t="s">
        <v>352</v>
      </c>
      <c r="V32" s="3" t="s">
        <v>353</v>
      </c>
      <c r="W32" s="1" t="s">
        <v>354</v>
      </c>
      <c r="X32" s="3"/>
      <c r="Y32" s="3"/>
      <c r="Z32" s="3"/>
      <c r="AA32" s="3"/>
      <c r="AB32" s="3"/>
      <c r="AC32" s="3"/>
    </row>
    <row r="33" spans="1:29" ht="15.75" thickBot="1" x14ac:dyDescent="0.3">
      <c r="A33" s="14"/>
      <c r="B33" t="s">
        <v>215</v>
      </c>
      <c r="C33" s="14">
        <v>7</v>
      </c>
      <c r="D33" s="14" t="s">
        <v>190</v>
      </c>
      <c r="E33" s="14">
        <v>28</v>
      </c>
      <c r="F33" s="14">
        <v>15</v>
      </c>
      <c r="G33" s="14" t="s">
        <v>207</v>
      </c>
      <c r="H33" s="2">
        <v>2</v>
      </c>
      <c r="I33" s="2">
        <v>1</v>
      </c>
      <c r="J33" s="2">
        <v>1</v>
      </c>
      <c r="K33" s="2">
        <v>1</v>
      </c>
      <c r="L33" s="2">
        <v>2</v>
      </c>
      <c r="M33" s="2">
        <v>1</v>
      </c>
      <c r="N33" s="2">
        <v>1</v>
      </c>
      <c r="O33" s="2">
        <v>3</v>
      </c>
      <c r="P33" s="2">
        <v>1</v>
      </c>
      <c r="Q33" s="38">
        <f t="shared" si="0"/>
        <v>1.3333333333333333</v>
      </c>
      <c r="R33" s="38">
        <f t="shared" si="1"/>
        <v>1.6666666666666667</v>
      </c>
      <c r="S33" s="38">
        <f t="shared" si="2"/>
        <v>1.4444444444444444</v>
      </c>
      <c r="T33" s="3" t="s">
        <v>355</v>
      </c>
      <c r="U33" s="3" t="s">
        <v>356</v>
      </c>
      <c r="V33" s="3" t="s">
        <v>357</v>
      </c>
      <c r="W33" s="1" t="s">
        <v>358</v>
      </c>
      <c r="X33" s="3"/>
      <c r="Y33" s="3"/>
      <c r="Z33" s="3"/>
      <c r="AA33" s="3"/>
      <c r="AB33" s="3"/>
      <c r="AC33" s="3"/>
    </row>
    <row r="34" spans="1:29" ht="15.75" thickBot="1" x14ac:dyDescent="0.3">
      <c r="A34" s="14"/>
      <c r="B34" t="s">
        <v>215</v>
      </c>
      <c r="C34" s="14">
        <v>8</v>
      </c>
      <c r="D34" s="14" t="s">
        <v>190</v>
      </c>
      <c r="E34" s="14">
        <v>34</v>
      </c>
      <c r="F34" s="14">
        <v>50</v>
      </c>
      <c r="G34" s="14" t="s">
        <v>208</v>
      </c>
      <c r="H34" s="2">
        <v>1</v>
      </c>
      <c r="I34" s="2">
        <v>1</v>
      </c>
      <c r="J34" s="2">
        <v>2</v>
      </c>
      <c r="K34" s="2">
        <v>1</v>
      </c>
      <c r="L34" s="2">
        <v>1</v>
      </c>
      <c r="M34" s="2">
        <v>1</v>
      </c>
      <c r="N34" s="2">
        <v>2</v>
      </c>
      <c r="O34" s="2">
        <v>1</v>
      </c>
      <c r="P34" s="2">
        <v>3</v>
      </c>
      <c r="Q34" s="38">
        <f t="shared" si="0"/>
        <v>1.1666666666666667</v>
      </c>
      <c r="R34" s="38">
        <f t="shared" si="1"/>
        <v>2</v>
      </c>
      <c r="S34" s="38">
        <f t="shared" si="2"/>
        <v>1.4444444444444444</v>
      </c>
      <c r="T34" s="3" t="s">
        <v>359</v>
      </c>
      <c r="U34" s="3" t="s">
        <v>360</v>
      </c>
      <c r="V34" s="3" t="s">
        <v>361</v>
      </c>
      <c r="W34" s="1" t="s">
        <v>362</v>
      </c>
      <c r="X34" s="3"/>
      <c r="Y34" s="3"/>
      <c r="Z34" s="3"/>
      <c r="AA34" s="3"/>
      <c r="AB34" s="3"/>
      <c r="AC34" s="3"/>
    </row>
    <row r="35" spans="1:29" ht="15.75" thickBot="1" x14ac:dyDescent="0.3">
      <c r="A35" s="14"/>
      <c r="B35" t="s">
        <v>215</v>
      </c>
      <c r="C35" s="14">
        <v>9</v>
      </c>
      <c r="D35" s="14"/>
      <c r="E35" s="14">
        <v>22</v>
      </c>
      <c r="F35" s="14">
        <v>10</v>
      </c>
      <c r="G35" s="14" t="s">
        <v>209</v>
      </c>
      <c r="H35" s="2">
        <v>1</v>
      </c>
      <c r="I35" s="2">
        <v>1</v>
      </c>
      <c r="J35" s="2">
        <v>1</v>
      </c>
      <c r="K35" s="2">
        <v>1</v>
      </c>
      <c r="L35" s="2">
        <v>1</v>
      </c>
      <c r="M35" s="2">
        <v>1</v>
      </c>
      <c r="N35" s="2">
        <v>2</v>
      </c>
      <c r="O35" s="2">
        <v>1</v>
      </c>
      <c r="P35" s="2">
        <v>2</v>
      </c>
      <c r="Q35" s="38">
        <f t="shared" si="0"/>
        <v>1</v>
      </c>
      <c r="R35" s="38">
        <f t="shared" si="1"/>
        <v>1.6666666666666667</v>
      </c>
      <c r="S35" s="38">
        <f t="shared" si="2"/>
        <v>1.2222222222222223</v>
      </c>
      <c r="T35" s="3" t="s">
        <v>363</v>
      </c>
      <c r="U35" s="3" t="s">
        <v>364</v>
      </c>
      <c r="V35" s="3" t="s">
        <v>365</v>
      </c>
      <c r="W35" s="3" t="s">
        <v>366</v>
      </c>
      <c r="X35" s="3"/>
      <c r="Y35" s="3"/>
      <c r="Z35" s="3"/>
      <c r="AA35" s="3"/>
      <c r="AB35" s="3"/>
      <c r="AC35" s="3"/>
    </row>
    <row r="36" spans="1:29" ht="15.75" thickBot="1" x14ac:dyDescent="0.3">
      <c r="A36" s="14"/>
      <c r="B36" t="s">
        <v>215</v>
      </c>
      <c r="C36" s="14">
        <v>10</v>
      </c>
      <c r="D36" s="14"/>
      <c r="E36" s="14">
        <v>23</v>
      </c>
      <c r="F36" s="14">
        <v>5</v>
      </c>
      <c r="G36" s="14" t="s">
        <v>210</v>
      </c>
      <c r="H36" s="2">
        <v>1</v>
      </c>
      <c r="I36" s="2">
        <v>1</v>
      </c>
      <c r="J36" s="2">
        <v>1</v>
      </c>
      <c r="K36" s="2">
        <v>2</v>
      </c>
      <c r="L36" s="2">
        <v>1</v>
      </c>
      <c r="M36" s="2">
        <v>1</v>
      </c>
      <c r="N36" s="2">
        <v>1</v>
      </c>
      <c r="O36" s="2">
        <v>1</v>
      </c>
      <c r="P36" s="2">
        <v>1</v>
      </c>
      <c r="Q36" s="38">
        <f t="shared" si="0"/>
        <v>1.1666666666666667</v>
      </c>
      <c r="R36" s="38">
        <f t="shared" si="1"/>
        <v>1</v>
      </c>
      <c r="S36" s="38">
        <f t="shared" si="2"/>
        <v>1.1111111111111112</v>
      </c>
      <c r="T36" s="3" t="s">
        <v>367</v>
      </c>
      <c r="U36" s="3" t="s">
        <v>368</v>
      </c>
      <c r="V36" s="3" t="s">
        <v>369</v>
      </c>
      <c r="W36" s="3" t="s">
        <v>370</v>
      </c>
      <c r="X36" s="3"/>
      <c r="Y36" s="3"/>
      <c r="Z36" s="3"/>
      <c r="AA36" s="3"/>
      <c r="AB36" s="3"/>
      <c r="AC36" s="3"/>
    </row>
    <row r="37" spans="1:29" ht="15.75" thickBot="1" x14ac:dyDescent="0.3">
      <c r="A37" s="19"/>
      <c r="B37" s="19" t="s">
        <v>215</v>
      </c>
      <c r="C37" s="19">
        <v>11</v>
      </c>
      <c r="D37" s="19"/>
      <c r="E37" s="19">
        <v>22</v>
      </c>
      <c r="F37" s="19">
        <v>2</v>
      </c>
      <c r="G37" s="19" t="s">
        <v>211</v>
      </c>
      <c r="H37" s="2">
        <v>3</v>
      </c>
      <c r="I37" s="2">
        <v>3</v>
      </c>
      <c r="J37" s="2">
        <v>3</v>
      </c>
      <c r="K37" s="2">
        <v>3</v>
      </c>
      <c r="L37" s="2">
        <v>3</v>
      </c>
      <c r="M37" s="2">
        <v>4</v>
      </c>
      <c r="N37" s="2">
        <v>3</v>
      </c>
      <c r="O37" s="2">
        <v>3</v>
      </c>
      <c r="P37" s="2">
        <v>4</v>
      </c>
      <c r="Q37" s="2">
        <f t="shared" si="0"/>
        <v>3.1666666666666665</v>
      </c>
      <c r="R37" s="2">
        <f t="shared" si="1"/>
        <v>3.3333333333333335</v>
      </c>
      <c r="S37" s="38">
        <f t="shared" si="2"/>
        <v>3.2222222222222223</v>
      </c>
      <c r="T37" s="3" t="s">
        <v>417</v>
      </c>
      <c r="U37" s="3" t="s">
        <v>418</v>
      </c>
      <c r="V37" s="3" t="s">
        <v>419</v>
      </c>
      <c r="W37" s="1" t="s">
        <v>420</v>
      </c>
      <c r="X37" s="3"/>
      <c r="Y37" s="3"/>
      <c r="Z37" s="3"/>
      <c r="AA37" s="3"/>
      <c r="AB37" s="3"/>
      <c r="AC37" s="3"/>
    </row>
    <row r="38" spans="1:29" ht="15.75" thickBot="1" x14ac:dyDescent="0.3">
      <c r="A38" s="19"/>
      <c r="B38" s="19" t="s">
        <v>215</v>
      </c>
      <c r="C38" s="19">
        <v>12</v>
      </c>
      <c r="D38" s="19" t="s">
        <v>190</v>
      </c>
      <c r="E38" s="19">
        <v>28</v>
      </c>
      <c r="F38" s="19">
        <v>0</v>
      </c>
      <c r="G38" s="19" t="s">
        <v>212</v>
      </c>
      <c r="H38" s="2">
        <v>3</v>
      </c>
      <c r="I38" s="2">
        <v>1</v>
      </c>
      <c r="J38" s="2">
        <v>1</v>
      </c>
      <c r="K38" s="2">
        <v>2</v>
      </c>
      <c r="L38" s="2">
        <v>1</v>
      </c>
      <c r="M38" s="2">
        <v>1</v>
      </c>
      <c r="N38" s="2">
        <v>3</v>
      </c>
      <c r="O38" s="2">
        <v>2</v>
      </c>
      <c r="P38" s="2">
        <v>1</v>
      </c>
      <c r="Q38" s="2">
        <f t="shared" si="0"/>
        <v>1.5</v>
      </c>
      <c r="R38" s="2">
        <f t="shared" si="1"/>
        <v>2</v>
      </c>
      <c r="S38" s="38">
        <f t="shared" si="2"/>
        <v>1.6666666666666667</v>
      </c>
      <c r="T38" s="3" t="s">
        <v>421</v>
      </c>
      <c r="U38" s="3" t="s">
        <v>422</v>
      </c>
      <c r="V38" s="3" t="s">
        <v>423</v>
      </c>
      <c r="W38" s="1" t="s">
        <v>424</v>
      </c>
      <c r="X38" s="3"/>
      <c r="Y38" s="3"/>
      <c r="Z38" s="3"/>
      <c r="AA38" s="3"/>
      <c r="AB38" s="3"/>
      <c r="AC38" s="3"/>
    </row>
    <row r="39" spans="1:29" ht="15.75" thickBot="1" x14ac:dyDescent="0.3">
      <c r="A39" s="19"/>
      <c r="B39" s="19" t="s">
        <v>215</v>
      </c>
      <c r="C39" s="19">
        <v>13</v>
      </c>
      <c r="D39" s="19" t="s">
        <v>194</v>
      </c>
      <c r="E39" s="19">
        <v>51</v>
      </c>
      <c r="F39" s="19">
        <v>0</v>
      </c>
      <c r="G39" s="19" t="s">
        <v>213</v>
      </c>
      <c r="H39" s="2">
        <v>1</v>
      </c>
      <c r="I39" s="2">
        <v>2</v>
      </c>
      <c r="J39" s="2">
        <v>3</v>
      </c>
      <c r="K39" s="2">
        <v>1</v>
      </c>
      <c r="L39" s="2">
        <v>1</v>
      </c>
      <c r="M39" s="2">
        <v>1</v>
      </c>
      <c r="N39" s="2">
        <v>1</v>
      </c>
      <c r="O39" s="2">
        <v>1</v>
      </c>
      <c r="P39" s="2">
        <v>1</v>
      </c>
      <c r="Q39" s="2">
        <f t="shared" si="0"/>
        <v>1.5</v>
      </c>
      <c r="R39" s="2">
        <f t="shared" si="1"/>
        <v>1</v>
      </c>
      <c r="S39" s="38">
        <f t="shared" si="2"/>
        <v>1.3333333333333333</v>
      </c>
      <c r="T39" s="3" t="s">
        <v>425</v>
      </c>
      <c r="U39" s="3" t="s">
        <v>426</v>
      </c>
      <c r="V39" s="3" t="s">
        <v>427</v>
      </c>
      <c r="W39" s="3" t="s">
        <v>428</v>
      </c>
      <c r="X39" s="3"/>
      <c r="Y39" s="3"/>
      <c r="Z39" s="3"/>
      <c r="AA39" s="3"/>
      <c r="AB39" s="3"/>
      <c r="AC39" s="3"/>
    </row>
    <row r="40" spans="1:29" ht="15.75" thickBot="1" x14ac:dyDescent="0.3">
      <c r="A40" s="20"/>
      <c r="B40" s="20" t="s">
        <v>215</v>
      </c>
      <c r="C40" s="20">
        <v>14</v>
      </c>
      <c r="D40" s="20" t="s">
        <v>194</v>
      </c>
      <c r="E40" s="20"/>
      <c r="F40" s="20"/>
      <c r="G40" s="20" t="s">
        <v>110</v>
      </c>
      <c r="H40" s="2">
        <v>7</v>
      </c>
      <c r="I40" s="2">
        <v>7</v>
      </c>
      <c r="J40" s="2">
        <v>6</v>
      </c>
      <c r="K40" s="2">
        <v>7</v>
      </c>
      <c r="L40" s="2">
        <v>6</v>
      </c>
      <c r="M40" s="2">
        <v>7</v>
      </c>
      <c r="N40" s="2">
        <v>4</v>
      </c>
      <c r="O40" s="2">
        <v>6</v>
      </c>
      <c r="P40" s="2">
        <v>6</v>
      </c>
      <c r="Q40" s="2">
        <f t="shared" si="0"/>
        <v>6.666666666666667</v>
      </c>
      <c r="R40" s="2">
        <f t="shared" si="1"/>
        <v>5.333333333333333</v>
      </c>
      <c r="S40" s="38">
        <f t="shared" si="2"/>
        <v>6.2222222222222223</v>
      </c>
      <c r="T40" s="3" t="s">
        <v>447</v>
      </c>
      <c r="U40" s="3" t="s">
        <v>448</v>
      </c>
      <c r="V40" s="3" t="s">
        <v>449</v>
      </c>
      <c r="W40" s="1" t="s">
        <v>450</v>
      </c>
      <c r="X40" s="3"/>
      <c r="Y40" s="3"/>
      <c r="Z40" s="3"/>
      <c r="AA40" s="3"/>
      <c r="AB40" s="3"/>
      <c r="AC40" s="3"/>
    </row>
    <row r="41" spans="1:29" ht="15.75" thickBot="1" x14ac:dyDescent="0.3">
      <c r="A41" s="20"/>
      <c r="B41" s="20" t="s">
        <v>215</v>
      </c>
      <c r="C41" s="20">
        <v>15</v>
      </c>
      <c r="D41" s="20" t="s">
        <v>194</v>
      </c>
      <c r="E41" s="20"/>
      <c r="F41" s="20"/>
      <c r="G41" s="20" t="s">
        <v>238</v>
      </c>
      <c r="H41" s="2">
        <v>1</v>
      </c>
      <c r="I41" s="2">
        <v>1</v>
      </c>
      <c r="J41" s="2">
        <v>1</v>
      </c>
      <c r="K41" s="2">
        <v>2</v>
      </c>
      <c r="L41" s="2">
        <v>2</v>
      </c>
      <c r="M41" s="2">
        <v>2</v>
      </c>
      <c r="N41" s="2">
        <v>2</v>
      </c>
      <c r="O41" s="2">
        <v>1</v>
      </c>
      <c r="P41" s="2">
        <v>1</v>
      </c>
      <c r="Q41" s="2">
        <f t="shared" si="0"/>
        <v>1.5</v>
      </c>
      <c r="R41" s="2">
        <f t="shared" si="1"/>
        <v>1.3333333333333333</v>
      </c>
      <c r="S41" s="38">
        <f t="shared" si="2"/>
        <v>1.4444444444444444</v>
      </c>
      <c r="T41" s="3" t="s">
        <v>429</v>
      </c>
      <c r="U41" s="3" t="s">
        <v>430</v>
      </c>
      <c r="V41" s="3" t="s">
        <v>431</v>
      </c>
      <c r="W41" s="1" t="s">
        <v>432</v>
      </c>
      <c r="X41" s="3"/>
      <c r="Y41" s="3"/>
      <c r="Z41" s="3"/>
      <c r="AA41" s="3"/>
      <c r="AB41" s="3"/>
      <c r="AC41" s="3"/>
    </row>
    <row r="42" spans="1:29" ht="15.75" thickBot="1" x14ac:dyDescent="0.3">
      <c r="A42" s="20"/>
      <c r="B42" s="20" t="s">
        <v>215</v>
      </c>
      <c r="C42" s="20">
        <v>16</v>
      </c>
      <c r="D42" s="20" t="s">
        <v>194</v>
      </c>
      <c r="E42" s="20"/>
      <c r="F42" s="20"/>
      <c r="G42" s="20" t="s">
        <v>242</v>
      </c>
      <c r="H42" s="2">
        <v>2</v>
      </c>
      <c r="I42" s="2">
        <v>1</v>
      </c>
      <c r="J42" s="2">
        <v>1</v>
      </c>
      <c r="K42" s="2">
        <v>1</v>
      </c>
      <c r="L42" s="2">
        <v>1</v>
      </c>
      <c r="M42" s="2">
        <v>1</v>
      </c>
      <c r="N42" s="2">
        <v>1</v>
      </c>
      <c r="O42" s="2">
        <v>1</v>
      </c>
      <c r="P42" s="2">
        <v>1</v>
      </c>
      <c r="Q42" s="2">
        <f t="shared" si="0"/>
        <v>1.1666666666666667</v>
      </c>
      <c r="R42" s="2">
        <f t="shared" si="1"/>
        <v>1</v>
      </c>
      <c r="S42" s="38">
        <f t="shared" si="2"/>
        <v>1.1111111111111112</v>
      </c>
      <c r="T42" s="3" t="s">
        <v>433</v>
      </c>
      <c r="U42" s="3" t="s">
        <v>434</v>
      </c>
      <c r="V42" s="3" t="s">
        <v>71</v>
      </c>
      <c r="W42" s="1" t="s">
        <v>435</v>
      </c>
      <c r="X42" s="3"/>
      <c r="Y42" s="3"/>
      <c r="Z42" s="3"/>
      <c r="AA42" s="3"/>
      <c r="AB42" s="3"/>
      <c r="AC42" s="3"/>
    </row>
    <row r="43" spans="1:29" ht="15.75" thickBot="1" x14ac:dyDescent="0.3">
      <c r="A43" s="14"/>
      <c r="B43" s="14" t="s">
        <v>216</v>
      </c>
      <c r="C43" s="14">
        <v>1</v>
      </c>
      <c r="D43" s="14" t="s">
        <v>190</v>
      </c>
      <c r="E43" s="14">
        <v>24</v>
      </c>
      <c r="F43" s="14">
        <v>100</v>
      </c>
      <c r="G43" s="14" t="s">
        <v>228</v>
      </c>
      <c r="H43" s="2">
        <v>1</v>
      </c>
      <c r="I43" s="2">
        <v>1</v>
      </c>
      <c r="J43" s="2">
        <v>1</v>
      </c>
      <c r="K43" s="2">
        <v>2</v>
      </c>
      <c r="L43" s="2">
        <v>1</v>
      </c>
      <c r="M43" s="2">
        <v>1</v>
      </c>
      <c r="N43" s="2">
        <v>2</v>
      </c>
      <c r="O43" s="2">
        <v>2</v>
      </c>
      <c r="P43" s="2">
        <v>1</v>
      </c>
      <c r="Q43" s="39">
        <f t="shared" si="0"/>
        <v>1.1666666666666667</v>
      </c>
      <c r="R43" s="39">
        <f t="shared" si="1"/>
        <v>1.6666666666666667</v>
      </c>
      <c r="S43" s="38">
        <f t="shared" si="2"/>
        <v>1.3333333333333333</v>
      </c>
      <c r="T43" s="3" t="s">
        <v>371</v>
      </c>
      <c r="U43" s="3" t="s">
        <v>372</v>
      </c>
      <c r="V43" s="3" t="s">
        <v>5</v>
      </c>
      <c r="W43" s="1" t="s">
        <v>373</v>
      </c>
      <c r="X43" s="3"/>
      <c r="Y43" s="3"/>
      <c r="Z43" s="3"/>
      <c r="AA43" s="3"/>
      <c r="AB43" s="3"/>
      <c r="AC43" s="3"/>
    </row>
    <row r="44" spans="1:29" ht="15.75" thickBot="1" x14ac:dyDescent="0.3">
      <c r="A44" s="14"/>
      <c r="B44" s="14" t="s">
        <v>216</v>
      </c>
      <c r="C44" s="14">
        <v>2</v>
      </c>
      <c r="D44" s="14" t="s">
        <v>190</v>
      </c>
      <c r="E44" s="14">
        <v>23</v>
      </c>
      <c r="F44" s="14">
        <v>30</v>
      </c>
      <c r="G44" s="21" t="s">
        <v>229</v>
      </c>
      <c r="H44" s="2">
        <v>2</v>
      </c>
      <c r="I44" s="2">
        <v>2</v>
      </c>
      <c r="J44" s="2">
        <v>2</v>
      </c>
      <c r="K44" s="2">
        <v>1</v>
      </c>
      <c r="L44" s="2">
        <v>1</v>
      </c>
      <c r="M44" s="2">
        <v>1</v>
      </c>
      <c r="N44" s="2">
        <v>2</v>
      </c>
      <c r="O44" s="2">
        <v>2</v>
      </c>
      <c r="P44" s="2">
        <v>1</v>
      </c>
      <c r="Q44" s="39">
        <f t="shared" si="0"/>
        <v>1.5</v>
      </c>
      <c r="R44" s="39">
        <f t="shared" si="1"/>
        <v>1.6666666666666667</v>
      </c>
      <c r="S44" s="38">
        <f t="shared" si="2"/>
        <v>1.5555555555555556</v>
      </c>
      <c r="T44" s="3" t="s">
        <v>374</v>
      </c>
      <c r="U44" s="3" t="s">
        <v>375</v>
      </c>
      <c r="V44" s="3" t="s">
        <v>376</v>
      </c>
      <c r="W44" s="1" t="s">
        <v>377</v>
      </c>
      <c r="X44" s="3"/>
      <c r="Y44" s="3"/>
      <c r="Z44" s="3"/>
      <c r="AA44" s="3"/>
      <c r="AB44" s="3"/>
      <c r="AC44" s="3"/>
    </row>
    <row r="45" spans="1:29" ht="15.75" thickBot="1" x14ac:dyDescent="0.3">
      <c r="A45" s="14"/>
      <c r="B45" s="14" t="s">
        <v>216</v>
      </c>
      <c r="C45" s="14">
        <v>3</v>
      </c>
      <c r="D45" s="14" t="s">
        <v>190</v>
      </c>
      <c r="E45" s="14">
        <v>23</v>
      </c>
      <c r="F45" s="14">
        <v>5</v>
      </c>
      <c r="G45" s="14" t="s">
        <v>230</v>
      </c>
      <c r="H45" s="2">
        <v>1</v>
      </c>
      <c r="I45" s="2">
        <v>1</v>
      </c>
      <c r="J45" s="2">
        <v>1</v>
      </c>
      <c r="K45" s="2">
        <v>2</v>
      </c>
      <c r="L45" s="2">
        <v>1</v>
      </c>
      <c r="M45" s="2">
        <v>1</v>
      </c>
      <c r="N45" s="2">
        <v>1</v>
      </c>
      <c r="O45" s="2">
        <v>1</v>
      </c>
      <c r="P45" s="2">
        <v>1</v>
      </c>
      <c r="Q45" s="39">
        <f t="shared" si="0"/>
        <v>1.1666666666666667</v>
      </c>
      <c r="R45" s="39">
        <f t="shared" si="1"/>
        <v>1</v>
      </c>
      <c r="S45" s="38">
        <f t="shared" si="2"/>
        <v>1.1111111111111112</v>
      </c>
      <c r="T45" s="3" t="s">
        <v>386</v>
      </c>
      <c r="U45" s="3" t="s">
        <v>387</v>
      </c>
      <c r="V45" s="3" t="s">
        <v>388</v>
      </c>
      <c r="W45" s="1" t="s">
        <v>389</v>
      </c>
      <c r="X45" s="3"/>
      <c r="Y45" s="3"/>
      <c r="Z45" s="3"/>
      <c r="AA45" s="3"/>
      <c r="AB45" s="3"/>
      <c r="AC45" s="3"/>
    </row>
    <row r="46" spans="1:29" ht="15.75" thickBot="1" x14ac:dyDescent="0.3">
      <c r="A46" s="14"/>
      <c r="B46" s="14" t="s">
        <v>216</v>
      </c>
      <c r="C46" s="14">
        <v>4</v>
      </c>
      <c r="D46" s="14" t="s">
        <v>190</v>
      </c>
      <c r="E46" s="14">
        <v>23</v>
      </c>
      <c r="F46" s="14">
        <v>0</v>
      </c>
      <c r="G46" s="14" t="s">
        <v>231</v>
      </c>
      <c r="H46" s="2">
        <v>1</v>
      </c>
      <c r="I46" s="2">
        <v>1</v>
      </c>
      <c r="J46" s="2">
        <v>1</v>
      </c>
      <c r="K46" s="2">
        <v>1</v>
      </c>
      <c r="L46" s="2">
        <v>1</v>
      </c>
      <c r="M46" s="2">
        <v>1</v>
      </c>
      <c r="N46" s="2">
        <v>1</v>
      </c>
      <c r="O46" s="2">
        <v>1</v>
      </c>
      <c r="P46" s="2">
        <v>1</v>
      </c>
      <c r="Q46" s="39">
        <f t="shared" si="0"/>
        <v>1</v>
      </c>
      <c r="R46" s="39">
        <f t="shared" si="1"/>
        <v>1</v>
      </c>
      <c r="S46" s="38">
        <f t="shared" si="2"/>
        <v>1</v>
      </c>
      <c r="T46" s="3" t="s">
        <v>382</v>
      </c>
      <c r="U46" s="3" t="s">
        <v>383</v>
      </c>
      <c r="V46" s="3" t="s">
        <v>384</v>
      </c>
      <c r="W46" s="1" t="s">
        <v>385</v>
      </c>
      <c r="X46" s="3"/>
      <c r="Y46" s="3"/>
      <c r="Z46" s="3"/>
      <c r="AA46" s="3"/>
      <c r="AB46" s="3"/>
      <c r="AC46" s="3"/>
    </row>
    <row r="47" spans="1:29" ht="15.75" thickBot="1" x14ac:dyDescent="0.3">
      <c r="A47" s="14"/>
      <c r="B47" s="14" t="s">
        <v>216</v>
      </c>
      <c r="C47" s="14">
        <v>5</v>
      </c>
      <c r="D47" s="14" t="s">
        <v>194</v>
      </c>
      <c r="E47" s="14">
        <v>26</v>
      </c>
      <c r="F47" s="14">
        <v>0</v>
      </c>
      <c r="G47" s="14" t="s">
        <v>232</v>
      </c>
      <c r="H47" s="2">
        <v>1</v>
      </c>
      <c r="I47" s="2">
        <v>1</v>
      </c>
      <c r="J47" s="2">
        <v>1</v>
      </c>
      <c r="K47" s="2">
        <v>1</v>
      </c>
      <c r="L47" s="2">
        <v>1</v>
      </c>
      <c r="M47" s="2">
        <v>1</v>
      </c>
      <c r="N47" s="2">
        <v>1</v>
      </c>
      <c r="O47" s="2">
        <v>1</v>
      </c>
      <c r="P47" s="2">
        <v>1</v>
      </c>
      <c r="Q47" s="39">
        <f t="shared" si="0"/>
        <v>1</v>
      </c>
      <c r="R47" s="39">
        <f t="shared" si="1"/>
        <v>1</v>
      </c>
      <c r="S47" s="38">
        <f t="shared" si="2"/>
        <v>1</v>
      </c>
      <c r="T47" s="3" t="s">
        <v>390</v>
      </c>
      <c r="U47" s="3" t="s">
        <v>391</v>
      </c>
      <c r="V47" s="3" t="s">
        <v>392</v>
      </c>
      <c r="W47" s="1" t="s">
        <v>393</v>
      </c>
      <c r="X47" s="3"/>
      <c r="Y47" s="3"/>
      <c r="Z47" s="3"/>
      <c r="AA47" s="3"/>
      <c r="AB47" s="3"/>
      <c r="AC47" s="3"/>
    </row>
    <row r="48" spans="1:29" ht="15.75" thickBot="1" x14ac:dyDescent="0.3">
      <c r="A48" s="14"/>
      <c r="B48" s="14" t="s">
        <v>216</v>
      </c>
      <c r="C48" s="14">
        <v>6</v>
      </c>
      <c r="D48" s="14" t="s">
        <v>190</v>
      </c>
      <c r="E48" s="14">
        <v>28</v>
      </c>
      <c r="F48" s="14">
        <v>5</v>
      </c>
      <c r="G48" s="14" t="s">
        <v>233</v>
      </c>
      <c r="H48" s="2">
        <v>1</v>
      </c>
      <c r="I48" s="2">
        <v>2</v>
      </c>
      <c r="J48" s="2">
        <v>1</v>
      </c>
      <c r="K48" s="2">
        <v>3</v>
      </c>
      <c r="L48" s="2">
        <v>1</v>
      </c>
      <c r="M48" s="2">
        <v>2</v>
      </c>
      <c r="N48" s="2">
        <v>1</v>
      </c>
      <c r="O48" s="2">
        <v>1</v>
      </c>
      <c r="P48" s="2">
        <v>1</v>
      </c>
      <c r="Q48" s="39">
        <f t="shared" si="0"/>
        <v>1.6666666666666667</v>
      </c>
      <c r="R48" s="39">
        <f t="shared" si="1"/>
        <v>1</v>
      </c>
      <c r="S48" s="38">
        <f t="shared" si="2"/>
        <v>1.4444444444444444</v>
      </c>
      <c r="T48" s="3" t="s">
        <v>394</v>
      </c>
      <c r="U48" s="3" t="s">
        <v>395</v>
      </c>
      <c r="V48" s="3" t="s">
        <v>396</v>
      </c>
      <c r="W48" s="1" t="s">
        <v>397</v>
      </c>
      <c r="X48" s="3"/>
      <c r="Y48" s="3"/>
      <c r="Z48" s="3"/>
      <c r="AA48" s="3"/>
      <c r="AB48" s="3"/>
      <c r="AC48" s="3"/>
    </row>
    <row r="49" spans="1:29" ht="15.75" thickBot="1" x14ac:dyDescent="0.3">
      <c r="A49" s="14"/>
      <c r="B49" s="14" t="s">
        <v>216</v>
      </c>
      <c r="C49" s="14">
        <v>7</v>
      </c>
      <c r="D49" s="14" t="s">
        <v>190</v>
      </c>
      <c r="E49" s="14">
        <v>22</v>
      </c>
      <c r="F49" s="14">
        <v>20</v>
      </c>
      <c r="G49" s="14" t="s">
        <v>234</v>
      </c>
      <c r="H49" s="2">
        <v>1</v>
      </c>
      <c r="I49" s="2">
        <v>1</v>
      </c>
      <c r="J49" s="2">
        <v>1</v>
      </c>
      <c r="K49" s="2">
        <v>2</v>
      </c>
      <c r="L49" s="2">
        <v>1</v>
      </c>
      <c r="M49" s="2">
        <v>1</v>
      </c>
      <c r="N49" s="2">
        <v>2</v>
      </c>
      <c r="O49" s="2">
        <v>2</v>
      </c>
      <c r="P49" s="2">
        <v>3</v>
      </c>
      <c r="Q49" s="39">
        <f t="shared" si="0"/>
        <v>1.1666666666666667</v>
      </c>
      <c r="R49" s="39">
        <f t="shared" si="1"/>
        <v>2.3333333333333335</v>
      </c>
      <c r="S49" s="38">
        <f t="shared" si="2"/>
        <v>1.5555555555555556</v>
      </c>
      <c r="T49" s="3" t="s">
        <v>398</v>
      </c>
      <c r="U49" s="3" t="s">
        <v>3</v>
      </c>
      <c r="V49" s="3" t="s">
        <v>399</v>
      </c>
      <c r="W49" s="1" t="s">
        <v>400</v>
      </c>
      <c r="X49" s="3"/>
      <c r="Y49" s="3"/>
      <c r="Z49" s="3"/>
      <c r="AA49" s="3"/>
      <c r="AB49" s="3"/>
      <c r="AC49" s="3"/>
    </row>
    <row r="50" spans="1:29" ht="15.75" thickBot="1" x14ac:dyDescent="0.3">
      <c r="A50" s="14"/>
      <c r="B50" s="14" t="s">
        <v>216</v>
      </c>
      <c r="C50" s="14">
        <v>8</v>
      </c>
      <c r="D50" s="14" t="s">
        <v>190</v>
      </c>
      <c r="E50" s="14">
        <v>31</v>
      </c>
      <c r="F50" s="14">
        <v>100</v>
      </c>
      <c r="G50" s="14" t="s">
        <v>235</v>
      </c>
      <c r="H50" s="2">
        <v>2</v>
      </c>
      <c r="I50" s="2">
        <v>1</v>
      </c>
      <c r="J50" s="2">
        <v>1</v>
      </c>
      <c r="K50" s="2">
        <v>1</v>
      </c>
      <c r="L50" s="2">
        <v>1</v>
      </c>
      <c r="M50" s="2">
        <v>1</v>
      </c>
      <c r="N50" s="2">
        <v>2</v>
      </c>
      <c r="O50" s="2">
        <v>2</v>
      </c>
      <c r="P50" s="2">
        <v>1</v>
      </c>
      <c r="Q50" s="39">
        <f t="shared" si="0"/>
        <v>1.1666666666666667</v>
      </c>
      <c r="R50" s="39">
        <f t="shared" si="1"/>
        <v>1.6666666666666667</v>
      </c>
      <c r="S50" s="38">
        <f t="shared" si="2"/>
        <v>1.3333333333333333</v>
      </c>
      <c r="T50" s="3" t="s">
        <v>401</v>
      </c>
      <c r="U50" s="3" t="s">
        <v>402</v>
      </c>
      <c r="V50" s="3" t="s">
        <v>403</v>
      </c>
      <c r="W50" s="3" t="s">
        <v>404</v>
      </c>
      <c r="X50" s="3"/>
      <c r="Y50" s="3"/>
      <c r="Z50" s="3"/>
      <c r="AA50" s="3"/>
      <c r="AB50" s="3"/>
      <c r="AC50" s="3"/>
    </row>
    <row r="51" spans="1:29" ht="15.75" thickBot="1" x14ac:dyDescent="0.3">
      <c r="A51" s="14"/>
      <c r="B51" s="14" t="s">
        <v>216</v>
      </c>
      <c r="C51" s="14">
        <v>9</v>
      </c>
      <c r="D51" s="14" t="s">
        <v>190</v>
      </c>
      <c r="E51" s="14">
        <v>36</v>
      </c>
      <c r="F51" s="14">
        <v>20</v>
      </c>
      <c r="G51" s="14" t="s">
        <v>236</v>
      </c>
      <c r="H51" s="2">
        <v>2</v>
      </c>
      <c r="I51" s="2">
        <v>1</v>
      </c>
      <c r="J51" s="2">
        <v>2</v>
      </c>
      <c r="K51" s="2">
        <v>4</v>
      </c>
      <c r="L51" s="2">
        <v>3</v>
      </c>
      <c r="M51" s="2">
        <v>2</v>
      </c>
      <c r="N51" s="2">
        <v>3</v>
      </c>
      <c r="O51" s="2">
        <v>2</v>
      </c>
      <c r="P51" s="2">
        <v>1</v>
      </c>
      <c r="Q51" s="39">
        <f t="shared" si="0"/>
        <v>2.3333333333333335</v>
      </c>
      <c r="R51" s="39">
        <f t="shared" si="1"/>
        <v>2</v>
      </c>
      <c r="S51" s="38">
        <f t="shared" si="2"/>
        <v>2.2222222222222223</v>
      </c>
      <c r="T51" s="3" t="s">
        <v>405</v>
      </c>
      <c r="U51" s="3" t="s">
        <v>406</v>
      </c>
      <c r="V51" s="3" t="s">
        <v>407</v>
      </c>
      <c r="W51" s="3" t="s">
        <v>408</v>
      </c>
      <c r="X51" s="3"/>
      <c r="Y51" s="3"/>
      <c r="Z51" s="3"/>
      <c r="AA51" s="3"/>
      <c r="AB51" s="3"/>
      <c r="AC51" s="3"/>
    </row>
    <row r="52" spans="1:29" ht="15.75" thickBot="1" x14ac:dyDescent="0.3">
      <c r="A52" s="14"/>
      <c r="B52" s="14" t="s">
        <v>216</v>
      </c>
      <c r="C52" s="14">
        <v>10</v>
      </c>
      <c r="D52" s="14" t="s">
        <v>190</v>
      </c>
      <c r="E52" s="14">
        <v>22</v>
      </c>
      <c r="F52" s="14"/>
      <c r="G52" s="14" t="s">
        <v>237</v>
      </c>
      <c r="H52" s="2">
        <v>1</v>
      </c>
      <c r="I52" s="2">
        <v>2</v>
      </c>
      <c r="J52" s="2">
        <v>1</v>
      </c>
      <c r="K52" s="2">
        <v>2</v>
      </c>
      <c r="L52" s="2">
        <v>3</v>
      </c>
      <c r="M52" s="2">
        <v>1</v>
      </c>
      <c r="N52" s="2">
        <v>5</v>
      </c>
      <c r="O52" s="2">
        <v>2</v>
      </c>
      <c r="P52" s="2">
        <v>4</v>
      </c>
      <c r="Q52" s="39">
        <f t="shared" si="0"/>
        <v>1.6666666666666667</v>
      </c>
      <c r="R52" s="39">
        <f t="shared" si="1"/>
        <v>3.6666666666666665</v>
      </c>
      <c r="S52" s="38">
        <f t="shared" si="2"/>
        <v>2.3333333333333335</v>
      </c>
      <c r="T52" s="3" t="s">
        <v>409</v>
      </c>
      <c r="U52" s="3" t="s">
        <v>410</v>
      </c>
      <c r="V52" s="3" t="s">
        <v>411</v>
      </c>
      <c r="W52" s="1" t="s">
        <v>412</v>
      </c>
      <c r="X52" s="3"/>
      <c r="Y52" s="3"/>
      <c r="Z52" s="3"/>
      <c r="AA52" s="3"/>
      <c r="AB52" s="3"/>
      <c r="AC52" s="3"/>
    </row>
    <row r="53" spans="1:29" ht="15.75" thickBot="1" x14ac:dyDescent="0.3">
      <c r="A53" s="20"/>
      <c r="B53" s="20" t="s">
        <v>216</v>
      </c>
      <c r="C53" s="20">
        <v>11</v>
      </c>
      <c r="D53" s="20" t="s">
        <v>190</v>
      </c>
      <c r="E53" s="20"/>
      <c r="F53" s="20"/>
      <c r="G53" s="20" t="s">
        <v>239</v>
      </c>
      <c r="H53" s="2">
        <v>2</v>
      </c>
      <c r="I53" s="2">
        <v>1</v>
      </c>
      <c r="J53" s="2">
        <v>4</v>
      </c>
      <c r="K53" s="2">
        <v>2</v>
      </c>
      <c r="L53" s="2">
        <v>1</v>
      </c>
      <c r="M53" s="2">
        <v>1</v>
      </c>
      <c r="N53" s="2">
        <v>1</v>
      </c>
      <c r="O53" s="2">
        <v>1</v>
      </c>
      <c r="P53" s="2">
        <v>2</v>
      </c>
      <c r="Q53" s="2">
        <f t="shared" si="0"/>
        <v>1.8333333333333333</v>
      </c>
      <c r="R53" s="2">
        <f t="shared" si="1"/>
        <v>1.3333333333333333</v>
      </c>
      <c r="S53" s="2"/>
      <c r="T53" s="3" t="s">
        <v>436</v>
      </c>
      <c r="U53" s="3" t="s">
        <v>437</v>
      </c>
      <c r="V53" s="3" t="s">
        <v>438</v>
      </c>
      <c r="W53" s="1" t="s">
        <v>439</v>
      </c>
      <c r="X53" s="3"/>
      <c r="Y53" s="3"/>
      <c r="Z53" s="3"/>
      <c r="AA53" s="3"/>
      <c r="AB53" s="3"/>
      <c r="AC53" s="3"/>
    </row>
    <row r="54" spans="1:29" ht="15.75" thickBot="1" x14ac:dyDescent="0.3">
      <c r="A54" s="20"/>
      <c r="B54" s="20" t="s">
        <v>216</v>
      </c>
      <c r="C54" s="20">
        <v>12</v>
      </c>
      <c r="D54" s="20" t="s">
        <v>190</v>
      </c>
      <c r="E54" s="20"/>
      <c r="F54" s="20"/>
      <c r="G54" s="20" t="s">
        <v>240</v>
      </c>
      <c r="H54" s="2">
        <v>1</v>
      </c>
      <c r="I54" s="2">
        <v>1</v>
      </c>
      <c r="J54" s="2">
        <v>1</v>
      </c>
      <c r="K54" s="2">
        <v>1</v>
      </c>
      <c r="L54" s="2">
        <v>2</v>
      </c>
      <c r="M54" s="2">
        <v>1</v>
      </c>
      <c r="N54" s="2">
        <v>1</v>
      </c>
      <c r="O54" s="2">
        <v>1</v>
      </c>
      <c r="P54" s="2">
        <v>1</v>
      </c>
      <c r="Q54" s="2">
        <f t="shared" si="0"/>
        <v>1.1666666666666667</v>
      </c>
      <c r="R54" s="2">
        <f t="shared" si="1"/>
        <v>1</v>
      </c>
      <c r="S54" s="2"/>
      <c r="T54" s="3" t="s">
        <v>440</v>
      </c>
      <c r="U54" s="3" t="s">
        <v>441</v>
      </c>
      <c r="V54" s="3" t="s">
        <v>5</v>
      </c>
      <c r="W54" s="1" t="s">
        <v>442</v>
      </c>
      <c r="X54" s="3"/>
      <c r="Y54" s="3"/>
      <c r="Z54" s="3"/>
      <c r="AA54" s="3"/>
      <c r="AB54" s="3"/>
      <c r="AC54" s="3"/>
    </row>
    <row r="55" spans="1:29" ht="15.75" thickBot="1" x14ac:dyDescent="0.3">
      <c r="A55" s="20"/>
      <c r="B55" s="20" t="s">
        <v>216</v>
      </c>
      <c r="C55" s="20">
        <v>13</v>
      </c>
      <c r="D55" s="20" t="s">
        <v>190</v>
      </c>
      <c r="E55" s="20"/>
      <c r="F55" s="20"/>
      <c r="G55" s="20" t="s">
        <v>241</v>
      </c>
      <c r="H55" s="2">
        <v>1</v>
      </c>
      <c r="I55" s="2">
        <v>2</v>
      </c>
      <c r="J55" s="2">
        <v>1</v>
      </c>
      <c r="K55" s="2">
        <v>3</v>
      </c>
      <c r="L55" s="2">
        <v>2</v>
      </c>
      <c r="M55" s="2">
        <v>1</v>
      </c>
      <c r="N55" s="2">
        <v>2</v>
      </c>
      <c r="O55" s="2">
        <v>2</v>
      </c>
      <c r="P55" s="2">
        <v>3</v>
      </c>
      <c r="Q55" s="2">
        <f t="shared" si="0"/>
        <v>1.6666666666666667</v>
      </c>
      <c r="R55" s="2">
        <f t="shared" si="1"/>
        <v>2.3333333333333335</v>
      </c>
      <c r="S55" s="2"/>
      <c r="T55" s="3" t="s">
        <v>443</v>
      </c>
      <c r="U55" s="3" t="s">
        <v>444</v>
      </c>
      <c r="V55" s="3" t="s">
        <v>445</v>
      </c>
      <c r="W55" s="3" t="s">
        <v>446</v>
      </c>
      <c r="X55" s="3"/>
      <c r="Y55" s="3"/>
      <c r="Z55" s="3"/>
      <c r="AA55" s="3"/>
      <c r="AB55" s="3"/>
      <c r="AC55" s="3"/>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
  <sheetViews>
    <sheetView tabSelected="1" workbookViewId="0">
      <selection activeCell="I2" sqref="I2"/>
    </sheetView>
  </sheetViews>
  <sheetFormatPr defaultRowHeight="15" x14ac:dyDescent="0.25"/>
  <cols>
    <col min="2" max="2" width="15.28515625" bestFit="1" customWidth="1"/>
    <col min="3" max="3" width="29.85546875" customWidth="1"/>
    <col min="4" max="4" width="30.42578125" customWidth="1"/>
    <col min="5" max="5" width="37.85546875" customWidth="1"/>
    <col min="6" max="6" width="41.42578125" customWidth="1"/>
  </cols>
  <sheetData>
    <row r="1" spans="1:6" ht="45.75" thickBot="1" x14ac:dyDescent="0.3">
      <c r="C1" s="26" t="s">
        <v>258</v>
      </c>
      <c r="D1" s="26" t="s">
        <v>259</v>
      </c>
      <c r="E1" s="29" t="s">
        <v>260</v>
      </c>
      <c r="F1" s="26" t="s">
        <v>261</v>
      </c>
    </row>
    <row r="2" spans="1:6" ht="165" x14ac:dyDescent="0.25">
      <c r="A2" t="s">
        <v>468</v>
      </c>
      <c r="B2" t="s">
        <v>302</v>
      </c>
      <c r="C2" s="27" t="s">
        <v>507</v>
      </c>
      <c r="D2" s="27" t="s">
        <v>508</v>
      </c>
      <c r="E2" s="40" t="s">
        <v>509</v>
      </c>
      <c r="F2" s="29" t="s">
        <v>510</v>
      </c>
    </row>
    <row r="3" spans="1:6" ht="210" x14ac:dyDescent="0.25">
      <c r="B3" t="s">
        <v>216</v>
      </c>
      <c r="C3" s="27" t="s">
        <v>511</v>
      </c>
      <c r="D3" s="29" t="s">
        <v>512</v>
      </c>
      <c r="E3" s="29" t="s">
        <v>513</v>
      </c>
      <c r="F3" s="29" t="s">
        <v>514</v>
      </c>
    </row>
    <row r="4" spans="1:6" ht="105" x14ac:dyDescent="0.25">
      <c r="A4" t="s">
        <v>201</v>
      </c>
      <c r="B4" t="s">
        <v>302</v>
      </c>
      <c r="C4" s="27" t="s">
        <v>515</v>
      </c>
      <c r="D4" s="40" t="s">
        <v>516</v>
      </c>
      <c r="E4" s="29" t="s">
        <v>517</v>
      </c>
      <c r="F4" s="29" t="s">
        <v>518</v>
      </c>
    </row>
    <row r="5" spans="1:6" ht="90" x14ac:dyDescent="0.25">
      <c r="B5" t="s">
        <v>216</v>
      </c>
      <c r="C5" s="44" t="s">
        <v>519</v>
      </c>
      <c r="D5" s="40" t="s">
        <v>520</v>
      </c>
      <c r="E5" s="45" t="s">
        <v>521</v>
      </c>
      <c r="F5" s="45" t="s">
        <v>522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14"/>
  <sheetViews>
    <sheetView workbookViewId="0">
      <selection activeCell="G14" sqref="A1:G14"/>
    </sheetView>
  </sheetViews>
  <sheetFormatPr defaultRowHeight="15" x14ac:dyDescent="0.25"/>
  <sheetData>
    <row r="3" spans="1:7" ht="15.75" thickBot="1" x14ac:dyDescent="0.3"/>
    <row r="4" spans="1:7" x14ac:dyDescent="0.25">
      <c r="A4" s="37"/>
      <c r="B4" s="37"/>
      <c r="C4" s="37"/>
      <c r="D4" s="37"/>
      <c r="E4" s="37"/>
    </row>
    <row r="5" spans="1:7" x14ac:dyDescent="0.25">
      <c r="A5" s="35"/>
      <c r="B5" s="35"/>
      <c r="C5" s="35"/>
      <c r="D5" s="35"/>
      <c r="E5" s="35"/>
    </row>
    <row r="6" spans="1:7" ht="15.75" thickBot="1" x14ac:dyDescent="0.3">
      <c r="A6" s="36"/>
      <c r="B6" s="36"/>
      <c r="C6" s="36"/>
      <c r="D6" s="36"/>
      <c r="E6" s="36"/>
    </row>
    <row r="9" spans="1:7" ht="15.75" thickBot="1" x14ac:dyDescent="0.3"/>
    <row r="10" spans="1:7" x14ac:dyDescent="0.25">
      <c r="A10" s="37"/>
      <c r="B10" s="37"/>
      <c r="C10" s="37"/>
      <c r="D10" s="37"/>
      <c r="E10" s="37"/>
      <c r="F10" s="37"/>
      <c r="G10" s="37"/>
    </row>
    <row r="11" spans="1:7" x14ac:dyDescent="0.25">
      <c r="A11" s="35"/>
      <c r="B11" s="35"/>
      <c r="C11" s="35"/>
      <c r="D11" s="35"/>
      <c r="E11" s="35"/>
      <c r="F11" s="35"/>
      <c r="G11" s="35"/>
    </row>
    <row r="12" spans="1:7" x14ac:dyDescent="0.25">
      <c r="A12" s="35"/>
      <c r="B12" s="35"/>
      <c r="C12" s="35"/>
      <c r="D12" s="35"/>
      <c r="E12" s="35"/>
      <c r="F12" s="35"/>
      <c r="G12" s="35"/>
    </row>
    <row r="13" spans="1:7" x14ac:dyDescent="0.25">
      <c r="A13" s="35"/>
      <c r="B13" s="35"/>
      <c r="C13" s="35"/>
      <c r="D13" s="35"/>
      <c r="E13" s="35"/>
      <c r="F13" s="35"/>
      <c r="G13" s="35"/>
    </row>
    <row r="14" spans="1:7" ht="15.75" thickBot="1" x14ac:dyDescent="0.3">
      <c r="A14" s="36"/>
      <c r="B14" s="36"/>
      <c r="C14" s="36"/>
      <c r="D14" s="36"/>
      <c r="E14" s="36"/>
      <c r="F14" s="36"/>
      <c r="G14" s="36"/>
    </row>
  </sheetData>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
  <sheetViews>
    <sheetView workbookViewId="0">
      <selection sqref="A1:G14"/>
    </sheetView>
  </sheetViews>
  <sheetFormatPr defaultRowHeight="15" x14ac:dyDescent="0.25"/>
  <sheetData>
    <row r="1" spans="1:7" x14ac:dyDescent="0.25">
      <c r="A1" t="s">
        <v>533</v>
      </c>
    </row>
    <row r="3" spans="1:7" ht="15.75" thickBot="1" x14ac:dyDescent="0.3">
      <c r="A3" t="s">
        <v>534</v>
      </c>
    </row>
    <row r="4" spans="1:7" x14ac:dyDescent="0.25">
      <c r="A4" s="37" t="s">
        <v>535</v>
      </c>
      <c r="B4" s="37" t="s">
        <v>536</v>
      </c>
      <c r="C4" s="37" t="s">
        <v>537</v>
      </c>
      <c r="D4" s="37" t="s">
        <v>538</v>
      </c>
      <c r="E4" s="37" t="s">
        <v>539</v>
      </c>
    </row>
    <row r="5" spans="1:7" x14ac:dyDescent="0.25">
      <c r="A5" s="35" t="s">
        <v>540</v>
      </c>
      <c r="B5" s="35">
        <v>22</v>
      </c>
      <c r="C5" s="35">
        <v>48.000000000000007</v>
      </c>
      <c r="D5" s="35">
        <v>2.1818181818181821</v>
      </c>
      <c r="E5" s="35">
        <v>1.5209235209235201</v>
      </c>
    </row>
    <row r="6" spans="1:7" ht="15.75" thickBot="1" x14ac:dyDescent="0.3">
      <c r="A6" s="36" t="s">
        <v>541</v>
      </c>
      <c r="B6" s="36">
        <v>20</v>
      </c>
      <c r="C6" s="36">
        <v>34.666666666666671</v>
      </c>
      <c r="D6" s="36">
        <v>1.7333333333333336</v>
      </c>
      <c r="E6" s="36">
        <v>0.4280701754385961</v>
      </c>
    </row>
    <row r="9" spans="1:7" ht="15.75" thickBot="1" x14ac:dyDescent="0.3">
      <c r="A9" t="s">
        <v>532</v>
      </c>
    </row>
    <row r="10" spans="1:7" x14ac:dyDescent="0.25">
      <c r="A10" s="37" t="s">
        <v>542</v>
      </c>
      <c r="B10" s="37" t="s">
        <v>543</v>
      </c>
      <c r="C10" s="37" t="s">
        <v>544</v>
      </c>
      <c r="D10" s="37" t="s">
        <v>545</v>
      </c>
      <c r="E10" s="37" t="s">
        <v>194</v>
      </c>
      <c r="F10" s="37" t="s">
        <v>546</v>
      </c>
      <c r="G10" s="37" t="s">
        <v>547</v>
      </c>
    </row>
    <row r="11" spans="1:7" x14ac:dyDescent="0.25">
      <c r="A11" s="35" t="s">
        <v>548</v>
      </c>
      <c r="B11" s="35">
        <v>2.1071669071668921</v>
      </c>
      <c r="C11" s="35">
        <v>1</v>
      </c>
      <c r="D11" s="35">
        <v>2.1071669071668921</v>
      </c>
      <c r="E11" s="35">
        <v>2.1033426478072434</v>
      </c>
      <c r="F11" s="35">
        <v>0.15477426428059496</v>
      </c>
      <c r="G11" s="35">
        <v>4.0847457333016566</v>
      </c>
    </row>
    <row r="12" spans="1:7" x14ac:dyDescent="0.25">
      <c r="A12" s="35" t="s">
        <v>549</v>
      </c>
      <c r="B12" s="35">
        <v>40.072727272727263</v>
      </c>
      <c r="C12" s="35">
        <v>40</v>
      </c>
      <c r="D12" s="35">
        <v>1.0018181818181815</v>
      </c>
      <c r="E12" s="35"/>
      <c r="F12" s="35"/>
      <c r="G12" s="35"/>
    </row>
    <row r="13" spans="1:7" x14ac:dyDescent="0.25">
      <c r="A13" s="35"/>
      <c r="B13" s="35"/>
      <c r="C13" s="35"/>
      <c r="D13" s="35"/>
      <c r="E13" s="35"/>
      <c r="F13" s="35"/>
      <c r="G13" s="35"/>
    </row>
    <row r="14" spans="1:7" ht="15.75" thickBot="1" x14ac:dyDescent="0.3">
      <c r="A14" s="36" t="s">
        <v>170</v>
      </c>
      <c r="B14" s="36">
        <v>42.179894179894156</v>
      </c>
      <c r="C14" s="36">
        <v>41</v>
      </c>
      <c r="D14" s="36"/>
      <c r="E14" s="36"/>
      <c r="F14" s="36"/>
      <c r="G14" s="3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3"/>
  <sheetViews>
    <sheetView workbookViewId="0">
      <selection sqref="A1:C13"/>
    </sheetView>
  </sheetViews>
  <sheetFormatPr defaultRowHeight="15" x14ac:dyDescent="0.25"/>
  <cols>
    <col min="1" max="1" width="45.140625" bestFit="1" customWidth="1"/>
  </cols>
  <sheetData>
    <row r="1" spans="1:3" x14ac:dyDescent="0.25">
      <c r="A1" t="s">
        <v>550</v>
      </c>
    </row>
    <row r="2" spans="1:3" ht="15.75" thickBot="1" x14ac:dyDescent="0.3"/>
    <row r="3" spans="1:3" x14ac:dyDescent="0.25">
      <c r="A3" s="37"/>
      <c r="B3" s="37" t="s">
        <v>551</v>
      </c>
      <c r="C3" s="37" t="s">
        <v>552</v>
      </c>
    </row>
    <row r="4" spans="1:3" x14ac:dyDescent="0.25">
      <c r="A4" s="35" t="s">
        <v>553</v>
      </c>
      <c r="B4" s="35">
        <v>2.1818181818181821</v>
      </c>
      <c r="C4" s="35">
        <v>1.7333333333333336</v>
      </c>
    </row>
    <row r="5" spans="1:3" x14ac:dyDescent="0.25">
      <c r="A5" s="35" t="s">
        <v>539</v>
      </c>
      <c r="B5" s="35">
        <v>1.5209235209235201</v>
      </c>
      <c r="C5" s="35">
        <v>0.4280701754385961</v>
      </c>
    </row>
    <row r="6" spans="1:3" x14ac:dyDescent="0.25">
      <c r="A6" s="35" t="s">
        <v>554</v>
      </c>
      <c r="B6" s="35">
        <v>22</v>
      </c>
      <c r="C6" s="35">
        <v>20</v>
      </c>
    </row>
    <row r="7" spans="1:3" x14ac:dyDescent="0.25">
      <c r="A7" s="35" t="s">
        <v>555</v>
      </c>
      <c r="B7" s="35">
        <v>0</v>
      </c>
      <c r="C7" s="35"/>
    </row>
    <row r="8" spans="1:3" x14ac:dyDescent="0.25">
      <c r="A8" s="35" t="s">
        <v>544</v>
      </c>
      <c r="B8" s="35">
        <v>33</v>
      </c>
      <c r="C8" s="35"/>
    </row>
    <row r="9" spans="1:3" x14ac:dyDescent="0.25">
      <c r="A9" s="35" t="s">
        <v>556</v>
      </c>
      <c r="B9" s="35">
        <v>1.4905143929006457</v>
      </c>
      <c r="C9" s="35"/>
    </row>
    <row r="10" spans="1:3" x14ac:dyDescent="0.25">
      <c r="A10" s="35" t="s">
        <v>557</v>
      </c>
      <c r="B10" s="35">
        <v>7.2793173615623236E-2</v>
      </c>
      <c r="C10" s="35"/>
    </row>
    <row r="11" spans="1:3" x14ac:dyDescent="0.25">
      <c r="A11" s="35" t="s">
        <v>558</v>
      </c>
      <c r="B11" s="35">
        <v>1.6923603090303456</v>
      </c>
      <c r="C11" s="35"/>
    </row>
    <row r="12" spans="1:3" x14ac:dyDescent="0.25">
      <c r="A12" s="35" t="s">
        <v>559</v>
      </c>
      <c r="B12" s="35">
        <v>0.14558634723124647</v>
      </c>
      <c r="C12" s="35"/>
    </row>
    <row r="13" spans="1:3" ht="15.75" thickBot="1" x14ac:dyDescent="0.3">
      <c r="A13" s="36" t="s">
        <v>560</v>
      </c>
      <c r="B13" s="36">
        <v>2.0345152974493397</v>
      </c>
      <c r="C13" s="3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52"/>
  <sheetViews>
    <sheetView topLeftCell="D1" zoomScale="96" zoomScaleNormal="96" workbookViewId="0">
      <selection activeCell="D33" sqref="A33:XFD33"/>
    </sheetView>
  </sheetViews>
  <sheetFormatPr defaultRowHeight="15" x14ac:dyDescent="0.25"/>
  <cols>
    <col min="1" max="1" width="18.140625" bestFit="1" customWidth="1"/>
    <col min="2" max="2" width="14.85546875" bestFit="1" customWidth="1"/>
    <col min="3" max="3" width="8.5703125" customWidth="1"/>
    <col min="4" max="4" width="11.28515625" bestFit="1" customWidth="1"/>
    <col min="5" max="5" width="16.28515625" bestFit="1" customWidth="1"/>
    <col min="6" max="6" width="25.7109375" customWidth="1"/>
    <col min="7" max="7" width="14.7109375" customWidth="1"/>
    <col min="8" max="8" width="39.140625" customWidth="1"/>
    <col min="9" max="9" width="14.140625" customWidth="1"/>
    <col min="10" max="10" width="17.28515625" customWidth="1"/>
    <col min="11" max="11" width="60.140625" hidden="1" customWidth="1"/>
    <col min="12" max="12" width="31.42578125" hidden="1" customWidth="1"/>
    <col min="13" max="13" width="20.140625" hidden="1" customWidth="1"/>
    <col min="14" max="14" width="21" hidden="1" customWidth="1"/>
    <col min="15" max="15" width="27.7109375" customWidth="1"/>
    <col min="16" max="16" width="18" customWidth="1"/>
  </cols>
  <sheetData>
    <row r="1" spans="1:25" ht="90" thickBot="1" x14ac:dyDescent="0.3">
      <c r="A1" s="5" t="s">
        <v>136</v>
      </c>
      <c r="B1" s="5" t="s">
        <v>137</v>
      </c>
      <c r="C1" s="5" t="s">
        <v>138</v>
      </c>
      <c r="D1" s="5" t="s">
        <v>139</v>
      </c>
      <c r="E1" s="5" t="s">
        <v>140</v>
      </c>
      <c r="F1" s="6" t="s">
        <v>141</v>
      </c>
      <c r="G1" s="6" t="s">
        <v>142</v>
      </c>
      <c r="H1" s="6" t="s">
        <v>143</v>
      </c>
      <c r="I1" s="6" t="s">
        <v>144</v>
      </c>
      <c r="J1" s="6" t="s">
        <v>145</v>
      </c>
      <c r="K1" s="6" t="s">
        <v>146</v>
      </c>
      <c r="L1" s="6" t="s">
        <v>147</v>
      </c>
      <c r="M1" s="6" t="s">
        <v>148</v>
      </c>
      <c r="N1" s="6" t="s">
        <v>149</v>
      </c>
      <c r="O1" s="58" t="s">
        <v>160</v>
      </c>
      <c r="P1" s="6" t="s">
        <v>151</v>
      </c>
      <c r="Q1" s="7"/>
      <c r="R1" s="7"/>
      <c r="S1" s="7"/>
      <c r="T1" s="7"/>
      <c r="U1" s="7"/>
      <c r="V1" s="8"/>
      <c r="W1" s="8"/>
      <c r="X1" s="8"/>
      <c r="Y1" s="8"/>
    </row>
    <row r="2" spans="1:25" s="10" customFormat="1" ht="15.75" thickBot="1" x14ac:dyDescent="0.25">
      <c r="A2" s="11">
        <v>43992.414907407408</v>
      </c>
      <c r="B2" s="9" t="s">
        <v>1</v>
      </c>
      <c r="C2" s="9">
        <v>27</v>
      </c>
      <c r="D2" s="9">
        <v>170</v>
      </c>
      <c r="E2" s="9" t="s">
        <v>7</v>
      </c>
      <c r="F2" s="9" t="s">
        <v>3</v>
      </c>
      <c r="G2" s="9">
        <v>4</v>
      </c>
      <c r="H2" s="9" t="s">
        <v>55</v>
      </c>
      <c r="I2" s="9" t="s">
        <v>3</v>
      </c>
      <c r="J2" s="9">
        <v>5</v>
      </c>
      <c r="K2" s="9" t="s">
        <v>56</v>
      </c>
      <c r="L2" s="9" t="s">
        <v>10</v>
      </c>
      <c r="M2" s="9" t="s">
        <v>57</v>
      </c>
      <c r="N2" s="9" t="s">
        <v>46</v>
      </c>
      <c r="O2" s="9" t="s">
        <v>602</v>
      </c>
      <c r="P2" s="9" t="s">
        <v>5</v>
      </c>
      <c r="S2" s="53" t="s">
        <v>568</v>
      </c>
    </row>
    <row r="3" spans="1:25" s="10" customFormat="1" ht="15.75" thickBot="1" x14ac:dyDescent="0.25">
      <c r="A3" s="11">
        <v>43871.468946759262</v>
      </c>
      <c r="B3" s="9" t="s">
        <v>1</v>
      </c>
      <c r="C3" s="9">
        <v>24</v>
      </c>
      <c r="D3" s="9">
        <v>179</v>
      </c>
      <c r="E3" s="9" t="s">
        <v>25</v>
      </c>
      <c r="F3" s="9" t="s">
        <v>5</v>
      </c>
      <c r="G3" s="9"/>
      <c r="H3" s="9"/>
      <c r="I3" s="9" t="s">
        <v>5</v>
      </c>
      <c r="J3" s="9">
        <v>0</v>
      </c>
      <c r="K3" s="9"/>
      <c r="L3" s="9" t="s">
        <v>10</v>
      </c>
      <c r="M3" s="9" t="s">
        <v>26</v>
      </c>
      <c r="N3" s="9" t="s">
        <v>21</v>
      </c>
      <c r="O3" s="59" t="s">
        <v>603</v>
      </c>
      <c r="P3" s="9" t="s">
        <v>5</v>
      </c>
      <c r="S3" s="53" t="s">
        <v>569</v>
      </c>
    </row>
    <row r="4" spans="1:25" s="10" customFormat="1" ht="15.75" thickBot="1" x14ac:dyDescent="0.25">
      <c r="A4" s="11">
        <v>43840.451273148145</v>
      </c>
      <c r="B4" s="9" t="s">
        <v>1</v>
      </c>
      <c r="C4" s="9">
        <v>25</v>
      </c>
      <c r="D4" s="9">
        <v>180</v>
      </c>
      <c r="E4" s="9" t="s">
        <v>12</v>
      </c>
      <c r="F4" s="9" t="s">
        <v>3</v>
      </c>
      <c r="G4" s="9">
        <v>0.1</v>
      </c>
      <c r="H4" s="9" t="s">
        <v>13</v>
      </c>
      <c r="I4" s="9" t="s">
        <v>3</v>
      </c>
      <c r="J4" s="9">
        <v>0.5</v>
      </c>
      <c r="K4" s="9" t="s">
        <v>14</v>
      </c>
      <c r="L4" s="9" t="s">
        <v>15</v>
      </c>
      <c r="M4" s="9" t="s">
        <v>16</v>
      </c>
      <c r="N4" s="9" t="s">
        <v>17</v>
      </c>
      <c r="O4" s="9" t="s">
        <v>604</v>
      </c>
      <c r="P4" s="9" t="s">
        <v>5</v>
      </c>
      <c r="S4" s="53" t="s">
        <v>570</v>
      </c>
    </row>
    <row r="5" spans="1:25" s="10" customFormat="1" ht="15.75" thickBot="1" x14ac:dyDescent="0.25">
      <c r="A5" s="11">
        <v>43871.483749999999</v>
      </c>
      <c r="B5" s="9" t="s">
        <v>27</v>
      </c>
      <c r="C5" s="9">
        <v>22</v>
      </c>
      <c r="D5" s="9">
        <v>179</v>
      </c>
      <c r="E5" s="9" t="s">
        <v>12</v>
      </c>
      <c r="F5" s="9" t="s">
        <v>3</v>
      </c>
      <c r="G5" s="9">
        <v>30</v>
      </c>
      <c r="H5" s="9" t="s">
        <v>28</v>
      </c>
      <c r="I5" s="9" t="s">
        <v>3</v>
      </c>
      <c r="J5" s="9">
        <v>3</v>
      </c>
      <c r="K5" s="9" t="s">
        <v>29</v>
      </c>
      <c r="L5" s="9" t="s">
        <v>10</v>
      </c>
      <c r="M5" s="9" t="s">
        <v>30</v>
      </c>
      <c r="N5" s="9" t="s">
        <v>21</v>
      </c>
      <c r="O5" s="9" t="s">
        <v>605</v>
      </c>
      <c r="P5" s="9" t="s">
        <v>5</v>
      </c>
      <c r="S5" s="53" t="s">
        <v>571</v>
      </c>
    </row>
    <row r="6" spans="1:25" s="10" customFormat="1" ht="15.75" thickBot="1" x14ac:dyDescent="0.25">
      <c r="A6" s="11">
        <v>43871.579259259262</v>
      </c>
      <c r="B6" s="9" t="s">
        <v>1</v>
      </c>
      <c r="C6" s="9">
        <v>22</v>
      </c>
      <c r="D6" s="9">
        <v>175</v>
      </c>
      <c r="E6" s="9" t="s">
        <v>12</v>
      </c>
      <c r="F6" s="9" t="s">
        <v>3</v>
      </c>
      <c r="G6" s="9">
        <v>5</v>
      </c>
      <c r="H6" s="9" t="s">
        <v>34</v>
      </c>
      <c r="I6" s="9" t="s">
        <v>3</v>
      </c>
      <c r="J6" s="9">
        <v>2</v>
      </c>
      <c r="K6" s="9" t="s">
        <v>35</v>
      </c>
      <c r="L6" s="9" t="s">
        <v>10</v>
      </c>
      <c r="M6" s="9" t="s">
        <v>32</v>
      </c>
      <c r="N6" s="9" t="s">
        <v>21</v>
      </c>
      <c r="O6" s="9" t="s">
        <v>606</v>
      </c>
      <c r="P6" s="9" t="s">
        <v>5</v>
      </c>
      <c r="S6" s="53" t="s">
        <v>572</v>
      </c>
    </row>
    <row r="7" spans="1:25" s="10" customFormat="1" ht="15.75" thickBot="1" x14ac:dyDescent="0.25">
      <c r="A7" s="11">
        <v>43871.646226851852</v>
      </c>
      <c r="B7" s="9" t="s">
        <v>6</v>
      </c>
      <c r="C7" s="9">
        <v>26</v>
      </c>
      <c r="D7" s="9">
        <v>171</v>
      </c>
      <c r="E7" s="9" t="s">
        <v>38</v>
      </c>
      <c r="F7" s="9" t="s">
        <v>5</v>
      </c>
      <c r="G7" s="9">
        <v>0</v>
      </c>
      <c r="H7" s="9"/>
      <c r="I7" s="9" t="s">
        <v>3</v>
      </c>
      <c r="J7" s="9">
        <v>20</v>
      </c>
      <c r="K7" s="9" t="s">
        <v>39</v>
      </c>
      <c r="L7" s="9" t="s">
        <v>40</v>
      </c>
      <c r="M7" s="9" t="s">
        <v>32</v>
      </c>
      <c r="N7" s="9" t="s">
        <v>17</v>
      </c>
      <c r="O7" s="9" t="s">
        <v>607</v>
      </c>
      <c r="P7" s="9" t="s">
        <v>5</v>
      </c>
      <c r="S7" s="53" t="s">
        <v>573</v>
      </c>
    </row>
    <row r="8" spans="1:25" s="10" customFormat="1" ht="15.75" thickBot="1" x14ac:dyDescent="0.25">
      <c r="A8" s="11">
        <v>43992.375821759262</v>
      </c>
      <c r="B8" s="9" t="s">
        <v>1</v>
      </c>
      <c r="C8" s="9">
        <v>26</v>
      </c>
      <c r="D8" s="9">
        <v>178</v>
      </c>
      <c r="E8" s="9" t="s">
        <v>51</v>
      </c>
      <c r="F8" s="9" t="s">
        <v>3</v>
      </c>
      <c r="G8" s="9">
        <v>15</v>
      </c>
      <c r="H8" s="9" t="s">
        <v>52</v>
      </c>
      <c r="I8" s="9" t="s">
        <v>3</v>
      </c>
      <c r="J8" s="9">
        <v>2</v>
      </c>
      <c r="K8" s="9" t="s">
        <v>53</v>
      </c>
      <c r="L8" s="9" t="s">
        <v>40</v>
      </c>
      <c r="M8" s="9" t="s">
        <v>54</v>
      </c>
      <c r="N8" s="9" t="s">
        <v>21</v>
      </c>
      <c r="O8" s="9" t="s">
        <v>608</v>
      </c>
      <c r="P8" s="9" t="s">
        <v>5</v>
      </c>
      <c r="S8" s="53" t="s">
        <v>574</v>
      </c>
    </row>
    <row r="9" spans="1:25" s="10" customFormat="1" ht="15.75" thickBot="1" x14ac:dyDescent="0.25">
      <c r="A9" s="9" t="s">
        <v>74</v>
      </c>
      <c r="B9" s="9" t="s">
        <v>1</v>
      </c>
      <c r="C9" s="9">
        <v>34</v>
      </c>
      <c r="D9" s="9">
        <v>180</v>
      </c>
      <c r="E9" s="9" t="s">
        <v>7</v>
      </c>
      <c r="F9" s="9" t="s">
        <v>3</v>
      </c>
      <c r="G9" s="9">
        <v>50</v>
      </c>
      <c r="H9" s="9" t="s">
        <v>75</v>
      </c>
      <c r="I9" s="9" t="s">
        <v>5</v>
      </c>
      <c r="J9" s="9">
        <v>0</v>
      </c>
      <c r="K9" s="9" t="s">
        <v>76</v>
      </c>
      <c r="L9" s="9"/>
      <c r="M9" s="9" t="s">
        <v>77</v>
      </c>
      <c r="N9" s="9" t="s">
        <v>78</v>
      </c>
      <c r="O9" s="9" t="s">
        <v>609</v>
      </c>
      <c r="P9" s="9" t="s">
        <v>5</v>
      </c>
      <c r="S9" s="53" t="s">
        <v>575</v>
      </c>
    </row>
    <row r="10" spans="1:25" s="10" customFormat="1" ht="15.75" thickBot="1" x14ac:dyDescent="0.25">
      <c r="A10" s="9" t="s">
        <v>87</v>
      </c>
      <c r="B10" s="9" t="s">
        <v>1</v>
      </c>
      <c r="C10" s="9">
        <v>22</v>
      </c>
      <c r="D10" s="9">
        <v>170</v>
      </c>
      <c r="E10" s="9" t="s">
        <v>88</v>
      </c>
      <c r="F10" s="9" t="s">
        <v>3</v>
      </c>
      <c r="G10" s="9">
        <v>10</v>
      </c>
      <c r="H10" s="9" t="s">
        <v>89</v>
      </c>
      <c r="I10" s="9" t="s">
        <v>5</v>
      </c>
      <c r="J10" s="9">
        <v>0</v>
      </c>
      <c r="K10" s="9"/>
      <c r="L10" s="9"/>
      <c r="M10" s="9"/>
      <c r="N10" s="9" t="s">
        <v>90</v>
      </c>
      <c r="O10" s="9" t="s">
        <v>610</v>
      </c>
      <c r="P10" s="9" t="s">
        <v>5</v>
      </c>
      <c r="S10" s="53" t="s">
        <v>576</v>
      </c>
    </row>
    <row r="11" spans="1:25" s="10" customFormat="1" ht="15.75" thickBot="1" x14ac:dyDescent="0.25">
      <c r="A11" s="11">
        <v>43993.44122685185</v>
      </c>
      <c r="B11" s="9" t="s">
        <v>1</v>
      </c>
      <c r="C11" s="9">
        <v>23</v>
      </c>
      <c r="D11" s="9">
        <v>185</v>
      </c>
      <c r="E11" s="9" t="s">
        <v>98</v>
      </c>
      <c r="F11" s="9" t="s">
        <v>3</v>
      </c>
      <c r="G11" s="9">
        <v>5</v>
      </c>
      <c r="H11" s="9" t="s">
        <v>115</v>
      </c>
      <c r="I11" s="9" t="s">
        <v>3</v>
      </c>
      <c r="J11" s="9">
        <v>2</v>
      </c>
      <c r="K11" s="9" t="s">
        <v>116</v>
      </c>
      <c r="L11" s="9" t="s">
        <v>10</v>
      </c>
      <c r="M11" s="9" t="s">
        <v>117</v>
      </c>
      <c r="N11" s="9" t="s">
        <v>21</v>
      </c>
      <c r="O11" s="9" t="s">
        <v>611</v>
      </c>
      <c r="P11" s="9" t="s">
        <v>5</v>
      </c>
      <c r="S11" s="53" t="s">
        <v>577</v>
      </c>
    </row>
    <row r="12" spans="1:25" s="10" customFormat="1" ht="15.75" thickBot="1" x14ac:dyDescent="0.25">
      <c r="A12" s="9" t="s">
        <v>82</v>
      </c>
      <c r="B12" s="9" t="s">
        <v>6</v>
      </c>
      <c r="C12" s="9">
        <v>22</v>
      </c>
      <c r="D12" s="9">
        <v>158</v>
      </c>
      <c r="E12" s="9" t="s">
        <v>83</v>
      </c>
      <c r="F12" s="9" t="s">
        <v>3</v>
      </c>
      <c r="G12" s="9">
        <v>2</v>
      </c>
      <c r="H12" s="9" t="s">
        <v>84</v>
      </c>
      <c r="I12" s="9" t="s">
        <v>5</v>
      </c>
      <c r="J12" s="9">
        <v>0</v>
      </c>
      <c r="K12" s="9"/>
      <c r="L12" s="9"/>
      <c r="M12" s="9"/>
      <c r="N12" s="9" t="s">
        <v>21</v>
      </c>
      <c r="O12" s="9" t="s">
        <v>612</v>
      </c>
      <c r="P12" s="9" t="s">
        <v>5</v>
      </c>
      <c r="S12" s="56" t="s">
        <v>578</v>
      </c>
    </row>
    <row r="13" spans="1:25" s="10" customFormat="1" ht="15.75" thickBot="1" x14ac:dyDescent="0.25">
      <c r="A13" s="11">
        <v>43871.744988425926</v>
      </c>
      <c r="B13" s="9" t="s">
        <v>1</v>
      </c>
      <c r="C13" s="9">
        <v>28</v>
      </c>
      <c r="D13" s="9">
        <v>175</v>
      </c>
      <c r="E13" s="9" t="s">
        <v>41</v>
      </c>
      <c r="F13" s="9" t="s">
        <v>5</v>
      </c>
      <c r="G13" s="9"/>
      <c r="H13" s="9" t="s">
        <v>42</v>
      </c>
      <c r="I13" s="9" t="s">
        <v>5</v>
      </c>
      <c r="J13" s="9">
        <v>0</v>
      </c>
      <c r="K13" s="9"/>
      <c r="L13" s="9"/>
      <c r="M13" s="9"/>
      <c r="N13" s="9" t="s">
        <v>43</v>
      </c>
      <c r="O13" s="9" t="s">
        <v>613</v>
      </c>
      <c r="P13" s="9" t="s">
        <v>5</v>
      </c>
      <c r="S13" s="56" t="s">
        <v>579</v>
      </c>
    </row>
    <row r="14" spans="1:25" s="10" customFormat="1" ht="15.75" thickBot="1" x14ac:dyDescent="0.25">
      <c r="A14" s="11">
        <v>43992.561273148145</v>
      </c>
      <c r="B14" s="9" t="s">
        <v>6</v>
      </c>
      <c r="C14" s="9">
        <v>51</v>
      </c>
      <c r="D14" s="9">
        <v>162</v>
      </c>
      <c r="E14" s="9" t="s">
        <v>7</v>
      </c>
      <c r="F14" s="9" t="s">
        <v>5</v>
      </c>
      <c r="G14" s="9"/>
      <c r="H14" s="9"/>
      <c r="I14" s="9" t="s">
        <v>5</v>
      </c>
      <c r="J14" s="9">
        <v>0</v>
      </c>
      <c r="K14" s="9"/>
      <c r="L14" s="9"/>
      <c r="M14" s="9"/>
      <c r="N14" s="9" t="s">
        <v>58</v>
      </c>
      <c r="O14" s="9" t="s">
        <v>614</v>
      </c>
      <c r="P14" s="9" t="s">
        <v>5</v>
      </c>
      <c r="S14" s="56" t="s">
        <v>580</v>
      </c>
    </row>
    <row r="15" spans="1:25" s="10" customFormat="1" ht="15.75" thickBot="1" x14ac:dyDescent="0.25">
      <c r="A15" s="11">
        <v>43962.489756944444</v>
      </c>
      <c r="B15" s="9" t="s">
        <v>1</v>
      </c>
      <c r="C15" s="9">
        <v>24</v>
      </c>
      <c r="D15" s="9">
        <v>174</v>
      </c>
      <c r="E15" s="9" t="s">
        <v>108</v>
      </c>
      <c r="F15" s="9" t="s">
        <v>3</v>
      </c>
      <c r="G15" s="9">
        <v>2</v>
      </c>
      <c r="H15" s="9" t="s">
        <v>109</v>
      </c>
      <c r="I15" s="9" t="s">
        <v>5</v>
      </c>
      <c r="J15" s="9">
        <v>0</v>
      </c>
      <c r="K15" s="9"/>
      <c r="L15" s="9"/>
      <c r="M15" s="9"/>
      <c r="N15" s="9" t="s">
        <v>21</v>
      </c>
      <c r="O15" s="9" t="s">
        <v>615</v>
      </c>
      <c r="P15" s="9" t="s">
        <v>26</v>
      </c>
      <c r="S15" s="56" t="s">
        <v>581</v>
      </c>
    </row>
    <row r="16" spans="1:25" s="10" customFormat="1" ht="15.75" thickBot="1" x14ac:dyDescent="0.25">
      <c r="A16" s="11">
        <v>43962.681932870371</v>
      </c>
      <c r="B16" s="9" t="s">
        <v>6</v>
      </c>
      <c r="C16" s="9">
        <v>28</v>
      </c>
      <c r="D16" s="9">
        <v>174</v>
      </c>
      <c r="E16" s="9" t="s">
        <v>33</v>
      </c>
      <c r="F16" s="9" t="s">
        <v>3</v>
      </c>
      <c r="G16" s="9">
        <v>2</v>
      </c>
      <c r="H16" s="9" t="s">
        <v>114</v>
      </c>
      <c r="I16" s="9" t="s">
        <v>5</v>
      </c>
      <c r="J16" s="9">
        <v>0</v>
      </c>
      <c r="K16" s="9"/>
      <c r="L16" s="9"/>
      <c r="M16" s="9"/>
      <c r="N16" s="9" t="s">
        <v>105</v>
      </c>
      <c r="O16" s="9" t="s">
        <v>616</v>
      </c>
      <c r="P16" s="9" t="s">
        <v>5</v>
      </c>
      <c r="S16" s="56" t="s">
        <v>582</v>
      </c>
    </row>
    <row r="17" spans="1:20" s="10" customFormat="1" ht="15.75" thickBot="1" x14ac:dyDescent="0.25">
      <c r="A17" s="9" t="s">
        <v>99</v>
      </c>
      <c r="B17" s="9" t="s">
        <v>6</v>
      </c>
      <c r="C17" s="9">
        <v>26</v>
      </c>
      <c r="D17" s="9">
        <v>165</v>
      </c>
      <c r="E17" s="9" t="s">
        <v>7</v>
      </c>
      <c r="F17" s="9" t="s">
        <v>5</v>
      </c>
      <c r="G17" s="9"/>
      <c r="H17" s="9"/>
      <c r="I17" s="9" t="s">
        <v>5</v>
      </c>
      <c r="J17" s="9">
        <v>0</v>
      </c>
      <c r="K17" s="9"/>
      <c r="L17" s="9"/>
      <c r="M17" s="9"/>
      <c r="N17" s="9" t="s">
        <v>100</v>
      </c>
      <c r="O17" s="9" t="s">
        <v>617</v>
      </c>
      <c r="P17" s="9" t="s">
        <v>26</v>
      </c>
      <c r="S17" s="56" t="s">
        <v>583</v>
      </c>
    </row>
    <row r="18" spans="1:20" s="10" customFormat="1" ht="15.75" thickBot="1" x14ac:dyDescent="0.25">
      <c r="A18" s="11">
        <v>43992.619664351849</v>
      </c>
      <c r="B18" s="9" t="s">
        <v>1</v>
      </c>
      <c r="C18" s="9">
        <v>24</v>
      </c>
      <c r="D18" s="9">
        <v>175</v>
      </c>
      <c r="E18" s="9" t="s">
        <v>7</v>
      </c>
      <c r="F18" s="9" t="s">
        <v>3</v>
      </c>
      <c r="G18" s="9">
        <v>100</v>
      </c>
      <c r="H18" s="9" t="s">
        <v>59</v>
      </c>
      <c r="I18" s="9" t="s">
        <v>5</v>
      </c>
      <c r="J18" s="9">
        <v>0</v>
      </c>
      <c r="K18" s="9"/>
      <c r="L18" s="9"/>
      <c r="M18" s="9"/>
      <c r="N18" s="9" t="s">
        <v>17</v>
      </c>
      <c r="O18" s="9" t="s">
        <v>618</v>
      </c>
      <c r="P18" s="9" t="s">
        <v>26</v>
      </c>
      <c r="S18" s="56" t="s">
        <v>584</v>
      </c>
    </row>
    <row r="19" spans="1:20" s="10" customFormat="1" ht="15.75" thickBot="1" x14ac:dyDescent="0.25">
      <c r="A19" s="11">
        <v>44114.818541666667</v>
      </c>
      <c r="B19" s="9" t="s">
        <v>1</v>
      </c>
      <c r="C19" s="9">
        <v>23</v>
      </c>
      <c r="D19" s="9">
        <v>173</v>
      </c>
      <c r="E19" s="9" t="s">
        <v>50</v>
      </c>
      <c r="F19" s="9" t="s">
        <v>3</v>
      </c>
      <c r="G19" s="9">
        <v>5</v>
      </c>
      <c r="H19" s="9" t="s">
        <v>68</v>
      </c>
      <c r="I19" s="9" t="s">
        <v>3</v>
      </c>
      <c r="J19" s="9">
        <v>2</v>
      </c>
      <c r="K19" s="9" t="s">
        <v>69</v>
      </c>
      <c r="L19" s="9" t="s">
        <v>10</v>
      </c>
      <c r="M19" s="9"/>
      <c r="N19" s="9" t="s">
        <v>21</v>
      </c>
      <c r="O19" s="9" t="s">
        <v>619</v>
      </c>
      <c r="P19" s="9" t="s">
        <v>26</v>
      </c>
      <c r="S19" s="56" t="s">
        <v>585</v>
      </c>
    </row>
    <row r="20" spans="1:20" s="10" customFormat="1" ht="15.75" thickBot="1" x14ac:dyDescent="0.25">
      <c r="A20" s="11">
        <v>43992.721631944441</v>
      </c>
      <c r="B20" s="9" t="s">
        <v>1</v>
      </c>
      <c r="C20" s="9">
        <v>23</v>
      </c>
      <c r="D20" s="9">
        <v>191</v>
      </c>
      <c r="E20" s="9" t="s">
        <v>7</v>
      </c>
      <c r="F20" s="9" t="s">
        <v>3</v>
      </c>
      <c r="G20" s="9">
        <v>30</v>
      </c>
      <c r="H20" s="9" t="s">
        <v>60</v>
      </c>
      <c r="I20" s="9" t="s">
        <v>3</v>
      </c>
      <c r="J20" s="9">
        <v>2</v>
      </c>
      <c r="K20" s="9" t="s">
        <v>61</v>
      </c>
      <c r="L20" s="9" t="s">
        <v>40</v>
      </c>
      <c r="M20" s="9" t="s">
        <v>32</v>
      </c>
      <c r="N20" s="9" t="s">
        <v>62</v>
      </c>
      <c r="O20" s="9" t="s">
        <v>620</v>
      </c>
      <c r="P20" s="9" t="s">
        <v>26</v>
      </c>
      <c r="S20" s="56" t="s">
        <v>586</v>
      </c>
    </row>
    <row r="21" spans="1:20" s="10" customFormat="1" ht="15.75" thickBot="1" x14ac:dyDescent="0.25">
      <c r="A21" s="11">
        <v>44175.398923611108</v>
      </c>
      <c r="B21" s="9" t="s">
        <v>1</v>
      </c>
      <c r="C21" s="9">
        <v>23</v>
      </c>
      <c r="D21" s="9">
        <v>178</v>
      </c>
      <c r="E21" s="9" t="s">
        <v>70</v>
      </c>
      <c r="F21" s="9" t="s">
        <v>5</v>
      </c>
      <c r="G21" s="9"/>
      <c r="H21" s="9"/>
      <c r="I21" s="9" t="s">
        <v>5</v>
      </c>
      <c r="J21" s="9">
        <v>0</v>
      </c>
      <c r="K21" s="9"/>
      <c r="L21" s="9"/>
      <c r="M21" s="9"/>
      <c r="N21" s="9" t="s">
        <v>21</v>
      </c>
      <c r="O21" s="9" t="s">
        <v>621</v>
      </c>
      <c r="P21" s="9" t="s">
        <v>71</v>
      </c>
      <c r="S21" s="56" t="s">
        <v>587</v>
      </c>
    </row>
    <row r="22" spans="1:20" s="66" customFormat="1" ht="15.75" thickBot="1" x14ac:dyDescent="0.3">
      <c r="A22" s="9" t="s">
        <v>85</v>
      </c>
      <c r="B22" s="9" t="s">
        <v>6</v>
      </c>
      <c r="C22" s="9">
        <v>26</v>
      </c>
      <c r="D22" s="9">
        <v>162</v>
      </c>
      <c r="E22" s="9" t="s">
        <v>7</v>
      </c>
      <c r="F22" s="9" t="s">
        <v>5</v>
      </c>
      <c r="G22" s="9"/>
      <c r="H22" s="9"/>
      <c r="I22" s="9" t="s">
        <v>5</v>
      </c>
      <c r="J22" s="9">
        <v>0</v>
      </c>
      <c r="K22" s="9"/>
      <c r="L22" s="9"/>
      <c r="M22" s="9"/>
      <c r="N22" s="9" t="s">
        <v>86</v>
      </c>
      <c r="O22" s="9" t="s">
        <v>622</v>
      </c>
      <c r="P22" s="9" t="s">
        <v>5</v>
      </c>
      <c r="S22" s="70" t="s">
        <v>588</v>
      </c>
      <c r="T22"/>
    </row>
    <row r="23" spans="1:20" s="10" customFormat="1" ht="15.75" thickBot="1" x14ac:dyDescent="0.25">
      <c r="A23" s="11">
        <v>43962.593877314815</v>
      </c>
      <c r="B23" s="9" t="s">
        <v>1</v>
      </c>
      <c r="C23" s="9">
        <v>31</v>
      </c>
      <c r="D23" s="9">
        <v>175</v>
      </c>
      <c r="E23" s="9" t="s">
        <v>7</v>
      </c>
      <c r="F23" s="9" t="s">
        <v>3</v>
      </c>
      <c r="G23" s="9">
        <v>100</v>
      </c>
      <c r="H23" s="9" t="s">
        <v>111</v>
      </c>
      <c r="I23" s="9" t="s">
        <v>5</v>
      </c>
      <c r="J23" s="9">
        <v>0</v>
      </c>
      <c r="K23" s="9" t="s">
        <v>112</v>
      </c>
      <c r="L23" s="9"/>
      <c r="M23" s="9"/>
      <c r="N23" s="9" t="s">
        <v>113</v>
      </c>
      <c r="O23" s="9" t="s">
        <v>625</v>
      </c>
      <c r="P23" s="9" t="s">
        <v>26</v>
      </c>
      <c r="S23" s="56" t="s">
        <v>591</v>
      </c>
    </row>
    <row r="24" spans="1:20" s="10" customFormat="1" ht="15.75" thickBot="1" x14ac:dyDescent="0.25">
      <c r="A24" s="11">
        <v>43962.457442129627</v>
      </c>
      <c r="B24" s="9" t="s">
        <v>1</v>
      </c>
      <c r="C24" s="9">
        <v>36</v>
      </c>
      <c r="D24" s="9">
        <v>173</v>
      </c>
      <c r="E24" s="9" t="s">
        <v>18</v>
      </c>
      <c r="F24" s="9" t="s">
        <v>3</v>
      </c>
      <c r="G24" s="9">
        <v>20</v>
      </c>
      <c r="H24" s="9" t="s">
        <v>106</v>
      </c>
      <c r="I24" s="9" t="s">
        <v>5</v>
      </c>
      <c r="J24" s="9">
        <v>0</v>
      </c>
      <c r="K24" s="9"/>
      <c r="L24" s="9"/>
      <c r="M24" s="9" t="s">
        <v>67</v>
      </c>
      <c r="N24" s="9" t="s">
        <v>107</v>
      </c>
      <c r="O24" s="9" t="s">
        <v>626</v>
      </c>
      <c r="P24" s="9" t="s">
        <v>5</v>
      </c>
      <c r="S24" s="56" t="s">
        <v>592</v>
      </c>
    </row>
    <row r="25" spans="1:20" s="10" customFormat="1" ht="15.75" thickBot="1" x14ac:dyDescent="0.25">
      <c r="A25" s="11">
        <v>43993.470625000002</v>
      </c>
      <c r="B25" s="9" t="s">
        <v>1</v>
      </c>
      <c r="C25" s="9">
        <v>22</v>
      </c>
      <c r="D25" s="9">
        <v>181</v>
      </c>
      <c r="E25" s="9" t="s">
        <v>118</v>
      </c>
      <c r="F25" s="9" t="s">
        <v>3</v>
      </c>
      <c r="G25" s="9">
        <v>3</v>
      </c>
      <c r="H25" s="9" t="s">
        <v>119</v>
      </c>
      <c r="I25" s="9" t="s">
        <v>5</v>
      </c>
      <c r="J25" s="9">
        <v>0</v>
      </c>
      <c r="K25" s="9"/>
      <c r="L25" s="9"/>
      <c r="M25" s="9"/>
      <c r="N25" s="9" t="s">
        <v>21</v>
      </c>
      <c r="O25" s="9" t="s">
        <v>627</v>
      </c>
      <c r="P25" s="9" t="s">
        <v>5</v>
      </c>
      <c r="S25" s="56" t="s">
        <v>593</v>
      </c>
    </row>
    <row r="26" spans="1:20" s="10" customFormat="1" ht="15.75" thickBot="1" x14ac:dyDescent="0.25">
      <c r="A26" s="11">
        <v>43932.709618055553</v>
      </c>
      <c r="B26" s="9" t="s">
        <v>1</v>
      </c>
      <c r="C26" s="9">
        <v>24</v>
      </c>
      <c r="D26" s="9">
        <v>183</v>
      </c>
      <c r="E26" s="9" t="s">
        <v>101</v>
      </c>
      <c r="F26" s="9" t="s">
        <v>3</v>
      </c>
      <c r="G26" s="9">
        <v>10</v>
      </c>
      <c r="H26" s="9" t="s">
        <v>103</v>
      </c>
      <c r="I26" s="9" t="s">
        <v>3</v>
      </c>
      <c r="J26" s="9">
        <v>10</v>
      </c>
      <c r="K26" s="9" t="s">
        <v>104</v>
      </c>
      <c r="L26" s="9" t="s">
        <v>15</v>
      </c>
      <c r="M26" s="9" t="s">
        <v>30</v>
      </c>
      <c r="N26" s="9" t="s">
        <v>21</v>
      </c>
      <c r="O26" s="9" t="s">
        <v>628</v>
      </c>
      <c r="P26" s="9" t="s">
        <v>5</v>
      </c>
      <c r="S26" s="56" t="s">
        <v>594</v>
      </c>
    </row>
    <row r="27" spans="1:20" s="10" customFormat="1" ht="15.75" thickBot="1" x14ac:dyDescent="0.25">
      <c r="A27" s="9" t="s">
        <v>91</v>
      </c>
      <c r="B27" s="9" t="s">
        <v>1</v>
      </c>
      <c r="C27" s="9">
        <v>27</v>
      </c>
      <c r="D27" s="9">
        <v>186</v>
      </c>
      <c r="E27" s="9" t="s">
        <v>25</v>
      </c>
      <c r="F27" s="9" t="s">
        <v>3</v>
      </c>
      <c r="G27" s="9">
        <v>20</v>
      </c>
      <c r="H27" s="9"/>
      <c r="I27" s="9" t="s">
        <v>5</v>
      </c>
      <c r="J27" s="9">
        <v>0</v>
      </c>
      <c r="K27" s="9"/>
      <c r="L27" s="9"/>
      <c r="M27" s="9"/>
      <c r="N27" s="9" t="s">
        <v>92</v>
      </c>
      <c r="O27" s="9" t="s">
        <v>629</v>
      </c>
      <c r="P27" s="9" t="s">
        <v>5</v>
      </c>
      <c r="S27" s="56" t="s">
        <v>595</v>
      </c>
    </row>
    <row r="28" spans="1:20" s="10" customFormat="1" ht="15.75" thickBot="1" x14ac:dyDescent="0.25">
      <c r="A28" s="9" t="s">
        <v>93</v>
      </c>
      <c r="B28" s="9" t="s">
        <v>1</v>
      </c>
      <c r="C28" s="9">
        <v>24</v>
      </c>
      <c r="D28" s="9">
        <v>167</v>
      </c>
      <c r="E28" s="9" t="s">
        <v>2</v>
      </c>
      <c r="F28" s="9" t="s">
        <v>3</v>
      </c>
      <c r="G28" s="9">
        <v>30</v>
      </c>
      <c r="H28" s="9" t="s">
        <v>94</v>
      </c>
      <c r="I28" s="9" t="s">
        <v>3</v>
      </c>
      <c r="J28" s="9">
        <v>20</v>
      </c>
      <c r="K28" s="9" t="s">
        <v>95</v>
      </c>
      <c r="L28" s="9" t="s">
        <v>96</v>
      </c>
      <c r="M28" s="9" t="s">
        <v>32</v>
      </c>
      <c r="N28" s="9" t="s">
        <v>97</v>
      </c>
      <c r="O28" s="9" t="s">
        <v>630</v>
      </c>
      <c r="P28" s="9" t="s">
        <v>26</v>
      </c>
      <c r="S28" s="56" t="s">
        <v>596</v>
      </c>
    </row>
    <row r="29" spans="1:20" s="10" customFormat="1" ht="15.75" thickBot="1" x14ac:dyDescent="0.25">
      <c r="A29" s="11">
        <v>44054.077986111108</v>
      </c>
      <c r="B29" s="9" t="s">
        <v>1</v>
      </c>
      <c r="C29" s="9">
        <v>22</v>
      </c>
      <c r="D29" s="9">
        <v>178.31</v>
      </c>
      <c r="E29" s="9"/>
      <c r="F29" s="9" t="s">
        <v>3</v>
      </c>
      <c r="G29" s="9">
        <v>20</v>
      </c>
      <c r="H29" s="9" t="s">
        <v>125</v>
      </c>
      <c r="I29" s="9" t="s">
        <v>5</v>
      </c>
      <c r="J29" s="9">
        <v>0</v>
      </c>
      <c r="K29" s="9"/>
      <c r="L29" s="9"/>
      <c r="M29" s="9" t="s">
        <v>32</v>
      </c>
      <c r="N29" s="9" t="s">
        <v>21</v>
      </c>
      <c r="O29" s="9" t="s">
        <v>568</v>
      </c>
      <c r="P29" s="9" t="s">
        <v>26</v>
      </c>
      <c r="S29" s="56" t="s">
        <v>597</v>
      </c>
    </row>
    <row r="30" spans="1:20" s="10" customFormat="1" ht="15.75" thickBot="1" x14ac:dyDescent="0.25">
      <c r="A30" s="11">
        <v>43993.487199074072</v>
      </c>
      <c r="B30" s="9" t="s">
        <v>1</v>
      </c>
      <c r="C30" s="9">
        <v>31</v>
      </c>
      <c r="D30" s="9">
        <v>179</v>
      </c>
      <c r="E30" s="9" t="s">
        <v>33</v>
      </c>
      <c r="F30" s="9" t="s">
        <v>3</v>
      </c>
      <c r="G30" s="9">
        <v>1000</v>
      </c>
      <c r="H30" s="9"/>
      <c r="I30" s="9" t="s">
        <v>3</v>
      </c>
      <c r="J30" s="9">
        <v>1</v>
      </c>
      <c r="K30" s="9" t="s">
        <v>120</v>
      </c>
      <c r="L30" s="9" t="s">
        <v>40</v>
      </c>
      <c r="M30" s="9"/>
      <c r="N30" s="9" t="s">
        <v>121</v>
      </c>
      <c r="O30" s="9" t="s">
        <v>569</v>
      </c>
      <c r="P30" s="9" t="s">
        <v>5</v>
      </c>
      <c r="S30" s="56" t="s">
        <v>598</v>
      </c>
    </row>
    <row r="31" spans="1:20" s="10" customFormat="1" ht="15.75" thickBot="1" x14ac:dyDescent="0.25">
      <c r="A31" s="11">
        <v>43993.668622685182</v>
      </c>
      <c r="B31" s="9" t="s">
        <v>1</v>
      </c>
      <c r="C31" s="9">
        <v>28</v>
      </c>
      <c r="D31" s="9">
        <v>176</v>
      </c>
      <c r="E31" s="9" t="s">
        <v>33</v>
      </c>
      <c r="F31" s="9" t="s">
        <v>3</v>
      </c>
      <c r="G31" s="9">
        <v>15</v>
      </c>
      <c r="H31" s="9" t="s">
        <v>122</v>
      </c>
      <c r="I31" s="9" t="s">
        <v>5</v>
      </c>
      <c r="J31" s="9">
        <v>0</v>
      </c>
      <c r="K31" s="9"/>
      <c r="L31" s="9"/>
      <c r="M31" s="9"/>
      <c r="N31" s="9" t="s">
        <v>17</v>
      </c>
      <c r="O31" s="9" t="s">
        <v>570</v>
      </c>
      <c r="P31" s="9" t="s">
        <v>5</v>
      </c>
      <c r="S31" s="56" t="s">
        <v>599</v>
      </c>
    </row>
    <row r="32" spans="1:20" s="10" customFormat="1" ht="15.75" thickBot="1" x14ac:dyDescent="0.25">
      <c r="A32" s="11">
        <v>44085.665023148147</v>
      </c>
      <c r="B32" s="9" t="s">
        <v>1</v>
      </c>
      <c r="C32" s="9">
        <v>24</v>
      </c>
      <c r="D32" s="9">
        <v>180</v>
      </c>
      <c r="E32" s="9"/>
      <c r="F32" s="9" t="s">
        <v>3</v>
      </c>
      <c r="G32" s="9">
        <v>5</v>
      </c>
      <c r="H32" s="9" t="s">
        <v>127</v>
      </c>
      <c r="I32" s="9" t="s">
        <v>5</v>
      </c>
      <c r="J32" s="9">
        <v>0</v>
      </c>
      <c r="K32" s="9"/>
      <c r="L32" s="9"/>
      <c r="M32" s="9"/>
      <c r="N32" s="9" t="s">
        <v>21</v>
      </c>
      <c r="O32" s="9" t="s">
        <v>571</v>
      </c>
      <c r="P32" s="9" t="s">
        <v>26</v>
      </c>
      <c r="S32" s="56" t="s">
        <v>600</v>
      </c>
    </row>
    <row r="33" spans="1:19" s="10" customFormat="1" ht="15.75" thickBot="1" x14ac:dyDescent="0.25">
      <c r="A33" s="11">
        <v>44146.628993055558</v>
      </c>
      <c r="B33" s="9" t="s">
        <v>1</v>
      </c>
      <c r="C33" s="9">
        <v>33</v>
      </c>
      <c r="D33" s="9">
        <v>187</v>
      </c>
      <c r="E33" s="9" t="s">
        <v>51</v>
      </c>
      <c r="F33" s="9" t="s">
        <v>3</v>
      </c>
      <c r="G33" s="9">
        <v>10</v>
      </c>
      <c r="H33" s="9" t="s">
        <v>129</v>
      </c>
      <c r="I33" s="9" t="s">
        <v>3</v>
      </c>
      <c r="J33" s="9">
        <v>0</v>
      </c>
      <c r="K33" s="9" t="s">
        <v>130</v>
      </c>
      <c r="L33" s="9" t="s">
        <v>10</v>
      </c>
      <c r="M33" s="9" t="s">
        <v>67</v>
      </c>
      <c r="N33" s="9" t="s">
        <v>126</v>
      </c>
      <c r="O33" s="9" t="s">
        <v>573</v>
      </c>
      <c r="P33" s="9" t="s">
        <v>26</v>
      </c>
      <c r="S33" s="56" t="s">
        <v>602</v>
      </c>
    </row>
    <row r="34" spans="1:19" s="10" customFormat="1" ht="15.75" thickBot="1" x14ac:dyDescent="0.25">
      <c r="A34" s="11">
        <v>44146.454606481479</v>
      </c>
      <c r="B34" s="9" t="s">
        <v>6</v>
      </c>
      <c r="C34" s="9">
        <v>25</v>
      </c>
      <c r="D34" s="9">
        <v>169</v>
      </c>
      <c r="E34" s="9" t="s">
        <v>41</v>
      </c>
      <c r="F34" s="9" t="s">
        <v>5</v>
      </c>
      <c r="G34" s="9"/>
      <c r="H34" s="9"/>
      <c r="I34" s="9" t="s">
        <v>3</v>
      </c>
      <c r="J34" s="9">
        <v>2</v>
      </c>
      <c r="K34" s="9"/>
      <c r="L34" s="9" t="s">
        <v>40</v>
      </c>
      <c r="M34" s="9" t="s">
        <v>128</v>
      </c>
      <c r="N34" s="9" t="s">
        <v>21</v>
      </c>
      <c r="O34" s="9" t="s">
        <v>574</v>
      </c>
      <c r="P34" s="9" t="s">
        <v>26</v>
      </c>
      <c r="S34" s="56" t="s">
        <v>603</v>
      </c>
    </row>
    <row r="35" spans="1:19" s="10" customFormat="1" ht="15.75" thickBot="1" x14ac:dyDescent="0.25">
      <c r="A35" s="9" t="s">
        <v>133</v>
      </c>
      <c r="B35" s="9" t="s">
        <v>6</v>
      </c>
      <c r="C35" s="9">
        <v>23</v>
      </c>
      <c r="D35" s="9">
        <v>151</v>
      </c>
      <c r="E35" s="9" t="s">
        <v>12</v>
      </c>
      <c r="F35" s="9" t="s">
        <v>3</v>
      </c>
      <c r="G35" s="9">
        <v>5</v>
      </c>
      <c r="H35" s="9" t="s">
        <v>134</v>
      </c>
      <c r="I35" s="9" t="s">
        <v>3</v>
      </c>
      <c r="J35" s="9">
        <v>3</v>
      </c>
      <c r="K35" s="9" t="s">
        <v>135</v>
      </c>
      <c r="L35" s="9" t="s">
        <v>96</v>
      </c>
      <c r="M35" s="9"/>
      <c r="N35" s="9" t="s">
        <v>21</v>
      </c>
      <c r="O35" s="9" t="s">
        <v>575</v>
      </c>
      <c r="P35" s="9" t="s">
        <v>71</v>
      </c>
      <c r="S35" s="56" t="s">
        <v>604</v>
      </c>
    </row>
    <row r="36" spans="1:19" s="10" customFormat="1" ht="15.75" thickBot="1" x14ac:dyDescent="0.25">
      <c r="A36" s="11">
        <v>44023.843449074076</v>
      </c>
      <c r="B36" s="9" t="s">
        <v>1</v>
      </c>
      <c r="C36" s="9">
        <v>23</v>
      </c>
      <c r="D36" s="9">
        <v>179</v>
      </c>
      <c r="E36" s="9" t="s">
        <v>25</v>
      </c>
      <c r="F36" s="9" t="s">
        <v>3</v>
      </c>
      <c r="G36" s="9">
        <v>1095</v>
      </c>
      <c r="H36" s="9" t="s">
        <v>123</v>
      </c>
      <c r="I36" s="9" t="s">
        <v>3</v>
      </c>
      <c r="J36" s="9">
        <v>30</v>
      </c>
      <c r="K36" s="9" t="s">
        <v>124</v>
      </c>
      <c r="L36" s="9" t="s">
        <v>10</v>
      </c>
      <c r="M36" s="9" t="s">
        <v>19</v>
      </c>
      <c r="N36" s="9" t="s">
        <v>21</v>
      </c>
      <c r="O36" s="9" t="s">
        <v>576</v>
      </c>
      <c r="P36" s="9" t="s">
        <v>5</v>
      </c>
      <c r="S36" s="56" t="s">
        <v>605</v>
      </c>
    </row>
    <row r="37" spans="1:19" s="10" customFormat="1" ht="15.75" thickBot="1" x14ac:dyDescent="0.25">
      <c r="A37" s="9" t="s">
        <v>131</v>
      </c>
      <c r="B37" s="9" t="s">
        <v>6</v>
      </c>
      <c r="C37" s="9">
        <v>22</v>
      </c>
      <c r="D37" s="9">
        <v>162</v>
      </c>
      <c r="E37" s="9" t="s">
        <v>12</v>
      </c>
      <c r="F37" s="9" t="s">
        <v>3</v>
      </c>
      <c r="G37" s="9">
        <v>30</v>
      </c>
      <c r="H37" s="9" t="s">
        <v>132</v>
      </c>
      <c r="I37" s="9" t="s">
        <v>5</v>
      </c>
      <c r="J37" s="9">
        <v>0</v>
      </c>
      <c r="K37" s="9"/>
      <c r="L37" s="9"/>
      <c r="M37" s="9"/>
      <c r="N37" s="9" t="s">
        <v>21</v>
      </c>
      <c r="O37" s="9" t="s">
        <v>577</v>
      </c>
      <c r="P37" s="9" t="s">
        <v>26</v>
      </c>
      <c r="S37" s="56" t="s">
        <v>606</v>
      </c>
    </row>
    <row r="38" spans="1:19" s="10" customFormat="1" ht="15.75" thickBot="1" x14ac:dyDescent="0.25">
      <c r="A38" s="11">
        <v>43871.49726851852</v>
      </c>
      <c r="B38" s="9" t="s">
        <v>6</v>
      </c>
      <c r="C38" s="9">
        <v>27</v>
      </c>
      <c r="D38" s="9">
        <v>173</v>
      </c>
      <c r="E38" s="9" t="s">
        <v>7</v>
      </c>
      <c r="F38" s="9" t="s">
        <v>3</v>
      </c>
      <c r="G38" s="9">
        <v>7</v>
      </c>
      <c r="H38" s="9" t="s">
        <v>31</v>
      </c>
      <c r="I38" s="9" t="s">
        <v>5</v>
      </c>
      <c r="J38" s="9">
        <v>0</v>
      </c>
      <c r="K38" s="9"/>
      <c r="L38" s="9"/>
      <c r="M38" s="9"/>
      <c r="N38" s="9" t="s">
        <v>21</v>
      </c>
      <c r="O38" s="9" t="s">
        <v>112</v>
      </c>
      <c r="P38" s="9" t="s">
        <v>5</v>
      </c>
      <c r="S38" s="56" t="s">
        <v>607</v>
      </c>
    </row>
    <row r="39" spans="1:19" s="10" customFormat="1" ht="15.75" thickBot="1" x14ac:dyDescent="0.25">
      <c r="A39" s="11">
        <v>43931.856712962966</v>
      </c>
      <c r="B39" s="9" t="s">
        <v>1</v>
      </c>
      <c r="C39" s="9">
        <v>28</v>
      </c>
      <c r="D39" s="9">
        <v>165</v>
      </c>
      <c r="E39" s="9" t="s">
        <v>25</v>
      </c>
      <c r="F39" s="9" t="s">
        <v>3</v>
      </c>
      <c r="G39" s="9">
        <v>4</v>
      </c>
      <c r="H39" s="9"/>
      <c r="I39" s="9" t="s">
        <v>5</v>
      </c>
      <c r="J39" s="9">
        <v>0</v>
      </c>
      <c r="K39" s="9" t="s">
        <v>5</v>
      </c>
      <c r="L39" s="9"/>
      <c r="M39" s="9"/>
      <c r="N39" s="9" t="s">
        <v>21</v>
      </c>
      <c r="O39" s="9" t="s">
        <v>112</v>
      </c>
      <c r="P39" s="9" t="s">
        <v>5</v>
      </c>
      <c r="S39" s="56" t="s">
        <v>608</v>
      </c>
    </row>
    <row r="40" spans="1:19" s="10" customFormat="1" ht="15.75" thickBot="1" x14ac:dyDescent="0.25">
      <c r="A40" s="11">
        <v>43872.738206018519</v>
      </c>
      <c r="B40" s="9" t="s">
        <v>6</v>
      </c>
      <c r="C40" s="9">
        <v>23</v>
      </c>
      <c r="D40" s="9">
        <v>160</v>
      </c>
      <c r="E40" s="9" t="s">
        <v>101</v>
      </c>
      <c r="F40" s="9" t="s">
        <v>3</v>
      </c>
      <c r="G40" s="9">
        <v>2</v>
      </c>
      <c r="H40" s="9" t="s">
        <v>102</v>
      </c>
      <c r="I40" s="9" t="s">
        <v>5</v>
      </c>
      <c r="J40" s="9">
        <v>0</v>
      </c>
      <c r="K40" s="9"/>
      <c r="L40" s="9"/>
      <c r="M40" s="9"/>
      <c r="N40" s="9" t="s">
        <v>21</v>
      </c>
      <c r="O40" s="9" t="s">
        <v>112</v>
      </c>
      <c r="P40" s="9" t="s">
        <v>5</v>
      </c>
      <c r="S40" s="56" t="s">
        <v>609</v>
      </c>
    </row>
    <row r="41" spans="1:19" s="10" customFormat="1" ht="15.75" thickBot="1" x14ac:dyDescent="0.25">
      <c r="A41" s="9" t="s">
        <v>0</v>
      </c>
      <c r="B41" s="9" t="s">
        <v>1</v>
      </c>
      <c r="C41" s="9">
        <v>27</v>
      </c>
      <c r="D41" s="9">
        <v>165</v>
      </c>
      <c r="E41" s="9" t="s">
        <v>2</v>
      </c>
      <c r="F41" s="9" t="s">
        <v>3</v>
      </c>
      <c r="G41" s="9">
        <v>2</v>
      </c>
      <c r="H41" s="9" t="s">
        <v>4</v>
      </c>
      <c r="I41" s="9" t="s">
        <v>5</v>
      </c>
      <c r="J41" s="9">
        <v>0</v>
      </c>
      <c r="K41" s="9"/>
      <c r="L41" s="9"/>
      <c r="M41" s="9"/>
      <c r="N41" s="9" t="s">
        <v>21</v>
      </c>
      <c r="O41" s="9" t="s">
        <v>578</v>
      </c>
      <c r="P41" s="9" t="s">
        <v>5</v>
      </c>
      <c r="S41" s="56" t="s">
        <v>610</v>
      </c>
    </row>
    <row r="42" spans="1:19" s="10" customFormat="1" ht="15.75" thickBot="1" x14ac:dyDescent="0.25">
      <c r="A42" s="11">
        <v>44022.633923611109</v>
      </c>
      <c r="B42" s="9" t="s">
        <v>1</v>
      </c>
      <c r="C42" s="9">
        <v>31</v>
      </c>
      <c r="D42" s="9">
        <v>1.73</v>
      </c>
      <c r="E42" s="9" t="s">
        <v>33</v>
      </c>
      <c r="F42" s="9" t="s">
        <v>3</v>
      </c>
      <c r="G42" s="9">
        <v>6</v>
      </c>
      <c r="H42" s="9" t="s">
        <v>65</v>
      </c>
      <c r="I42" s="9" t="s">
        <v>5</v>
      </c>
      <c r="J42" s="9">
        <v>0</v>
      </c>
      <c r="K42" s="9" t="s">
        <v>66</v>
      </c>
      <c r="L42" s="9"/>
      <c r="M42" s="9"/>
      <c r="N42" s="9" t="s">
        <v>21</v>
      </c>
      <c r="O42" s="9" t="s">
        <v>579</v>
      </c>
      <c r="P42" s="9" t="s">
        <v>5</v>
      </c>
      <c r="S42" s="56" t="s">
        <v>611</v>
      </c>
    </row>
    <row r="43" spans="1:19" s="10" customFormat="1" ht="15.75" thickBot="1" x14ac:dyDescent="0.25">
      <c r="A43" s="11">
        <v>43871.453229166669</v>
      </c>
      <c r="B43" s="9" t="s">
        <v>6</v>
      </c>
      <c r="C43" s="9">
        <v>22</v>
      </c>
      <c r="D43" s="9">
        <v>162</v>
      </c>
      <c r="E43" s="9" t="s">
        <v>23</v>
      </c>
      <c r="F43" s="9" t="s">
        <v>5</v>
      </c>
      <c r="G43" s="9"/>
      <c r="H43" s="9"/>
      <c r="I43" s="9" t="s">
        <v>5</v>
      </c>
      <c r="J43" s="9">
        <v>0</v>
      </c>
      <c r="K43" s="9"/>
      <c r="L43" s="9"/>
      <c r="M43" s="9"/>
      <c r="N43" s="9" t="s">
        <v>24</v>
      </c>
      <c r="O43" s="9" t="s">
        <v>586</v>
      </c>
      <c r="P43" s="9" t="s">
        <v>5</v>
      </c>
      <c r="S43" s="56" t="s">
        <v>618</v>
      </c>
    </row>
    <row r="44" spans="1:19" s="10" customFormat="1" ht="15.75" thickBot="1" x14ac:dyDescent="0.25">
      <c r="A44" s="9" t="s">
        <v>79</v>
      </c>
      <c r="B44" s="9" t="s">
        <v>1</v>
      </c>
      <c r="C44" s="9">
        <v>26</v>
      </c>
      <c r="D44" s="9">
        <v>165</v>
      </c>
      <c r="E44" s="9" t="s">
        <v>44</v>
      </c>
      <c r="F44" s="9" t="s">
        <v>3</v>
      </c>
      <c r="G44" s="9">
        <v>30</v>
      </c>
      <c r="H44" s="9" t="s">
        <v>80</v>
      </c>
      <c r="I44" s="9" t="s">
        <v>5</v>
      </c>
      <c r="J44" s="9">
        <v>0</v>
      </c>
      <c r="K44" s="9"/>
      <c r="L44" s="9"/>
      <c r="M44" s="9"/>
      <c r="N44" s="9" t="s">
        <v>21</v>
      </c>
      <c r="O44" s="9" t="s">
        <v>587</v>
      </c>
      <c r="P44" s="9" t="s">
        <v>5</v>
      </c>
      <c r="S44" s="56" t="s">
        <v>619</v>
      </c>
    </row>
    <row r="45" spans="1:19" s="10" customFormat="1" ht="15.75" thickBot="1" x14ac:dyDescent="0.25">
      <c r="A45" s="11">
        <v>44022.571122685185</v>
      </c>
      <c r="B45" s="9" t="s">
        <v>1</v>
      </c>
      <c r="C45" s="9">
        <v>24</v>
      </c>
      <c r="D45" s="9">
        <v>170</v>
      </c>
      <c r="E45" s="9" t="s">
        <v>63</v>
      </c>
      <c r="F45" s="9" t="s">
        <v>3</v>
      </c>
      <c r="G45" s="9">
        <v>10</v>
      </c>
      <c r="H45" s="9" t="s">
        <v>64</v>
      </c>
      <c r="I45" s="9" t="s">
        <v>5</v>
      </c>
      <c r="J45" s="9">
        <v>0</v>
      </c>
      <c r="K45" s="9"/>
      <c r="L45" s="9"/>
      <c r="M45" s="9" t="s">
        <v>32</v>
      </c>
      <c r="N45" s="9" t="s">
        <v>17</v>
      </c>
      <c r="O45" s="9" t="s">
        <v>631</v>
      </c>
      <c r="P45" s="9" t="s">
        <v>26</v>
      </c>
      <c r="S45" s="56" t="s">
        <v>620</v>
      </c>
    </row>
    <row r="46" spans="1:19" s="10" customFormat="1" ht="15.75" thickBot="1" x14ac:dyDescent="0.25">
      <c r="A46" s="11">
        <v>43931.873414351852</v>
      </c>
      <c r="B46" s="9" t="s">
        <v>6</v>
      </c>
      <c r="C46" s="9">
        <v>23</v>
      </c>
      <c r="D46" s="9">
        <v>171</v>
      </c>
      <c r="E46" s="9" t="s">
        <v>50</v>
      </c>
      <c r="F46" s="9" t="s">
        <v>5</v>
      </c>
      <c r="G46" s="9"/>
      <c r="H46" s="9"/>
      <c r="I46" s="9" t="s">
        <v>5</v>
      </c>
      <c r="J46" s="9">
        <v>0</v>
      </c>
      <c r="K46" s="9"/>
      <c r="L46" s="9"/>
      <c r="M46" s="9"/>
      <c r="N46" s="9" t="s">
        <v>21</v>
      </c>
      <c r="O46" s="9" t="s">
        <v>589</v>
      </c>
      <c r="P46" s="9" t="s">
        <v>5</v>
      </c>
      <c r="S46" s="56" t="s">
        <v>621</v>
      </c>
    </row>
    <row r="47" spans="1:19" s="10" customFormat="1" ht="15.75" thickBot="1" x14ac:dyDescent="0.25">
      <c r="A47" s="11">
        <v>43840.436284722222</v>
      </c>
      <c r="B47" s="9" t="s">
        <v>6</v>
      </c>
      <c r="C47" s="9">
        <v>59</v>
      </c>
      <c r="D47" s="9">
        <v>170</v>
      </c>
      <c r="E47" s="9" t="s">
        <v>7</v>
      </c>
      <c r="F47" s="9" t="s">
        <v>3</v>
      </c>
      <c r="G47" s="9">
        <v>5</v>
      </c>
      <c r="H47" s="9" t="s">
        <v>8</v>
      </c>
      <c r="I47" s="9" t="s">
        <v>3</v>
      </c>
      <c r="J47" s="9">
        <v>3</v>
      </c>
      <c r="K47" s="9" t="s">
        <v>9</v>
      </c>
      <c r="L47" s="9" t="s">
        <v>10</v>
      </c>
      <c r="M47" s="9"/>
      <c r="N47" s="9" t="s">
        <v>11</v>
      </c>
      <c r="O47" s="60" t="s">
        <v>590</v>
      </c>
      <c r="P47" s="9" t="s">
        <v>5</v>
      </c>
      <c r="S47" s="56" t="s">
        <v>622</v>
      </c>
    </row>
    <row r="48" spans="1:19" s="10" customFormat="1" ht="15.75" thickBot="1" x14ac:dyDescent="0.25">
      <c r="A48" s="11">
        <v>43871.782037037039</v>
      </c>
      <c r="B48" s="9" t="s">
        <v>1</v>
      </c>
      <c r="C48" s="9">
        <v>34</v>
      </c>
      <c r="D48" s="9">
        <v>174</v>
      </c>
      <c r="E48" s="9" t="s">
        <v>44</v>
      </c>
      <c r="F48" s="9" t="s">
        <v>3</v>
      </c>
      <c r="G48" s="9">
        <v>10</v>
      </c>
      <c r="H48" s="9" t="s">
        <v>45</v>
      </c>
      <c r="I48" s="9" t="s">
        <v>5</v>
      </c>
      <c r="J48" s="9">
        <v>0</v>
      </c>
      <c r="K48" s="9"/>
      <c r="L48" s="9"/>
      <c r="M48" s="9" t="s">
        <v>32</v>
      </c>
      <c r="N48" s="9" t="s">
        <v>46</v>
      </c>
      <c r="O48" s="9" t="s">
        <v>591</v>
      </c>
      <c r="P48" s="9" t="s">
        <v>5</v>
      </c>
      <c r="S48" s="56" t="s">
        <v>623</v>
      </c>
    </row>
    <row r="49" spans="1:19" s="10" customFormat="1" ht="15.75" thickBot="1" x14ac:dyDescent="0.25">
      <c r="A49" s="9" t="s">
        <v>72</v>
      </c>
      <c r="B49" s="9" t="s">
        <v>1</v>
      </c>
      <c r="C49" s="9">
        <v>29</v>
      </c>
      <c r="D49" s="9">
        <v>171</v>
      </c>
      <c r="E49" s="9" t="s">
        <v>73</v>
      </c>
      <c r="F49" s="9" t="s">
        <v>5</v>
      </c>
      <c r="G49" s="9">
        <v>0</v>
      </c>
      <c r="H49" s="9"/>
      <c r="I49" s="9" t="s">
        <v>5</v>
      </c>
      <c r="J49" s="9">
        <v>0</v>
      </c>
      <c r="K49" s="9"/>
      <c r="L49" s="9"/>
      <c r="M49" s="9"/>
      <c r="N49" s="9" t="s">
        <v>21</v>
      </c>
      <c r="O49" s="9" t="s">
        <v>592</v>
      </c>
      <c r="P49" s="9" t="s">
        <v>5</v>
      </c>
      <c r="S49" s="56" t="s">
        <v>624</v>
      </c>
    </row>
    <row r="50" spans="1:19" s="10" customFormat="1" ht="15.75" thickBot="1" x14ac:dyDescent="0.25">
      <c r="A50" s="11">
        <v>43871.965555555558</v>
      </c>
      <c r="B50" s="9" t="s">
        <v>1</v>
      </c>
      <c r="C50" s="9">
        <v>51</v>
      </c>
      <c r="D50" s="9">
        <v>180</v>
      </c>
      <c r="E50" s="9" t="s">
        <v>47</v>
      </c>
      <c r="F50" s="9" t="s">
        <v>3</v>
      </c>
      <c r="G50" s="9">
        <v>100</v>
      </c>
      <c r="H50" s="9" t="s">
        <v>48</v>
      </c>
      <c r="I50" s="9" t="s">
        <v>5</v>
      </c>
      <c r="J50" s="9">
        <v>0</v>
      </c>
      <c r="K50" s="9"/>
      <c r="L50" s="9"/>
      <c r="M50" s="9"/>
      <c r="N50" s="9" t="s">
        <v>49</v>
      </c>
      <c r="O50" s="9" t="s">
        <v>593</v>
      </c>
      <c r="P50" s="9" t="s">
        <v>5</v>
      </c>
      <c r="S50" s="56" t="s">
        <v>625</v>
      </c>
    </row>
    <row r="51" spans="1:19" s="10" customFormat="1" ht="15.75" thickBot="1" x14ac:dyDescent="0.25">
      <c r="A51" s="9" t="s">
        <v>81</v>
      </c>
      <c r="B51" s="9" t="s">
        <v>6</v>
      </c>
      <c r="C51" s="9">
        <v>27</v>
      </c>
      <c r="D51" s="9">
        <v>170</v>
      </c>
      <c r="E51" s="9" t="s">
        <v>18</v>
      </c>
      <c r="F51" s="9" t="s">
        <v>5</v>
      </c>
      <c r="G51" s="9"/>
      <c r="H51" s="9"/>
      <c r="I51" s="9" t="s">
        <v>5</v>
      </c>
      <c r="J51" s="9">
        <v>0</v>
      </c>
      <c r="K51" s="9"/>
      <c r="L51" s="9"/>
      <c r="M51" s="9" t="s">
        <v>5</v>
      </c>
      <c r="N51" s="9" t="s">
        <v>20</v>
      </c>
      <c r="O51" s="9" t="s">
        <v>594</v>
      </c>
      <c r="P51" s="9" t="s">
        <v>5</v>
      </c>
      <c r="S51" s="56" t="s">
        <v>626</v>
      </c>
    </row>
    <row r="52" spans="1:19" s="10" customFormat="1" ht="15.75" thickBot="1" x14ac:dyDescent="0.25">
      <c r="A52" s="11">
        <v>43871.631099537037</v>
      </c>
      <c r="B52" s="9" t="s">
        <v>1</v>
      </c>
      <c r="C52" s="9">
        <v>22</v>
      </c>
      <c r="D52" s="9">
        <v>436.88</v>
      </c>
      <c r="E52" s="9" t="s">
        <v>36</v>
      </c>
      <c r="F52" s="9" t="s">
        <v>3</v>
      </c>
      <c r="G52" s="9">
        <v>160</v>
      </c>
      <c r="H52" s="9" t="s">
        <v>37</v>
      </c>
      <c r="I52" s="9" t="s">
        <v>5</v>
      </c>
      <c r="J52" s="9">
        <v>0</v>
      </c>
      <c r="K52" s="9"/>
      <c r="L52" s="9"/>
      <c r="M52" s="9"/>
      <c r="N52" s="9" t="s">
        <v>21</v>
      </c>
      <c r="O52" s="9" t="s">
        <v>595</v>
      </c>
      <c r="P52" s="9" t="s">
        <v>5</v>
      </c>
      <c r="S52" s="56" t="s">
        <v>627</v>
      </c>
    </row>
  </sheetData>
  <sortState xmlns:xlrd2="http://schemas.microsoft.com/office/spreadsheetml/2017/richdata2" ref="A2:P52">
    <sortCondition ref="O1"/>
  </sortState>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K56"/>
  <sheetViews>
    <sheetView workbookViewId="0">
      <selection activeCell="R23" sqref="R23"/>
    </sheetView>
  </sheetViews>
  <sheetFormatPr defaultRowHeight="15" x14ac:dyDescent="0.25"/>
  <cols>
    <col min="1" max="1" width="11.7109375" bestFit="1" customWidth="1"/>
    <col min="2" max="2" width="15.28515625" bestFit="1" customWidth="1"/>
    <col min="3" max="3" width="17.5703125" bestFit="1" customWidth="1"/>
    <col min="6" max="6" width="16" customWidth="1"/>
    <col min="7" max="7" width="49.42578125" customWidth="1"/>
    <col min="8" max="8" width="18.140625" customWidth="1"/>
    <col min="9" max="14" width="9.140625" customWidth="1"/>
    <col min="15" max="15" width="7.7109375" customWidth="1"/>
    <col min="16" max="17" width="9.140625" customWidth="1"/>
    <col min="18" max="18" width="33.42578125" customWidth="1"/>
    <col min="19" max="26" width="9.140625" customWidth="1"/>
    <col min="27" max="27" width="10.5703125" customWidth="1"/>
    <col min="35" max="47" width="0" hidden="1" customWidth="1"/>
    <col min="48" max="48" width="19.7109375" bestFit="1" customWidth="1"/>
    <col min="63" max="63" width="16.7109375" bestFit="1" customWidth="1"/>
  </cols>
  <sheetData>
    <row r="1" spans="1:63" ht="30" customHeight="1" x14ac:dyDescent="0.25">
      <c r="I1" s="67"/>
      <c r="J1" s="67"/>
      <c r="K1" s="67"/>
      <c r="L1" s="67"/>
      <c r="M1" s="67"/>
      <c r="N1" s="67"/>
      <c r="O1" s="67"/>
      <c r="P1" s="67"/>
      <c r="Q1" s="67"/>
      <c r="S1" s="67" t="s">
        <v>157</v>
      </c>
      <c r="T1" s="67"/>
      <c r="U1" s="67"/>
      <c r="V1" s="67"/>
      <c r="W1" s="67"/>
      <c r="X1" s="67"/>
      <c r="Y1" s="67"/>
      <c r="Z1" s="67"/>
      <c r="AA1" s="67"/>
      <c r="AC1" s="67" t="s">
        <v>158</v>
      </c>
      <c r="AD1" s="67"/>
      <c r="AE1" s="67"/>
      <c r="AF1" s="67"/>
      <c r="AG1" s="67"/>
      <c r="AH1" s="67"/>
      <c r="AI1" s="67"/>
      <c r="AJ1" s="67"/>
      <c r="AK1" s="67"/>
      <c r="AL1" s="67"/>
      <c r="AM1" s="67"/>
      <c r="AN1" s="67"/>
      <c r="AO1" s="67"/>
      <c r="AP1" s="67"/>
      <c r="AQ1" s="67"/>
      <c r="AR1" s="67"/>
      <c r="AS1" s="67"/>
      <c r="AT1" s="67"/>
      <c r="AU1" s="67"/>
      <c r="AX1" s="67" t="s">
        <v>158</v>
      </c>
      <c r="AY1" s="67"/>
      <c r="AZ1" s="67"/>
      <c r="BA1" s="67"/>
      <c r="BB1" s="67"/>
      <c r="BC1" s="67"/>
      <c r="BD1" s="67"/>
    </row>
    <row r="2" spans="1:63" ht="30" x14ac:dyDescent="0.25">
      <c r="A2" s="10" t="s">
        <v>159</v>
      </c>
      <c r="B2" s="10" t="s">
        <v>214</v>
      </c>
      <c r="C2" s="10" t="s">
        <v>160</v>
      </c>
      <c r="D2" s="10" t="s">
        <v>464</v>
      </c>
      <c r="E2" s="10" t="s">
        <v>138</v>
      </c>
      <c r="F2" s="12" t="s">
        <v>161</v>
      </c>
      <c r="G2" s="12" t="s">
        <v>136</v>
      </c>
      <c r="H2" s="50"/>
      <c r="I2" s="10" t="s">
        <v>162</v>
      </c>
      <c r="J2" s="10" t="s">
        <v>163</v>
      </c>
      <c r="K2" s="10" t="s">
        <v>164</v>
      </c>
      <c r="L2" s="10" t="s">
        <v>165</v>
      </c>
      <c r="M2" s="10" t="s">
        <v>166</v>
      </c>
      <c r="N2" s="10" t="s">
        <v>167</v>
      </c>
      <c r="O2" s="10" t="s">
        <v>168</v>
      </c>
      <c r="P2" s="10" t="s">
        <v>169</v>
      </c>
      <c r="Q2" s="10" t="s">
        <v>170</v>
      </c>
      <c r="R2" s="10" t="s">
        <v>244</v>
      </c>
      <c r="S2" s="10" t="s">
        <v>162</v>
      </c>
      <c r="T2" s="10" t="s">
        <v>163</v>
      </c>
      <c r="U2" s="10" t="s">
        <v>164</v>
      </c>
      <c r="V2" s="10" t="s">
        <v>165</v>
      </c>
      <c r="W2" s="10" t="s">
        <v>166</v>
      </c>
      <c r="X2" s="10" t="s">
        <v>167</v>
      </c>
      <c r="Y2" s="10" t="s">
        <v>168</v>
      </c>
      <c r="Z2" s="10" t="s">
        <v>169</v>
      </c>
      <c r="AA2" s="10" t="s">
        <v>170</v>
      </c>
      <c r="AB2" s="10"/>
      <c r="AC2" s="10" t="s">
        <v>171</v>
      </c>
      <c r="AD2" s="10" t="s">
        <v>172</v>
      </c>
      <c r="AE2" s="10" t="s">
        <v>173</v>
      </c>
      <c r="AF2" s="10" t="s">
        <v>174</v>
      </c>
      <c r="AG2" s="10" t="s">
        <v>175</v>
      </c>
      <c r="AH2" s="10" t="s">
        <v>176</v>
      </c>
      <c r="AI2" s="13" t="s">
        <v>177</v>
      </c>
      <c r="AJ2" s="13" t="s">
        <v>178</v>
      </c>
      <c r="AK2" s="13" t="s">
        <v>179</v>
      </c>
      <c r="AL2" s="13" t="s">
        <v>180</v>
      </c>
      <c r="AM2" s="13" t="s">
        <v>181</v>
      </c>
      <c r="AN2" s="10" t="s">
        <v>182</v>
      </c>
      <c r="AO2" s="10" t="s">
        <v>183</v>
      </c>
      <c r="AP2" s="10" t="s">
        <v>184</v>
      </c>
      <c r="AQ2" s="10" t="s">
        <v>185</v>
      </c>
      <c r="AR2" s="10" t="s">
        <v>186</v>
      </c>
      <c r="AS2" s="10" t="s">
        <v>187</v>
      </c>
      <c r="AT2" s="10" t="s">
        <v>188</v>
      </c>
      <c r="AU2" s="10" t="s">
        <v>170</v>
      </c>
      <c r="AV2" s="10" t="s">
        <v>243</v>
      </c>
      <c r="AX2" s="64" t="s">
        <v>171</v>
      </c>
      <c r="AY2" s="64" t="s">
        <v>172</v>
      </c>
      <c r="AZ2" s="64" t="s">
        <v>173</v>
      </c>
      <c r="BA2" s="64" t="s">
        <v>174</v>
      </c>
      <c r="BB2" s="64" t="s">
        <v>175</v>
      </c>
      <c r="BC2" s="64" t="s">
        <v>176</v>
      </c>
      <c r="BD2" s="64" t="s">
        <v>170</v>
      </c>
    </row>
    <row r="3" spans="1:63" x14ac:dyDescent="0.25">
      <c r="A3" s="10" t="s">
        <v>66</v>
      </c>
      <c r="B3" s="10" t="s">
        <v>523</v>
      </c>
      <c r="C3" s="55">
        <v>1</v>
      </c>
      <c r="D3" s="10" t="s">
        <v>190</v>
      </c>
      <c r="E3">
        <v>22</v>
      </c>
      <c r="F3">
        <v>20</v>
      </c>
      <c r="G3" s="53">
        <v>44085.612199074072</v>
      </c>
      <c r="H3" s="53" t="s">
        <v>568</v>
      </c>
      <c r="I3" s="17">
        <v>0.43888888888888888</v>
      </c>
      <c r="J3" s="17">
        <v>0.44097222222222227</v>
      </c>
      <c r="K3" s="17">
        <v>0.55069444444444449</v>
      </c>
      <c r="L3" s="17">
        <v>0.57847222222222217</v>
      </c>
      <c r="M3" s="17">
        <v>0.58402777777777781</v>
      </c>
      <c r="N3" s="17">
        <v>0.63055555555555554</v>
      </c>
      <c r="O3" s="17">
        <v>0.64027777777777783</v>
      </c>
      <c r="P3" s="17">
        <v>0.68958333333333333</v>
      </c>
      <c r="Q3" s="14">
        <f>16*60+33</f>
        <v>993</v>
      </c>
      <c r="R3" s="14"/>
      <c r="S3" s="14">
        <v>1</v>
      </c>
      <c r="T3" s="14">
        <v>0</v>
      </c>
      <c r="U3" s="14">
        <v>2</v>
      </c>
      <c r="V3" s="14">
        <v>0</v>
      </c>
      <c r="W3" s="14">
        <v>0</v>
      </c>
      <c r="X3" s="14">
        <v>0</v>
      </c>
      <c r="Y3" s="14">
        <v>0</v>
      </c>
      <c r="Z3" s="14">
        <v>0</v>
      </c>
      <c r="AA3" s="14">
        <v>2</v>
      </c>
      <c r="AB3" s="10"/>
      <c r="AC3" s="14">
        <v>40</v>
      </c>
      <c r="AD3" s="14">
        <v>35</v>
      </c>
      <c r="AE3" s="14">
        <v>50</v>
      </c>
      <c r="AF3" s="14">
        <v>15</v>
      </c>
      <c r="AG3" s="14">
        <v>30</v>
      </c>
      <c r="AH3" s="14">
        <v>10</v>
      </c>
      <c r="AJ3" s="13"/>
      <c r="AK3" s="13"/>
      <c r="AL3" s="13"/>
      <c r="AM3" s="13"/>
      <c r="AN3" s="10"/>
      <c r="AO3" s="10"/>
      <c r="AP3" s="10"/>
      <c r="AQ3" s="10"/>
      <c r="AR3" s="10"/>
      <c r="AS3" s="10"/>
      <c r="AT3" s="10"/>
      <c r="AU3" s="10"/>
      <c r="AV3" s="61">
        <f>AVERAGE(AC3:AH3)</f>
        <v>30</v>
      </c>
      <c r="AX3" s="14">
        <v>10</v>
      </c>
      <c r="AY3" s="14">
        <v>20</v>
      </c>
      <c r="AZ3" s="14">
        <v>15</v>
      </c>
      <c r="BA3" s="14">
        <v>15</v>
      </c>
      <c r="BB3" s="14">
        <v>10</v>
      </c>
      <c r="BC3" s="14">
        <v>10</v>
      </c>
      <c r="BD3" s="65">
        <f>AVERAGE(AX3:BC3)</f>
        <v>13.333333333333334</v>
      </c>
      <c r="BG3">
        <f>AE3-AZ3</f>
        <v>35</v>
      </c>
      <c r="BH3">
        <f>AF3-BA3</f>
        <v>0</v>
      </c>
      <c r="BI3">
        <f t="shared" ref="BI3:BJ11" si="0">AG3-BB3</f>
        <v>20</v>
      </c>
      <c r="BJ3">
        <f t="shared" si="0"/>
        <v>0</v>
      </c>
      <c r="BK3" s="23">
        <f>AV3-BD3</f>
        <v>16.666666666666664</v>
      </c>
    </row>
    <row r="4" spans="1:63" x14ac:dyDescent="0.25">
      <c r="A4" s="10"/>
      <c r="B4" s="10"/>
      <c r="C4" s="55">
        <v>2</v>
      </c>
      <c r="D4" s="10" t="s">
        <v>190</v>
      </c>
      <c r="E4">
        <v>31</v>
      </c>
      <c r="F4">
        <v>1000</v>
      </c>
      <c r="G4" s="53">
        <v>44115.442233796297</v>
      </c>
      <c r="H4" s="53" t="s">
        <v>569</v>
      </c>
      <c r="I4" s="15">
        <v>0.15763888888888888</v>
      </c>
      <c r="J4" s="15">
        <v>0.17222222222222225</v>
      </c>
      <c r="K4" s="15">
        <v>0.23750000000000002</v>
      </c>
      <c r="L4" s="15">
        <v>0.25625000000000003</v>
      </c>
      <c r="M4" s="15">
        <v>0.2673611111111111</v>
      </c>
      <c r="N4" s="15">
        <v>0.30416666666666664</v>
      </c>
      <c r="O4" s="15">
        <v>0.32430555555555557</v>
      </c>
      <c r="P4" s="15">
        <v>0.36041666666666666</v>
      </c>
      <c r="Q4">
        <f>8*60+39</f>
        <v>519</v>
      </c>
      <c r="S4" s="46">
        <v>1</v>
      </c>
      <c r="T4" s="46">
        <v>0</v>
      </c>
      <c r="U4" s="46">
        <v>0</v>
      </c>
      <c r="V4" s="46">
        <v>0</v>
      </c>
      <c r="W4" s="46">
        <v>0</v>
      </c>
      <c r="X4" s="46">
        <v>0</v>
      </c>
      <c r="Y4" s="46">
        <v>0</v>
      </c>
      <c r="Z4" s="46">
        <v>0</v>
      </c>
      <c r="AA4" s="46">
        <v>1</v>
      </c>
      <c r="AB4" s="10"/>
      <c r="AC4" s="14">
        <v>15</v>
      </c>
      <c r="AD4" s="14">
        <v>20</v>
      </c>
      <c r="AE4" s="14">
        <v>5</v>
      </c>
      <c r="AF4" s="14">
        <v>5</v>
      </c>
      <c r="AG4" s="14">
        <v>25</v>
      </c>
      <c r="AH4" s="14">
        <v>5</v>
      </c>
      <c r="AI4" s="13"/>
      <c r="AJ4" s="13"/>
      <c r="AK4" s="13"/>
      <c r="AL4" s="13"/>
      <c r="AM4" s="13"/>
      <c r="AN4" s="10"/>
      <c r="AO4" s="10"/>
      <c r="AP4" s="10"/>
      <c r="AQ4" s="10"/>
      <c r="AR4" s="10"/>
      <c r="AS4" s="10"/>
      <c r="AT4" s="10"/>
      <c r="AU4" s="10"/>
      <c r="AV4" s="61">
        <f t="shared" ref="AV4:AV11" si="1">AVERAGE(AC4:AH4)</f>
        <v>12.5</v>
      </c>
      <c r="AX4">
        <v>10</v>
      </c>
      <c r="AY4">
        <v>5</v>
      </c>
      <c r="AZ4">
        <v>15</v>
      </c>
      <c r="BA4">
        <v>5</v>
      </c>
      <c r="BB4">
        <v>10</v>
      </c>
      <c r="BC4">
        <v>5</v>
      </c>
      <c r="BD4" s="65">
        <f t="shared" ref="BD4:BD11" si="2">AVERAGE(AX4:BC4)</f>
        <v>8.3333333333333339</v>
      </c>
      <c r="BG4">
        <f t="shared" ref="BG4:BH11" si="3">AE4-AZ4</f>
        <v>-10</v>
      </c>
      <c r="BH4">
        <f t="shared" si="3"/>
        <v>0</v>
      </c>
      <c r="BI4">
        <f t="shared" si="0"/>
        <v>15</v>
      </c>
      <c r="BJ4">
        <f t="shared" si="0"/>
        <v>0</v>
      </c>
      <c r="BK4" s="23">
        <f t="shared" ref="BK4:BK11" si="4">AV4-BD4</f>
        <v>4.1666666666666661</v>
      </c>
    </row>
    <row r="5" spans="1:63" x14ac:dyDescent="0.25">
      <c r="A5" s="10"/>
      <c r="B5" s="10"/>
      <c r="C5" s="55">
        <v>3</v>
      </c>
      <c r="D5" s="48" t="s">
        <v>190</v>
      </c>
      <c r="E5">
        <v>28</v>
      </c>
      <c r="F5">
        <v>15</v>
      </c>
      <c r="G5" s="53">
        <v>44115.497673611113</v>
      </c>
      <c r="H5" s="53" t="s">
        <v>570</v>
      </c>
      <c r="I5" s="15">
        <v>0.3666666666666667</v>
      </c>
      <c r="J5" s="15">
        <v>0.37152777777777773</v>
      </c>
      <c r="K5" s="15">
        <v>0.47430555555555554</v>
      </c>
      <c r="L5" s="15">
        <v>0.71319444444444446</v>
      </c>
      <c r="M5" s="15">
        <v>0.7583333333333333</v>
      </c>
      <c r="N5" s="15">
        <v>0.8340277777777777</v>
      </c>
      <c r="O5" s="15">
        <v>0.98055555555555562</v>
      </c>
      <c r="P5" s="47">
        <v>1.0687499999999999</v>
      </c>
      <c r="Q5">
        <f>25*60+39</f>
        <v>1539</v>
      </c>
      <c r="S5" t="s">
        <v>524</v>
      </c>
      <c r="T5" s="14">
        <v>0</v>
      </c>
      <c r="U5" s="14">
        <v>0</v>
      </c>
      <c r="V5" s="14" t="s">
        <v>525</v>
      </c>
      <c r="W5" s="14">
        <v>0</v>
      </c>
      <c r="X5" s="14">
        <v>0</v>
      </c>
      <c r="Y5" s="14">
        <v>4</v>
      </c>
      <c r="Z5" s="14">
        <v>0</v>
      </c>
      <c r="AA5" s="14">
        <v>8</v>
      </c>
      <c r="AB5" s="10"/>
      <c r="AC5">
        <v>55</v>
      </c>
      <c r="AD5">
        <v>45</v>
      </c>
      <c r="AE5">
        <v>70</v>
      </c>
      <c r="AF5">
        <v>15</v>
      </c>
      <c r="AG5">
        <v>50</v>
      </c>
      <c r="AH5">
        <v>65</v>
      </c>
      <c r="AI5" s="13"/>
      <c r="AJ5" s="13"/>
      <c r="AK5" s="13"/>
      <c r="AL5" s="13"/>
      <c r="AM5" s="13"/>
      <c r="AN5" s="10"/>
      <c r="AO5" s="10"/>
      <c r="AP5" s="10"/>
      <c r="AQ5" s="10"/>
      <c r="AR5" s="10"/>
      <c r="AS5" s="10"/>
      <c r="AT5" s="10"/>
      <c r="AU5" s="10"/>
      <c r="AV5" s="61">
        <f t="shared" si="1"/>
        <v>50</v>
      </c>
      <c r="AX5">
        <v>20</v>
      </c>
      <c r="AY5">
        <v>35</v>
      </c>
      <c r="AZ5">
        <v>25</v>
      </c>
      <c r="BA5">
        <v>15</v>
      </c>
      <c r="BB5">
        <v>15</v>
      </c>
      <c r="BC5">
        <v>15</v>
      </c>
      <c r="BD5" s="65">
        <f t="shared" si="2"/>
        <v>20.833333333333332</v>
      </c>
      <c r="BG5">
        <f t="shared" si="3"/>
        <v>45</v>
      </c>
      <c r="BH5">
        <f t="shared" si="3"/>
        <v>0</v>
      </c>
      <c r="BI5">
        <f t="shared" si="0"/>
        <v>35</v>
      </c>
      <c r="BJ5">
        <f t="shared" si="0"/>
        <v>50</v>
      </c>
      <c r="BK5" s="23">
        <f t="shared" si="4"/>
        <v>29.166666666666668</v>
      </c>
    </row>
    <row r="6" spans="1:63" x14ac:dyDescent="0.25">
      <c r="A6" s="10"/>
      <c r="B6" s="10"/>
      <c r="C6" s="55">
        <v>4</v>
      </c>
      <c r="D6" s="48" t="s">
        <v>190</v>
      </c>
      <c r="E6">
        <v>24</v>
      </c>
      <c r="F6">
        <v>5</v>
      </c>
      <c r="G6" s="53">
        <v>44115.613645833335</v>
      </c>
      <c r="H6" s="53" t="s">
        <v>571</v>
      </c>
      <c r="I6" s="15">
        <v>0.36458333333333331</v>
      </c>
      <c r="J6" s="15">
        <v>0.37361111111111112</v>
      </c>
      <c r="K6" s="15">
        <v>0.47430555555555554</v>
      </c>
      <c r="L6" s="15">
        <v>0.50902777777777775</v>
      </c>
      <c r="M6" s="15">
        <v>0.53611111111111109</v>
      </c>
      <c r="N6" s="15">
        <v>0.60138888888888886</v>
      </c>
      <c r="O6" s="15">
        <v>0.64097222222222217</v>
      </c>
      <c r="P6" s="15">
        <v>0.70624999999999993</v>
      </c>
      <c r="Q6">
        <f>16*60+57</f>
        <v>1017</v>
      </c>
      <c r="S6" s="14">
        <v>0</v>
      </c>
      <c r="T6" s="14">
        <v>0</v>
      </c>
      <c r="U6" s="14">
        <v>0</v>
      </c>
      <c r="V6" s="14">
        <v>0</v>
      </c>
      <c r="W6" s="14">
        <v>0</v>
      </c>
      <c r="X6" s="14">
        <v>0</v>
      </c>
      <c r="Y6" s="14">
        <v>0</v>
      </c>
      <c r="Z6" s="14">
        <v>0</v>
      </c>
      <c r="AA6" s="14">
        <v>0</v>
      </c>
      <c r="AB6" s="10"/>
      <c r="AC6">
        <v>35</v>
      </c>
      <c r="AD6">
        <v>15</v>
      </c>
      <c r="AE6">
        <v>35</v>
      </c>
      <c r="AF6">
        <v>25</v>
      </c>
      <c r="AG6">
        <v>45</v>
      </c>
      <c r="AH6">
        <v>35</v>
      </c>
      <c r="AI6" s="13"/>
      <c r="AJ6" s="13"/>
      <c r="AK6" s="13"/>
      <c r="AL6" s="13"/>
      <c r="AM6" s="13"/>
      <c r="AN6" s="10"/>
      <c r="AO6" s="10"/>
      <c r="AP6" s="10"/>
      <c r="AQ6" s="10"/>
      <c r="AR6" s="10"/>
      <c r="AS6" s="10"/>
      <c r="AT6" s="10"/>
      <c r="AU6" s="10"/>
      <c r="AV6" s="61">
        <f t="shared" si="1"/>
        <v>31.666666666666668</v>
      </c>
      <c r="AX6">
        <v>5</v>
      </c>
      <c r="AY6">
        <v>15</v>
      </c>
      <c r="AZ6">
        <v>15</v>
      </c>
      <c r="BA6">
        <v>10</v>
      </c>
      <c r="BB6">
        <v>10</v>
      </c>
      <c r="BC6">
        <v>15</v>
      </c>
      <c r="BD6" s="65">
        <f t="shared" si="2"/>
        <v>11.666666666666666</v>
      </c>
      <c r="BG6">
        <f t="shared" si="3"/>
        <v>20</v>
      </c>
      <c r="BH6">
        <f t="shared" si="3"/>
        <v>15</v>
      </c>
      <c r="BI6">
        <f t="shared" si="0"/>
        <v>35</v>
      </c>
      <c r="BJ6">
        <f t="shared" si="0"/>
        <v>20</v>
      </c>
      <c r="BK6" s="23">
        <f t="shared" si="4"/>
        <v>20</v>
      </c>
    </row>
    <row r="7" spans="1:63" x14ac:dyDescent="0.25">
      <c r="A7" s="10"/>
      <c r="B7" s="10"/>
      <c r="C7" s="55">
        <v>5</v>
      </c>
      <c r="D7" s="48" t="s">
        <v>190</v>
      </c>
      <c r="E7">
        <v>34</v>
      </c>
      <c r="F7">
        <v>15</v>
      </c>
      <c r="G7" s="53">
        <v>44146.607372685183</v>
      </c>
      <c r="H7" s="53" t="s">
        <v>572</v>
      </c>
      <c r="I7" s="15">
        <v>0.25486111111111109</v>
      </c>
      <c r="J7" s="15">
        <v>0.2638888888888889</v>
      </c>
      <c r="K7" s="15">
        <v>0.3430555555555555</v>
      </c>
      <c r="L7" s="15">
        <v>0.35555555555555557</v>
      </c>
      <c r="M7" s="15">
        <v>0.38611111111111113</v>
      </c>
      <c r="N7" s="15">
        <v>0.40625</v>
      </c>
      <c r="O7" s="15">
        <v>0.4381944444444445</v>
      </c>
      <c r="P7" s="15">
        <v>0.4993055555555555</v>
      </c>
      <c r="Q7">
        <f>11*60+59</f>
        <v>719</v>
      </c>
      <c r="S7" s="14">
        <v>0</v>
      </c>
      <c r="T7" s="14">
        <v>0</v>
      </c>
      <c r="U7" s="14">
        <v>0</v>
      </c>
      <c r="V7" s="14">
        <v>0</v>
      </c>
      <c r="W7" s="14">
        <v>0</v>
      </c>
      <c r="X7" s="14">
        <v>0</v>
      </c>
      <c r="Y7" s="14">
        <v>0</v>
      </c>
      <c r="Z7" s="14">
        <v>0</v>
      </c>
      <c r="AA7" s="14">
        <v>0</v>
      </c>
      <c r="AB7" s="10"/>
      <c r="AC7">
        <v>75</v>
      </c>
      <c r="AD7">
        <v>20</v>
      </c>
      <c r="AE7">
        <v>65</v>
      </c>
      <c r="AF7">
        <v>5</v>
      </c>
      <c r="AG7">
        <v>40</v>
      </c>
      <c r="AH7">
        <v>30</v>
      </c>
      <c r="AI7" s="13"/>
      <c r="AJ7" s="13"/>
      <c r="AK7" s="13"/>
      <c r="AL7" s="13"/>
      <c r="AM7" s="13"/>
      <c r="AN7" s="10"/>
      <c r="AO7" s="10"/>
      <c r="AP7" s="10"/>
      <c r="AQ7" s="10"/>
      <c r="AR7" s="10"/>
      <c r="AS7" s="10"/>
      <c r="AT7" s="10"/>
      <c r="AU7" s="10"/>
      <c r="AV7" s="61">
        <f t="shared" si="1"/>
        <v>39.166666666666664</v>
      </c>
      <c r="AX7">
        <v>15</v>
      </c>
      <c r="AY7">
        <v>15</v>
      </c>
      <c r="AZ7">
        <v>20</v>
      </c>
      <c r="BA7">
        <v>5</v>
      </c>
      <c r="BB7">
        <v>25</v>
      </c>
      <c r="BC7">
        <v>20</v>
      </c>
      <c r="BD7" s="65">
        <f t="shared" si="2"/>
        <v>16.666666666666668</v>
      </c>
      <c r="BG7">
        <f t="shared" si="3"/>
        <v>45</v>
      </c>
      <c r="BH7">
        <f t="shared" si="3"/>
        <v>0</v>
      </c>
      <c r="BI7">
        <f t="shared" si="0"/>
        <v>15</v>
      </c>
      <c r="BJ7">
        <f t="shared" si="0"/>
        <v>10</v>
      </c>
      <c r="BK7" s="23">
        <f t="shared" si="4"/>
        <v>22.499999999999996</v>
      </c>
    </row>
    <row r="8" spans="1:63" x14ac:dyDescent="0.25">
      <c r="A8" s="10"/>
      <c r="B8" s="10"/>
      <c r="C8" s="55">
        <v>6</v>
      </c>
      <c r="D8" s="48" t="s">
        <v>190</v>
      </c>
      <c r="E8">
        <v>33</v>
      </c>
      <c r="F8">
        <v>10</v>
      </c>
      <c r="G8" s="53">
        <v>44146.647962962961</v>
      </c>
      <c r="H8" s="53" t="s">
        <v>573</v>
      </c>
      <c r="I8" s="15">
        <v>0.19305555555555554</v>
      </c>
      <c r="J8" s="15">
        <v>0.19791666666666666</v>
      </c>
      <c r="K8" s="15">
        <v>0.24930555555555556</v>
      </c>
      <c r="L8" s="15">
        <v>0.27291666666666664</v>
      </c>
      <c r="M8" s="15">
        <v>0.28541666666666665</v>
      </c>
      <c r="N8" s="15">
        <v>0.31597222222222221</v>
      </c>
      <c r="O8" s="15">
        <v>0.32916666666666666</v>
      </c>
      <c r="P8" s="15">
        <v>0.37222222222222223</v>
      </c>
      <c r="Q8">
        <f>8*60+56</f>
        <v>536</v>
      </c>
      <c r="S8" s="14">
        <v>2</v>
      </c>
      <c r="U8" s="14" t="s">
        <v>526</v>
      </c>
      <c r="V8" s="14">
        <v>0</v>
      </c>
      <c r="W8" s="14">
        <v>0</v>
      </c>
      <c r="X8" s="14">
        <v>0</v>
      </c>
      <c r="Y8" s="14">
        <v>0</v>
      </c>
      <c r="Z8" s="14">
        <v>0</v>
      </c>
      <c r="AA8" s="14">
        <v>2</v>
      </c>
      <c r="AB8" s="10"/>
      <c r="AC8">
        <v>70</v>
      </c>
      <c r="AD8">
        <v>40</v>
      </c>
      <c r="AE8">
        <v>40</v>
      </c>
      <c r="AF8">
        <v>30</v>
      </c>
      <c r="AG8">
        <v>60</v>
      </c>
      <c r="AH8">
        <v>30</v>
      </c>
      <c r="AI8" s="13"/>
      <c r="AJ8" s="13"/>
      <c r="AK8" s="13"/>
      <c r="AL8" s="13"/>
      <c r="AM8" s="13"/>
      <c r="AN8" s="10"/>
      <c r="AO8" s="10"/>
      <c r="AP8" s="10"/>
      <c r="AQ8" s="10"/>
      <c r="AR8" s="10"/>
      <c r="AS8" s="10"/>
      <c r="AT8" s="10"/>
      <c r="AU8" s="10"/>
      <c r="AV8" s="61">
        <f t="shared" si="1"/>
        <v>45</v>
      </c>
      <c r="AX8">
        <v>25</v>
      </c>
      <c r="AY8">
        <v>40</v>
      </c>
      <c r="AZ8">
        <v>30</v>
      </c>
      <c r="BA8">
        <v>25</v>
      </c>
      <c r="BB8">
        <v>25</v>
      </c>
      <c r="BC8">
        <v>35</v>
      </c>
      <c r="BD8" s="65">
        <f t="shared" si="2"/>
        <v>30</v>
      </c>
      <c r="BG8">
        <f t="shared" si="3"/>
        <v>10</v>
      </c>
      <c r="BH8">
        <f t="shared" si="3"/>
        <v>5</v>
      </c>
      <c r="BI8">
        <f t="shared" si="0"/>
        <v>35</v>
      </c>
      <c r="BJ8">
        <f t="shared" si="0"/>
        <v>-5</v>
      </c>
      <c r="BK8" s="23">
        <f t="shared" si="4"/>
        <v>15</v>
      </c>
    </row>
    <row r="9" spans="1:63" x14ac:dyDescent="0.25">
      <c r="A9" s="10"/>
      <c r="B9" s="10"/>
      <c r="C9" s="55">
        <v>7</v>
      </c>
      <c r="D9" s="48" t="s">
        <v>194</v>
      </c>
      <c r="E9">
        <v>25</v>
      </c>
      <c r="F9">
        <v>0</v>
      </c>
      <c r="G9" s="54" t="s">
        <v>564</v>
      </c>
      <c r="H9" s="53" t="s">
        <v>574</v>
      </c>
      <c r="I9" s="23">
        <v>4.07</v>
      </c>
      <c r="J9" s="23">
        <v>4.1100000000000003</v>
      </c>
      <c r="K9" s="23">
        <v>7.09</v>
      </c>
      <c r="L9" s="23">
        <v>7.5</v>
      </c>
      <c r="M9" s="23">
        <v>8.08</v>
      </c>
      <c r="N9" s="23">
        <v>9.17</v>
      </c>
      <c r="O9" s="23">
        <v>9.26</v>
      </c>
      <c r="P9" s="23">
        <v>10.39</v>
      </c>
      <c r="Q9" s="24">
        <f>10*60+39</f>
        <v>639</v>
      </c>
      <c r="R9" s="23"/>
      <c r="S9" t="s">
        <v>527</v>
      </c>
      <c r="T9">
        <v>0</v>
      </c>
      <c r="U9" t="s">
        <v>528</v>
      </c>
      <c r="V9">
        <v>0</v>
      </c>
      <c r="W9" t="s">
        <v>529</v>
      </c>
      <c r="X9">
        <v>0</v>
      </c>
      <c r="Y9">
        <v>0</v>
      </c>
      <c r="Z9">
        <v>0</v>
      </c>
      <c r="AA9">
        <v>8</v>
      </c>
      <c r="AB9" s="10"/>
      <c r="AC9">
        <v>30</v>
      </c>
      <c r="AD9">
        <v>30</v>
      </c>
      <c r="AE9">
        <v>35</v>
      </c>
      <c r="AF9">
        <v>40</v>
      </c>
      <c r="AG9">
        <v>35</v>
      </c>
      <c r="AH9">
        <v>25</v>
      </c>
      <c r="AI9" s="13"/>
      <c r="AJ9" s="13"/>
      <c r="AK9" s="13"/>
      <c r="AL9" s="13"/>
      <c r="AM9" s="13"/>
      <c r="AN9" s="10"/>
      <c r="AO9" s="10"/>
      <c r="AP9" s="10"/>
      <c r="AQ9" s="10"/>
      <c r="AR9" s="10"/>
      <c r="AS9" s="10"/>
      <c r="AT9" s="10"/>
      <c r="AU9" s="10"/>
      <c r="AV9" s="61">
        <f t="shared" si="1"/>
        <v>32.5</v>
      </c>
      <c r="AX9">
        <v>20</v>
      </c>
      <c r="AY9">
        <v>20</v>
      </c>
      <c r="AZ9">
        <v>20</v>
      </c>
      <c r="BA9">
        <v>40</v>
      </c>
      <c r="BB9">
        <v>25</v>
      </c>
      <c r="BC9">
        <v>15</v>
      </c>
      <c r="BD9" s="65">
        <f t="shared" si="2"/>
        <v>23.333333333333332</v>
      </c>
      <c r="BG9">
        <f t="shared" si="3"/>
        <v>15</v>
      </c>
      <c r="BH9">
        <f t="shared" si="3"/>
        <v>0</v>
      </c>
      <c r="BI9">
        <f t="shared" si="0"/>
        <v>10</v>
      </c>
      <c r="BJ9">
        <f t="shared" si="0"/>
        <v>10</v>
      </c>
      <c r="BK9" s="23">
        <f t="shared" si="4"/>
        <v>9.1666666666666679</v>
      </c>
    </row>
    <row r="10" spans="1:63" x14ac:dyDescent="0.25">
      <c r="A10" s="10"/>
      <c r="B10" s="10"/>
      <c r="C10" s="55">
        <v>8</v>
      </c>
      <c r="D10" s="48" t="s">
        <v>194</v>
      </c>
      <c r="E10">
        <v>23</v>
      </c>
      <c r="F10">
        <v>30</v>
      </c>
      <c r="G10" s="54" t="s">
        <v>565</v>
      </c>
      <c r="H10" s="53" t="s">
        <v>575</v>
      </c>
      <c r="I10" s="23">
        <v>8.27</v>
      </c>
      <c r="J10" s="23">
        <v>8.32</v>
      </c>
      <c r="K10" s="23">
        <v>11.21</v>
      </c>
      <c r="L10" s="23">
        <v>11.46</v>
      </c>
      <c r="M10" s="23">
        <v>12.13</v>
      </c>
      <c r="N10" s="23">
        <v>13</v>
      </c>
      <c r="O10" s="23">
        <v>13.11</v>
      </c>
      <c r="P10" s="23">
        <v>14.38</v>
      </c>
      <c r="Q10" s="24">
        <f>14*60+38</f>
        <v>878</v>
      </c>
      <c r="R10" s="23"/>
      <c r="S10" t="s">
        <v>530</v>
      </c>
      <c r="T10">
        <v>0</v>
      </c>
      <c r="U10" t="s">
        <v>531</v>
      </c>
      <c r="V10">
        <v>0</v>
      </c>
      <c r="W10">
        <v>0</v>
      </c>
      <c r="X10">
        <v>0</v>
      </c>
      <c r="Y10">
        <v>0</v>
      </c>
      <c r="Z10">
        <v>0</v>
      </c>
      <c r="AA10">
        <v>4</v>
      </c>
      <c r="AB10" s="10"/>
      <c r="AC10">
        <v>40</v>
      </c>
      <c r="AD10">
        <v>5</v>
      </c>
      <c r="AE10">
        <v>25</v>
      </c>
      <c r="AF10">
        <v>60</v>
      </c>
      <c r="AG10">
        <v>5</v>
      </c>
      <c r="AH10">
        <v>25</v>
      </c>
      <c r="AI10" s="13"/>
      <c r="AJ10" s="13"/>
      <c r="AK10" s="13"/>
      <c r="AL10" s="13"/>
      <c r="AM10" s="13"/>
      <c r="AN10" s="10"/>
      <c r="AO10" s="10"/>
      <c r="AP10" s="10"/>
      <c r="AQ10" s="10"/>
      <c r="AR10" s="10"/>
      <c r="AS10" s="10"/>
      <c r="AT10" s="10"/>
      <c r="AU10" s="10"/>
      <c r="AV10" s="61">
        <f t="shared" si="1"/>
        <v>26.666666666666668</v>
      </c>
      <c r="AX10">
        <v>50</v>
      </c>
      <c r="AY10">
        <v>10</v>
      </c>
      <c r="AZ10">
        <v>80</v>
      </c>
      <c r="BA10">
        <v>10</v>
      </c>
      <c r="BB10">
        <v>10</v>
      </c>
      <c r="BC10">
        <v>40</v>
      </c>
      <c r="BD10" s="65">
        <f t="shared" si="2"/>
        <v>33.333333333333336</v>
      </c>
      <c r="BG10">
        <f t="shared" si="3"/>
        <v>-55</v>
      </c>
      <c r="BH10">
        <f t="shared" si="3"/>
        <v>50</v>
      </c>
      <c r="BI10">
        <f t="shared" si="0"/>
        <v>-5</v>
      </c>
      <c r="BJ10">
        <f t="shared" si="0"/>
        <v>-15</v>
      </c>
      <c r="BK10" s="23">
        <f t="shared" si="4"/>
        <v>-6.6666666666666679</v>
      </c>
    </row>
    <row r="11" spans="1:63" x14ac:dyDescent="0.25">
      <c r="A11" s="10"/>
      <c r="B11" s="10"/>
      <c r="C11" s="55">
        <v>9</v>
      </c>
      <c r="D11" s="48" t="s">
        <v>190</v>
      </c>
      <c r="E11">
        <v>23</v>
      </c>
      <c r="F11">
        <v>1095</v>
      </c>
      <c r="G11" s="54" t="s">
        <v>566</v>
      </c>
      <c r="H11" s="53" t="s">
        <v>576</v>
      </c>
      <c r="I11" s="23">
        <v>5.49</v>
      </c>
      <c r="J11" s="23">
        <v>5.58</v>
      </c>
      <c r="K11" s="23">
        <v>10.08</v>
      </c>
      <c r="L11" s="23">
        <v>10.49</v>
      </c>
      <c r="M11" s="23">
        <v>11.23</v>
      </c>
      <c r="N11" s="23">
        <v>14.56</v>
      </c>
      <c r="O11" s="23">
        <v>15.14</v>
      </c>
      <c r="P11" s="23">
        <v>16.45</v>
      </c>
      <c r="Q11" s="24">
        <f>16*60+45</f>
        <v>1005</v>
      </c>
      <c r="R11" s="23"/>
      <c r="S11" s="24">
        <v>5</v>
      </c>
      <c r="T11" s="24">
        <v>0</v>
      </c>
      <c r="U11">
        <v>5</v>
      </c>
      <c r="V11">
        <v>5</v>
      </c>
      <c r="W11" s="24">
        <v>0</v>
      </c>
      <c r="X11">
        <v>5</v>
      </c>
      <c r="Y11">
        <v>0</v>
      </c>
      <c r="Z11">
        <v>0</v>
      </c>
      <c r="AA11">
        <v>4</v>
      </c>
      <c r="AB11" s="10"/>
      <c r="AC11">
        <v>25</v>
      </c>
      <c r="AD11">
        <v>45</v>
      </c>
      <c r="AE11">
        <v>35</v>
      </c>
      <c r="AF11">
        <v>55</v>
      </c>
      <c r="AG11">
        <v>60</v>
      </c>
      <c r="AH11">
        <v>15</v>
      </c>
      <c r="AI11" s="13"/>
      <c r="AJ11" s="13"/>
      <c r="AK11" s="13"/>
      <c r="AL11" s="13"/>
      <c r="AM11" s="13"/>
      <c r="AN11" s="10"/>
      <c r="AO11" s="10"/>
      <c r="AP11" s="10"/>
      <c r="AQ11" s="10"/>
      <c r="AR11" s="10"/>
      <c r="AS11" s="10"/>
      <c r="AT11" s="10"/>
      <c r="AU11" s="10"/>
      <c r="AV11" s="61">
        <f t="shared" si="1"/>
        <v>39.166666666666664</v>
      </c>
      <c r="AX11">
        <v>15</v>
      </c>
      <c r="AY11">
        <v>35</v>
      </c>
      <c r="AZ11">
        <v>15</v>
      </c>
      <c r="BA11">
        <v>15</v>
      </c>
      <c r="BB11">
        <v>15</v>
      </c>
      <c r="BC11">
        <v>10</v>
      </c>
      <c r="BD11" s="65">
        <f t="shared" si="2"/>
        <v>17.5</v>
      </c>
      <c r="BG11">
        <f t="shared" si="3"/>
        <v>20</v>
      </c>
      <c r="BH11">
        <f t="shared" si="3"/>
        <v>40</v>
      </c>
      <c r="BI11">
        <f t="shared" si="0"/>
        <v>45</v>
      </c>
      <c r="BJ11">
        <f t="shared" si="0"/>
        <v>5</v>
      </c>
      <c r="BK11" s="23">
        <f t="shared" si="4"/>
        <v>21.666666666666664</v>
      </c>
    </row>
    <row r="12" spans="1:63" ht="15.75" thickBot="1" x14ac:dyDescent="0.3">
      <c r="A12" s="10"/>
      <c r="B12" s="10"/>
      <c r="C12" s="55">
        <v>10</v>
      </c>
      <c r="D12" s="48" t="s">
        <v>194</v>
      </c>
      <c r="E12">
        <v>23</v>
      </c>
      <c r="F12">
        <v>5</v>
      </c>
      <c r="G12" s="54" t="s">
        <v>567</v>
      </c>
      <c r="H12" s="53" t="s">
        <v>577</v>
      </c>
      <c r="I12" s="23">
        <v>9.4700000000000006</v>
      </c>
      <c r="J12" s="23">
        <v>9.5299999999999994</v>
      </c>
      <c r="K12" s="23">
        <v>12</v>
      </c>
      <c r="L12" s="23">
        <v>12.25</v>
      </c>
      <c r="M12" s="23">
        <v>12.5</v>
      </c>
      <c r="N12" s="23">
        <v>13.52</v>
      </c>
      <c r="O12" s="23">
        <v>14.07</v>
      </c>
      <c r="P12" s="23">
        <v>15.32</v>
      </c>
      <c r="Q12" s="24">
        <f>15*60+32</f>
        <v>932</v>
      </c>
      <c r="R12" s="23"/>
      <c r="S12" s="24">
        <v>5</v>
      </c>
      <c r="T12" s="24">
        <v>0</v>
      </c>
      <c r="U12" s="24">
        <v>0</v>
      </c>
      <c r="V12" s="24">
        <v>0</v>
      </c>
      <c r="W12" s="24">
        <v>0</v>
      </c>
      <c r="X12" s="24">
        <v>0</v>
      </c>
      <c r="Y12" s="24">
        <v>0</v>
      </c>
      <c r="Z12" s="24">
        <v>0</v>
      </c>
      <c r="AA12" s="24">
        <v>1</v>
      </c>
      <c r="AB12" s="10"/>
      <c r="AC12">
        <f>AVERAGE(AC3:AC11)</f>
        <v>42.777777777777779</v>
      </c>
      <c r="AD12">
        <f t="shared" ref="AD12:AH12" si="5">AVERAGE(AD3:AD11)</f>
        <v>28.333333333333332</v>
      </c>
      <c r="AE12">
        <f t="shared" si="5"/>
        <v>40</v>
      </c>
      <c r="AF12">
        <f t="shared" si="5"/>
        <v>27.777777777777779</v>
      </c>
      <c r="AG12">
        <f t="shared" si="5"/>
        <v>38.888888888888886</v>
      </c>
      <c r="AH12">
        <f t="shared" si="5"/>
        <v>26.666666666666668</v>
      </c>
      <c r="AI12" s="13"/>
      <c r="AJ12" s="13"/>
      <c r="AK12" s="13"/>
      <c r="AL12" s="13"/>
      <c r="AM12" s="13"/>
      <c r="AN12" s="10"/>
      <c r="AO12" s="10"/>
      <c r="AP12" s="10"/>
      <c r="AQ12" s="10"/>
      <c r="AR12" s="10"/>
      <c r="AS12" s="10"/>
      <c r="AT12" s="10"/>
      <c r="AU12" s="10"/>
      <c r="AV12" s="10"/>
      <c r="AX12">
        <f>AVERAGE(AX3:AX11)</f>
        <v>18.888888888888889</v>
      </c>
      <c r="AY12">
        <f t="shared" ref="AY12" si="6">AVERAGE(AY3:AY11)</f>
        <v>21.666666666666668</v>
      </c>
      <c r="AZ12">
        <f t="shared" ref="AZ12" si="7">AVERAGE(AZ3:AZ11)</f>
        <v>26.111111111111111</v>
      </c>
      <c r="BA12">
        <f t="shared" ref="BA12" si="8">AVERAGE(BA3:BA11)</f>
        <v>15.555555555555555</v>
      </c>
      <c r="BB12">
        <f t="shared" ref="BB12" si="9">AVERAGE(BB3:BB11)</f>
        <v>16.111111111111111</v>
      </c>
      <c r="BC12">
        <f t="shared" ref="BC12" si="10">AVERAGE(BC3:BC11)</f>
        <v>18.333333333333332</v>
      </c>
    </row>
    <row r="13" spans="1:63" ht="15.75" thickBot="1" x14ac:dyDescent="0.3">
      <c r="A13" t="s">
        <v>189</v>
      </c>
      <c r="B13" t="s">
        <v>215</v>
      </c>
      <c r="C13">
        <v>1</v>
      </c>
      <c r="D13" t="s">
        <v>190</v>
      </c>
      <c r="E13" s="14">
        <v>27</v>
      </c>
      <c r="F13" s="14">
        <v>2</v>
      </c>
      <c r="G13" s="4">
        <v>43992.656724537039</v>
      </c>
      <c r="H13" s="56" t="s">
        <v>578</v>
      </c>
      <c r="I13" s="15">
        <f>2*60+3</f>
        <v>123</v>
      </c>
      <c r="J13" s="15">
        <f>2*60+44</f>
        <v>164</v>
      </c>
      <c r="K13" s="15">
        <v>0.19791666666666666</v>
      </c>
      <c r="L13" s="15">
        <v>0.24166666666666667</v>
      </c>
      <c r="M13" s="15">
        <v>0.27638888888888885</v>
      </c>
      <c r="N13" s="15">
        <v>0.34930555555555554</v>
      </c>
      <c r="O13" s="15">
        <v>0.36388888888888887</v>
      </c>
      <c r="P13" s="15">
        <v>0.46597222222222223</v>
      </c>
      <c r="Q13" s="31">
        <f>11*60+11</f>
        <v>671</v>
      </c>
      <c r="S13">
        <v>0</v>
      </c>
      <c r="T13">
        <v>0</v>
      </c>
      <c r="U13">
        <v>0</v>
      </c>
      <c r="V13">
        <v>0</v>
      </c>
      <c r="W13">
        <v>0</v>
      </c>
      <c r="X13">
        <v>0</v>
      </c>
      <c r="Y13">
        <v>0</v>
      </c>
      <c r="Z13">
        <v>0</v>
      </c>
      <c r="AA13">
        <v>0</v>
      </c>
      <c r="AC13">
        <v>20</v>
      </c>
      <c r="AD13">
        <v>15</v>
      </c>
      <c r="AE13">
        <v>25</v>
      </c>
      <c r="AF13">
        <v>5</v>
      </c>
      <c r="AG13">
        <v>5</v>
      </c>
      <c r="AH13">
        <v>5</v>
      </c>
      <c r="AI13" s="16">
        <f>AO13/15</f>
        <v>0.26666666666666666</v>
      </c>
      <c r="AJ13" s="16">
        <f t="shared" ref="AJ13:AN21" si="11">AP13/15</f>
        <v>6.6666666666666666E-2</v>
      </c>
      <c r="AK13" s="16">
        <f t="shared" si="11"/>
        <v>0.13333333333333333</v>
      </c>
      <c r="AL13" s="16">
        <f t="shared" si="11"/>
        <v>0.33333333333333331</v>
      </c>
      <c r="AM13" s="16">
        <f t="shared" si="11"/>
        <v>0.2</v>
      </c>
      <c r="AN13" s="16">
        <f t="shared" si="11"/>
        <v>0</v>
      </c>
      <c r="AO13" s="16">
        <v>4</v>
      </c>
      <c r="AP13">
        <v>1</v>
      </c>
      <c r="AQ13">
        <v>2</v>
      </c>
      <c r="AR13">
        <v>5</v>
      </c>
      <c r="AS13">
        <v>3</v>
      </c>
      <c r="AT13">
        <v>0</v>
      </c>
      <c r="AU13" s="16">
        <f t="shared" ref="AU13:AU22" si="12">((AC13*AO13)+(AD13*AP13)+(AE13*AQ13)+(AF13*AR13)+(AG13*AS13)+(AH13*AT13))/15</f>
        <v>12.333333333333334</v>
      </c>
      <c r="AV13" s="62">
        <f>AVERAGE(AC13:AH13)</f>
        <v>12.5</v>
      </c>
    </row>
    <row r="14" spans="1:63" ht="15.75" thickBot="1" x14ac:dyDescent="0.3">
      <c r="B14" t="s">
        <v>215</v>
      </c>
      <c r="C14">
        <v>2</v>
      </c>
      <c r="D14" t="s">
        <v>190</v>
      </c>
      <c r="E14" s="14">
        <v>31</v>
      </c>
      <c r="F14" s="14">
        <v>0</v>
      </c>
      <c r="G14" s="4">
        <v>44053.645335648151</v>
      </c>
      <c r="H14" s="56" t="s">
        <v>579</v>
      </c>
      <c r="I14" s="15">
        <v>4.7222222222222221E-2</v>
      </c>
      <c r="J14" s="15">
        <v>8.5416666666666655E-2</v>
      </c>
      <c r="K14" s="15">
        <v>0.17291666666666669</v>
      </c>
      <c r="L14" s="15">
        <v>0.22708333333333333</v>
      </c>
      <c r="M14" s="15">
        <v>0.27152777777777776</v>
      </c>
      <c r="N14" s="15">
        <v>0.33124999999999999</v>
      </c>
      <c r="O14" s="15">
        <v>0.36249999999999999</v>
      </c>
      <c r="P14" s="15">
        <v>0.43472222222222223</v>
      </c>
      <c r="Q14" s="31">
        <v>626</v>
      </c>
      <c r="S14">
        <v>0</v>
      </c>
      <c r="T14">
        <v>0</v>
      </c>
      <c r="U14">
        <v>0</v>
      </c>
      <c r="V14">
        <v>0</v>
      </c>
      <c r="W14">
        <v>0</v>
      </c>
      <c r="X14">
        <v>0</v>
      </c>
      <c r="Y14">
        <v>0</v>
      </c>
      <c r="Z14">
        <v>0</v>
      </c>
      <c r="AA14">
        <v>0</v>
      </c>
      <c r="AC14">
        <v>20</v>
      </c>
      <c r="AD14">
        <v>10</v>
      </c>
      <c r="AE14">
        <v>5</v>
      </c>
      <c r="AF14">
        <v>5</v>
      </c>
      <c r="AG14">
        <v>55</v>
      </c>
      <c r="AH14">
        <v>5</v>
      </c>
      <c r="AI14" s="16">
        <f t="shared" ref="AI14:AO26" si="13">AO14/15</f>
        <v>0.33333333333333331</v>
      </c>
      <c r="AJ14" s="16">
        <f t="shared" si="11"/>
        <v>0.2</v>
      </c>
      <c r="AK14" s="16">
        <f t="shared" si="11"/>
        <v>6.6666666666666666E-2</v>
      </c>
      <c r="AL14" s="16">
        <f t="shared" si="11"/>
        <v>0.2</v>
      </c>
      <c r="AM14" s="16">
        <f t="shared" si="11"/>
        <v>0.2</v>
      </c>
      <c r="AN14" s="16">
        <f t="shared" si="11"/>
        <v>0</v>
      </c>
      <c r="AO14" s="16">
        <v>5</v>
      </c>
      <c r="AP14">
        <v>3</v>
      </c>
      <c r="AQ14">
        <v>1</v>
      </c>
      <c r="AR14">
        <v>3</v>
      </c>
      <c r="AS14">
        <v>3</v>
      </c>
      <c r="AT14">
        <v>0</v>
      </c>
      <c r="AU14" s="16">
        <f t="shared" si="12"/>
        <v>21</v>
      </c>
      <c r="AV14" s="62">
        <f t="shared" ref="AV14:AV43" si="14">AVERAGE(AC14:AH14)</f>
        <v>16.666666666666668</v>
      </c>
    </row>
    <row r="15" spans="1:63" ht="15.75" thickBot="1" x14ac:dyDescent="0.3">
      <c r="B15" t="s">
        <v>215</v>
      </c>
      <c r="C15">
        <v>3</v>
      </c>
      <c r="D15" t="s">
        <v>190</v>
      </c>
      <c r="E15" s="14">
        <v>32</v>
      </c>
      <c r="F15" s="14">
        <v>20</v>
      </c>
      <c r="G15" s="4">
        <v>44053.513784722221</v>
      </c>
      <c r="H15" s="56" t="s">
        <v>580</v>
      </c>
      <c r="I15" s="15">
        <v>5.4166666666666669E-2</v>
      </c>
      <c r="J15" s="15">
        <v>8.2638888888888887E-2</v>
      </c>
      <c r="K15" s="15">
        <v>0.15486111111111112</v>
      </c>
      <c r="L15" s="15">
        <v>0.17569444444444446</v>
      </c>
      <c r="M15" s="15">
        <v>0.20555555555555557</v>
      </c>
      <c r="N15" s="15">
        <v>0.25763888888888892</v>
      </c>
      <c r="O15" s="15">
        <v>0.26805555555555555</v>
      </c>
      <c r="P15" s="15">
        <v>0.34930555555555554</v>
      </c>
      <c r="Q15" s="31">
        <v>503</v>
      </c>
      <c r="S15">
        <v>0</v>
      </c>
      <c r="T15">
        <v>0</v>
      </c>
      <c r="U15">
        <v>2</v>
      </c>
      <c r="V15">
        <v>0</v>
      </c>
      <c r="W15">
        <v>0</v>
      </c>
      <c r="X15">
        <v>4</v>
      </c>
      <c r="Y15">
        <v>0</v>
      </c>
      <c r="Z15">
        <v>0</v>
      </c>
      <c r="AA15">
        <v>2</v>
      </c>
      <c r="AC15">
        <v>15</v>
      </c>
      <c r="AD15">
        <v>25</v>
      </c>
      <c r="AE15">
        <v>25</v>
      </c>
      <c r="AF15">
        <v>15</v>
      </c>
      <c r="AG15">
        <v>15</v>
      </c>
      <c r="AH15">
        <v>15</v>
      </c>
      <c r="AI15" s="16">
        <f t="shared" si="13"/>
        <v>6.6666666666666666E-2</v>
      </c>
      <c r="AJ15" s="16">
        <f t="shared" si="11"/>
        <v>0.2</v>
      </c>
      <c r="AK15" s="16">
        <f t="shared" si="11"/>
        <v>0.26666666666666666</v>
      </c>
      <c r="AL15" s="16">
        <f t="shared" si="11"/>
        <v>0.33333333333333331</v>
      </c>
      <c r="AM15" s="16">
        <f t="shared" si="11"/>
        <v>0.13333333333333333</v>
      </c>
      <c r="AN15" s="16">
        <f t="shared" si="11"/>
        <v>0</v>
      </c>
      <c r="AO15" s="16">
        <v>1</v>
      </c>
      <c r="AP15">
        <v>3</v>
      </c>
      <c r="AQ15">
        <v>4</v>
      </c>
      <c r="AR15">
        <v>5</v>
      </c>
      <c r="AS15">
        <v>2</v>
      </c>
      <c r="AT15">
        <v>0</v>
      </c>
      <c r="AU15" s="16">
        <f t="shared" si="12"/>
        <v>19.666666666666668</v>
      </c>
      <c r="AV15" s="62">
        <f t="shared" si="14"/>
        <v>18.333333333333332</v>
      </c>
    </row>
    <row r="16" spans="1:63" s="14" customFormat="1" ht="15.75" thickBot="1" x14ac:dyDescent="0.3">
      <c r="B16" t="s">
        <v>215</v>
      </c>
      <c r="C16">
        <v>4</v>
      </c>
      <c r="D16" t="s">
        <v>190</v>
      </c>
      <c r="E16" s="14">
        <v>23</v>
      </c>
      <c r="F16" s="14">
        <v>0</v>
      </c>
      <c r="G16" s="4">
        <v>44053.691736111112</v>
      </c>
      <c r="H16" s="56" t="s">
        <v>581</v>
      </c>
      <c r="I16" s="17">
        <v>5.4166666666666669E-2</v>
      </c>
      <c r="J16" s="17">
        <v>8.4722222222222213E-2</v>
      </c>
      <c r="K16" s="17">
        <v>0.17083333333333331</v>
      </c>
      <c r="L16" s="17">
        <v>0.20486111111111113</v>
      </c>
      <c r="M16" s="17">
        <v>0.23333333333333331</v>
      </c>
      <c r="N16" s="17">
        <v>0.30624999999999997</v>
      </c>
      <c r="O16" s="17">
        <v>0.32708333333333334</v>
      </c>
      <c r="P16" s="17">
        <v>0.41736111111111113</v>
      </c>
      <c r="Q16" s="31">
        <v>601</v>
      </c>
      <c r="S16" s="14">
        <v>0</v>
      </c>
      <c r="T16" s="14">
        <v>0</v>
      </c>
      <c r="U16" s="14">
        <v>0</v>
      </c>
      <c r="V16" s="14">
        <v>0</v>
      </c>
      <c r="W16" s="14">
        <v>0</v>
      </c>
      <c r="X16" s="14">
        <v>0</v>
      </c>
      <c r="Y16" s="14">
        <v>0</v>
      </c>
      <c r="Z16" s="14">
        <v>0</v>
      </c>
      <c r="AA16" s="14">
        <v>0</v>
      </c>
      <c r="AC16">
        <v>25</v>
      </c>
      <c r="AD16">
        <v>25</v>
      </c>
      <c r="AE16">
        <v>5</v>
      </c>
      <c r="AF16">
        <v>5</v>
      </c>
      <c r="AG16">
        <v>50</v>
      </c>
      <c r="AH16">
        <v>5</v>
      </c>
      <c r="AI16" s="16">
        <f t="shared" si="13"/>
        <v>0.33333333333333331</v>
      </c>
      <c r="AJ16" s="16">
        <f t="shared" si="11"/>
        <v>0.2</v>
      </c>
      <c r="AK16" s="16">
        <f t="shared" si="11"/>
        <v>6.6666666666666666E-2</v>
      </c>
      <c r="AL16" s="16">
        <f t="shared" si="11"/>
        <v>0.2</v>
      </c>
      <c r="AM16" s="16">
        <f t="shared" si="11"/>
        <v>0.2</v>
      </c>
      <c r="AN16" s="16">
        <f t="shared" si="11"/>
        <v>0</v>
      </c>
      <c r="AO16" s="16">
        <v>5</v>
      </c>
      <c r="AP16">
        <v>3</v>
      </c>
      <c r="AQ16">
        <v>1</v>
      </c>
      <c r="AR16">
        <v>3</v>
      </c>
      <c r="AS16">
        <v>3</v>
      </c>
      <c r="AT16">
        <v>0</v>
      </c>
      <c r="AU16" s="16">
        <f t="shared" si="12"/>
        <v>24.666666666666668</v>
      </c>
      <c r="AV16" s="62">
        <f t="shared" si="14"/>
        <v>19.166666666666668</v>
      </c>
    </row>
    <row r="17" spans="2:48" s="14" customFormat="1" ht="15.75" thickBot="1" x14ac:dyDescent="0.3">
      <c r="B17" t="s">
        <v>215</v>
      </c>
      <c r="C17">
        <v>5</v>
      </c>
      <c r="D17" t="s">
        <v>190</v>
      </c>
      <c r="E17" s="14">
        <v>23</v>
      </c>
      <c r="F17" s="14">
        <v>0</v>
      </c>
      <c r="G17" s="4">
        <v>44084.343854166669</v>
      </c>
      <c r="H17" s="56" t="s">
        <v>582</v>
      </c>
      <c r="I17" s="17">
        <v>5.9722222222222225E-2</v>
      </c>
      <c r="J17" s="17">
        <v>7.4305555555555555E-2</v>
      </c>
      <c r="K17" s="17">
        <v>0.13194444444444445</v>
      </c>
      <c r="L17" s="17">
        <v>0.17500000000000002</v>
      </c>
      <c r="M17" s="17">
        <v>0.1986111111111111</v>
      </c>
      <c r="N17" s="17">
        <v>0.27152777777777776</v>
      </c>
      <c r="O17" s="17">
        <v>0.29444444444444445</v>
      </c>
      <c r="P17" s="17">
        <v>0.43472222222222223</v>
      </c>
      <c r="Q17" s="31">
        <v>626</v>
      </c>
      <c r="S17" s="14">
        <v>0</v>
      </c>
      <c r="T17" s="14">
        <v>0</v>
      </c>
      <c r="U17" s="14">
        <v>0</v>
      </c>
      <c r="V17" s="14">
        <v>0</v>
      </c>
      <c r="W17" s="14">
        <v>0</v>
      </c>
      <c r="X17" s="14">
        <v>0</v>
      </c>
      <c r="Y17" s="14">
        <v>0</v>
      </c>
      <c r="Z17" s="14">
        <v>0</v>
      </c>
      <c r="AA17" s="14">
        <v>0</v>
      </c>
      <c r="AC17">
        <v>20</v>
      </c>
      <c r="AD17">
        <v>20</v>
      </c>
      <c r="AE17">
        <v>20</v>
      </c>
      <c r="AF17">
        <v>30</v>
      </c>
      <c r="AG17">
        <v>5</v>
      </c>
      <c r="AH17">
        <v>5</v>
      </c>
      <c r="AI17" s="16">
        <f t="shared" si="13"/>
        <v>0.26666666666666666</v>
      </c>
      <c r="AJ17" s="16">
        <f t="shared" si="11"/>
        <v>6.6666666666666666E-2</v>
      </c>
      <c r="AK17" s="16">
        <f t="shared" si="11"/>
        <v>0.13333333333333333</v>
      </c>
      <c r="AL17" s="16">
        <f t="shared" si="11"/>
        <v>0.33333333333333331</v>
      </c>
      <c r="AM17" s="16">
        <f t="shared" si="11"/>
        <v>0.2</v>
      </c>
      <c r="AN17" s="16">
        <f t="shared" si="11"/>
        <v>0</v>
      </c>
      <c r="AO17" s="16">
        <v>4</v>
      </c>
      <c r="AP17">
        <v>1</v>
      </c>
      <c r="AQ17">
        <v>2</v>
      </c>
      <c r="AR17">
        <v>5</v>
      </c>
      <c r="AS17">
        <v>3</v>
      </c>
      <c r="AT17">
        <v>0</v>
      </c>
      <c r="AU17" s="16">
        <f t="shared" si="12"/>
        <v>20.333333333333332</v>
      </c>
      <c r="AV17" s="62">
        <f t="shared" si="14"/>
        <v>16.666666666666668</v>
      </c>
    </row>
    <row r="18" spans="2:48" s="14" customFormat="1" ht="15.75" thickBot="1" x14ac:dyDescent="0.3">
      <c r="B18" t="s">
        <v>215</v>
      </c>
      <c r="C18">
        <v>6</v>
      </c>
      <c r="D18" t="s">
        <v>194</v>
      </c>
      <c r="E18" s="14">
        <v>25</v>
      </c>
      <c r="F18" s="14">
        <v>50</v>
      </c>
      <c r="G18" s="4">
        <v>44084.395243055558</v>
      </c>
      <c r="H18" s="56" t="s">
        <v>583</v>
      </c>
      <c r="I18" s="17">
        <v>8.6111111111111124E-2</v>
      </c>
      <c r="J18" s="17">
        <v>9.3055555555555558E-2</v>
      </c>
      <c r="K18" s="17">
        <v>0.15972222222222224</v>
      </c>
      <c r="L18" s="17">
        <v>0.18680555555555556</v>
      </c>
      <c r="M18" s="17">
        <v>0.21041666666666667</v>
      </c>
      <c r="N18" s="17">
        <v>0.26666666666666666</v>
      </c>
      <c r="O18" s="17">
        <v>0.28472222222222221</v>
      </c>
      <c r="P18" s="17">
        <v>0.3527777777777778</v>
      </c>
      <c r="Q18" s="31">
        <v>508</v>
      </c>
      <c r="S18" s="14">
        <v>2</v>
      </c>
      <c r="T18" s="14">
        <v>0</v>
      </c>
      <c r="U18" s="14">
        <v>0</v>
      </c>
      <c r="V18" s="14">
        <v>0</v>
      </c>
      <c r="W18" s="14">
        <v>0</v>
      </c>
      <c r="X18" s="14">
        <v>0</v>
      </c>
      <c r="Y18" s="14">
        <v>0</v>
      </c>
      <c r="Z18" s="14">
        <v>0</v>
      </c>
      <c r="AA18" s="14">
        <v>1</v>
      </c>
      <c r="AC18">
        <v>25</v>
      </c>
      <c r="AD18">
        <v>10</v>
      </c>
      <c r="AE18">
        <v>15</v>
      </c>
      <c r="AF18">
        <v>25</v>
      </c>
      <c r="AG18">
        <v>20</v>
      </c>
      <c r="AH18">
        <v>10</v>
      </c>
      <c r="AI18" s="16">
        <f t="shared" si="13"/>
        <v>0.26666666666666666</v>
      </c>
      <c r="AJ18" s="16">
        <f t="shared" si="11"/>
        <v>6.6666666666666666E-2</v>
      </c>
      <c r="AK18" s="16">
        <f t="shared" si="11"/>
        <v>0.2</v>
      </c>
      <c r="AL18" s="16">
        <f t="shared" si="11"/>
        <v>0.33333333333333331</v>
      </c>
      <c r="AM18" s="16">
        <f t="shared" si="11"/>
        <v>0.13333333333333333</v>
      </c>
      <c r="AN18" s="16">
        <f t="shared" si="11"/>
        <v>0</v>
      </c>
      <c r="AO18" s="16">
        <v>4</v>
      </c>
      <c r="AP18">
        <v>1</v>
      </c>
      <c r="AQ18">
        <v>3</v>
      </c>
      <c r="AR18">
        <v>5</v>
      </c>
      <c r="AS18">
        <v>2</v>
      </c>
      <c r="AT18">
        <v>0</v>
      </c>
      <c r="AU18" s="16">
        <f t="shared" si="12"/>
        <v>21.333333333333332</v>
      </c>
      <c r="AV18" s="62">
        <f t="shared" si="14"/>
        <v>17.5</v>
      </c>
    </row>
    <row r="19" spans="2:48" ht="15.75" thickBot="1" x14ac:dyDescent="0.3">
      <c r="B19" t="s">
        <v>215</v>
      </c>
      <c r="C19">
        <v>7</v>
      </c>
      <c r="D19" t="s">
        <v>190</v>
      </c>
      <c r="E19" s="14">
        <v>22</v>
      </c>
      <c r="F19" s="14">
        <v>8</v>
      </c>
      <c r="G19" s="4">
        <v>44084.608287037037</v>
      </c>
      <c r="H19" s="56" t="s">
        <v>584</v>
      </c>
      <c r="I19" s="15">
        <v>5.347222222222222E-2</v>
      </c>
      <c r="J19" s="15">
        <v>6.25E-2</v>
      </c>
      <c r="K19" s="15">
        <v>0.1125</v>
      </c>
      <c r="L19" s="15">
        <v>0.15763888888888888</v>
      </c>
      <c r="M19" s="15">
        <v>0.16666666666666666</v>
      </c>
      <c r="N19" s="15">
        <v>0.22500000000000001</v>
      </c>
      <c r="O19" s="15">
        <v>0.2388888888888889</v>
      </c>
      <c r="P19" s="15">
        <v>0.31527777777777777</v>
      </c>
      <c r="Q19" s="31">
        <v>454</v>
      </c>
      <c r="S19" s="14">
        <v>0</v>
      </c>
      <c r="T19" s="14">
        <v>0</v>
      </c>
      <c r="U19" s="14">
        <v>0</v>
      </c>
      <c r="V19" s="14">
        <v>0</v>
      </c>
      <c r="W19" s="14">
        <v>0</v>
      </c>
      <c r="X19" s="14">
        <v>0</v>
      </c>
      <c r="Y19" s="14">
        <v>0</v>
      </c>
      <c r="Z19" s="14">
        <v>0</v>
      </c>
      <c r="AA19" s="14">
        <v>0</v>
      </c>
      <c r="AB19" s="14"/>
      <c r="AC19">
        <v>5</v>
      </c>
      <c r="AD19">
        <v>5</v>
      </c>
      <c r="AE19">
        <v>5</v>
      </c>
      <c r="AF19">
        <v>5</v>
      </c>
      <c r="AG19">
        <v>5</v>
      </c>
      <c r="AH19">
        <v>5</v>
      </c>
      <c r="AI19" s="16">
        <f t="shared" si="13"/>
        <v>0.13333333333333333</v>
      </c>
      <c r="AJ19" s="16">
        <f t="shared" si="11"/>
        <v>0.26666666666666666</v>
      </c>
      <c r="AK19" s="16">
        <f t="shared" si="11"/>
        <v>0.13333333333333333</v>
      </c>
      <c r="AL19" s="16">
        <f t="shared" si="11"/>
        <v>0.26666666666666666</v>
      </c>
      <c r="AM19" s="16">
        <f t="shared" si="11"/>
        <v>0.2</v>
      </c>
      <c r="AN19" s="16">
        <f t="shared" si="11"/>
        <v>0</v>
      </c>
      <c r="AO19" s="16">
        <v>2</v>
      </c>
      <c r="AP19">
        <v>4</v>
      </c>
      <c r="AQ19">
        <v>2</v>
      </c>
      <c r="AR19">
        <v>4</v>
      </c>
      <c r="AS19">
        <v>3</v>
      </c>
      <c r="AT19">
        <v>0</v>
      </c>
      <c r="AU19" s="16">
        <f t="shared" si="12"/>
        <v>5</v>
      </c>
      <c r="AV19" s="62">
        <f t="shared" si="14"/>
        <v>5</v>
      </c>
    </row>
    <row r="20" spans="2:48" s="14" customFormat="1" ht="15.75" thickBot="1" x14ac:dyDescent="0.3">
      <c r="B20" t="s">
        <v>215</v>
      </c>
      <c r="C20">
        <v>8</v>
      </c>
      <c r="D20" t="s">
        <v>190</v>
      </c>
      <c r="E20" s="14">
        <v>31</v>
      </c>
      <c r="F20" s="14">
        <v>6</v>
      </c>
      <c r="G20" s="4">
        <v>44084.651180555556</v>
      </c>
      <c r="H20" s="56" t="s">
        <v>585</v>
      </c>
      <c r="I20" s="17">
        <v>6.0416666666666667E-2</v>
      </c>
      <c r="J20" s="17">
        <v>0.10972222222222222</v>
      </c>
      <c r="K20" s="17">
        <v>0.20555555555555557</v>
      </c>
      <c r="L20" s="17">
        <v>0.25</v>
      </c>
      <c r="M20" s="17">
        <v>0.29583333333333334</v>
      </c>
      <c r="N20" s="17">
        <v>0.37638888888888888</v>
      </c>
      <c r="O20" s="17">
        <v>0.41944444444444445</v>
      </c>
      <c r="P20" s="17">
        <v>0.5083333333333333</v>
      </c>
      <c r="Q20" s="31">
        <f>12*60+12</f>
        <v>732</v>
      </c>
      <c r="S20" s="14">
        <v>2</v>
      </c>
      <c r="T20" s="14">
        <v>0</v>
      </c>
      <c r="U20" s="14">
        <v>2</v>
      </c>
      <c r="V20" s="14">
        <v>0</v>
      </c>
      <c r="W20" s="14">
        <v>0</v>
      </c>
      <c r="X20" s="14">
        <v>0</v>
      </c>
      <c r="Y20" s="14">
        <v>0</v>
      </c>
      <c r="Z20" s="14">
        <v>0</v>
      </c>
      <c r="AA20" s="14">
        <v>2</v>
      </c>
      <c r="AC20">
        <v>10</v>
      </c>
      <c r="AD20">
        <v>15</v>
      </c>
      <c r="AE20">
        <v>10</v>
      </c>
      <c r="AF20">
        <v>10</v>
      </c>
      <c r="AG20">
        <v>10</v>
      </c>
      <c r="AH20">
        <v>5</v>
      </c>
      <c r="AI20" s="16">
        <f t="shared" si="13"/>
        <v>0.13333333333333333</v>
      </c>
      <c r="AJ20" s="16">
        <f t="shared" si="11"/>
        <v>0.2</v>
      </c>
      <c r="AK20" s="16">
        <f t="shared" si="11"/>
        <v>0.13333333333333333</v>
      </c>
      <c r="AL20" s="16">
        <f t="shared" si="11"/>
        <v>0.26666666666666666</v>
      </c>
      <c r="AM20" s="16">
        <f t="shared" si="11"/>
        <v>0.26666666666666666</v>
      </c>
      <c r="AN20" s="16">
        <f t="shared" si="11"/>
        <v>0</v>
      </c>
      <c r="AO20" s="16">
        <v>2</v>
      </c>
      <c r="AP20">
        <v>3</v>
      </c>
      <c r="AQ20">
        <v>2</v>
      </c>
      <c r="AR20">
        <v>4</v>
      </c>
      <c r="AS20">
        <v>4</v>
      </c>
      <c r="AT20">
        <v>0</v>
      </c>
      <c r="AU20" s="16">
        <f t="shared" si="12"/>
        <v>11</v>
      </c>
      <c r="AV20" s="62">
        <f t="shared" si="14"/>
        <v>10</v>
      </c>
    </row>
    <row r="21" spans="2:48" s="14" customFormat="1" ht="15.75" thickBot="1" x14ac:dyDescent="0.3">
      <c r="B21" t="s">
        <v>215</v>
      </c>
      <c r="C21">
        <v>9</v>
      </c>
      <c r="D21" t="s">
        <v>194</v>
      </c>
      <c r="E21" s="14">
        <v>22</v>
      </c>
      <c r="F21" s="14">
        <v>0</v>
      </c>
      <c r="G21" s="2" t="s">
        <v>490</v>
      </c>
      <c r="H21" s="56" t="s">
        <v>586</v>
      </c>
      <c r="I21" s="17">
        <v>7.0833333333333331E-2</v>
      </c>
      <c r="J21" s="17">
        <v>8.819444444444445E-2</v>
      </c>
      <c r="K21" s="17">
        <v>0.20486111111111113</v>
      </c>
      <c r="L21" s="17">
        <v>0.24097222222222223</v>
      </c>
      <c r="M21" s="17">
        <v>0.2722222222222222</v>
      </c>
      <c r="N21" s="17">
        <v>0.31666666666666665</v>
      </c>
      <c r="O21" s="17">
        <v>0.32916666666666666</v>
      </c>
      <c r="P21" s="17">
        <v>0.44097222222222227</v>
      </c>
      <c r="Q21" s="31">
        <f>10*60+35</f>
        <v>635</v>
      </c>
      <c r="S21" s="14">
        <v>0</v>
      </c>
      <c r="T21" s="14">
        <v>0</v>
      </c>
      <c r="U21" s="14">
        <v>2</v>
      </c>
      <c r="V21" s="14">
        <v>0</v>
      </c>
      <c r="W21" s="14">
        <v>0</v>
      </c>
      <c r="X21" s="14">
        <v>0</v>
      </c>
      <c r="Y21" s="14">
        <v>0</v>
      </c>
      <c r="Z21" s="14">
        <v>0</v>
      </c>
      <c r="AA21" s="14">
        <v>1</v>
      </c>
      <c r="AC21" s="14">
        <v>45</v>
      </c>
      <c r="AD21" s="14">
        <v>45</v>
      </c>
      <c r="AE21" s="14">
        <v>40</v>
      </c>
      <c r="AF21" s="14">
        <v>25</v>
      </c>
      <c r="AG21" s="14">
        <v>30</v>
      </c>
      <c r="AH21" s="14">
        <v>20</v>
      </c>
      <c r="AI21" s="18">
        <f t="shared" si="13"/>
        <v>0.2</v>
      </c>
      <c r="AJ21" s="18">
        <f t="shared" si="11"/>
        <v>6.6666666666666666E-2</v>
      </c>
      <c r="AK21" s="18">
        <f t="shared" si="11"/>
        <v>0.2</v>
      </c>
      <c r="AL21" s="18">
        <f t="shared" si="11"/>
        <v>0.26666666666666666</v>
      </c>
      <c r="AM21" s="18">
        <f t="shared" si="11"/>
        <v>0.26666666666666666</v>
      </c>
      <c r="AN21" s="18">
        <f t="shared" si="11"/>
        <v>0</v>
      </c>
      <c r="AO21" s="18">
        <v>3</v>
      </c>
      <c r="AP21" s="14">
        <v>1</v>
      </c>
      <c r="AQ21" s="14">
        <v>3</v>
      </c>
      <c r="AR21" s="14">
        <v>4</v>
      </c>
      <c r="AS21" s="14">
        <v>4</v>
      </c>
      <c r="AT21" s="14">
        <v>0</v>
      </c>
      <c r="AU21" s="18">
        <f t="shared" si="12"/>
        <v>34.666666666666664</v>
      </c>
      <c r="AV21" s="62">
        <f t="shared" si="14"/>
        <v>34.166666666666664</v>
      </c>
    </row>
    <row r="22" spans="2:48" s="14" customFormat="1" ht="15.75" thickBot="1" x14ac:dyDescent="0.3">
      <c r="B22" t="s">
        <v>215</v>
      </c>
      <c r="C22">
        <v>10</v>
      </c>
      <c r="D22" t="s">
        <v>190</v>
      </c>
      <c r="E22" s="14">
        <v>26</v>
      </c>
      <c r="F22" s="14">
        <v>30</v>
      </c>
      <c r="G22" s="2" t="s">
        <v>491</v>
      </c>
      <c r="H22" s="56" t="s">
        <v>587</v>
      </c>
      <c r="I22" s="15">
        <v>7.4305555555555555E-2</v>
      </c>
      <c r="J22" s="15">
        <v>9.0972222222222218E-2</v>
      </c>
      <c r="K22" s="15">
        <v>0.15833333333333333</v>
      </c>
      <c r="L22" s="15">
        <v>0.18541666666666667</v>
      </c>
      <c r="M22" s="15">
        <v>0.21527777777777779</v>
      </c>
      <c r="N22" s="15">
        <v>0.26250000000000001</v>
      </c>
      <c r="O22" s="15">
        <v>0.27708333333333335</v>
      </c>
      <c r="P22" s="15">
        <v>0.3840277777777778</v>
      </c>
      <c r="Q22" s="31">
        <f>9*60+13</f>
        <v>553</v>
      </c>
      <c r="S22" s="14">
        <v>0</v>
      </c>
      <c r="T22" s="14">
        <v>0</v>
      </c>
      <c r="U22" s="14">
        <v>0</v>
      </c>
      <c r="V22" s="14">
        <v>0</v>
      </c>
      <c r="W22" s="14">
        <v>0</v>
      </c>
      <c r="X22" s="14">
        <v>0</v>
      </c>
      <c r="Y22" s="14">
        <v>0</v>
      </c>
      <c r="Z22" s="14">
        <v>0</v>
      </c>
      <c r="AA22" s="14">
        <v>0</v>
      </c>
      <c r="AC22">
        <v>50</v>
      </c>
      <c r="AD22">
        <v>25</v>
      </c>
      <c r="AE22">
        <v>80</v>
      </c>
      <c r="AF22">
        <v>15</v>
      </c>
      <c r="AG22">
        <v>65</v>
      </c>
      <c r="AH22">
        <v>40</v>
      </c>
      <c r="AI22" s="18">
        <f t="shared" si="13"/>
        <v>0.2</v>
      </c>
      <c r="AJ22" s="18">
        <f t="shared" si="13"/>
        <v>6.6666666666666666E-2</v>
      </c>
      <c r="AK22" s="18">
        <f t="shared" si="13"/>
        <v>0.26666666666666666</v>
      </c>
      <c r="AL22" s="18">
        <f t="shared" si="13"/>
        <v>0.26666666666666666</v>
      </c>
      <c r="AM22" s="18">
        <f t="shared" si="13"/>
        <v>0.13333333333333333</v>
      </c>
      <c r="AN22" s="18">
        <f t="shared" si="13"/>
        <v>6.6666666666666666E-2</v>
      </c>
      <c r="AO22" s="16">
        <v>3</v>
      </c>
      <c r="AP22">
        <v>1</v>
      </c>
      <c r="AQ22">
        <v>4</v>
      </c>
      <c r="AR22">
        <v>4</v>
      </c>
      <c r="AS22">
        <v>2</v>
      </c>
      <c r="AT22">
        <v>1</v>
      </c>
      <c r="AU22" s="18">
        <f t="shared" si="12"/>
        <v>48.333333333333336</v>
      </c>
      <c r="AV22" s="62">
        <f t="shared" si="14"/>
        <v>45.833333333333336</v>
      </c>
    </row>
    <row r="23" spans="2:48" ht="15.75" thickBot="1" x14ac:dyDescent="0.3">
      <c r="B23" t="s">
        <v>215</v>
      </c>
      <c r="C23">
        <v>11</v>
      </c>
      <c r="D23" t="s">
        <v>190</v>
      </c>
      <c r="E23">
        <v>24</v>
      </c>
      <c r="F23">
        <v>10</v>
      </c>
      <c r="G23" s="2" t="s">
        <v>492</v>
      </c>
      <c r="H23" s="70" t="s">
        <v>588</v>
      </c>
      <c r="I23" s="15">
        <v>8.5416666666666655E-2</v>
      </c>
      <c r="J23" s="15">
        <v>9.375E-2</v>
      </c>
      <c r="K23" s="15">
        <v>0.24513888888888888</v>
      </c>
      <c r="L23" s="15">
        <v>0.27638888888888885</v>
      </c>
      <c r="M23" s="15">
        <v>0.3034722222222222</v>
      </c>
      <c r="N23" s="15">
        <v>0.37083333333333335</v>
      </c>
      <c r="O23" s="15">
        <v>0.38472222222222219</v>
      </c>
      <c r="P23" s="15">
        <v>0.4694444444444445</v>
      </c>
      <c r="Q23" s="31">
        <f>11*60+16</f>
        <v>676</v>
      </c>
      <c r="S23">
        <v>0</v>
      </c>
      <c r="T23">
        <v>0</v>
      </c>
      <c r="U23">
        <v>2</v>
      </c>
      <c r="V23">
        <v>0</v>
      </c>
      <c r="W23">
        <v>0</v>
      </c>
      <c r="X23">
        <v>0</v>
      </c>
      <c r="Y23">
        <v>0</v>
      </c>
      <c r="Z23">
        <v>0</v>
      </c>
      <c r="AA23">
        <v>1</v>
      </c>
      <c r="AC23">
        <v>5</v>
      </c>
      <c r="AD23">
        <v>20</v>
      </c>
      <c r="AE23">
        <v>5</v>
      </c>
      <c r="AF23">
        <v>25</v>
      </c>
      <c r="AG23">
        <v>5</v>
      </c>
      <c r="AH23">
        <v>10</v>
      </c>
      <c r="AI23" s="16">
        <f>AO23/15</f>
        <v>0.13333333333333333</v>
      </c>
      <c r="AJ23" s="16">
        <f>AP23/15</f>
        <v>0.26666666666666666</v>
      </c>
      <c r="AK23" s="16">
        <f>AQ23/15</f>
        <v>6.6666666666666666E-2</v>
      </c>
      <c r="AL23" s="16">
        <f>AR23/15</f>
        <v>0.33333333333333331</v>
      </c>
      <c r="AM23" s="16">
        <f>AS23/15</f>
        <v>0.2</v>
      </c>
      <c r="AN23" s="16">
        <f>AT23/15</f>
        <v>0</v>
      </c>
      <c r="AO23" s="16">
        <v>2</v>
      </c>
      <c r="AP23">
        <v>4</v>
      </c>
      <c r="AQ23">
        <v>1</v>
      </c>
      <c r="AR23">
        <v>5</v>
      </c>
      <c r="AS23">
        <v>3</v>
      </c>
      <c r="AT23">
        <v>0</v>
      </c>
      <c r="AU23" s="16">
        <f t="shared" ref="AU23" si="15">((AC23*AO23)+(AD23*AP23)+(AE23*AQ23)+(AF23*AR23)+(AG23*AS23)+(AH23*AT23))/15</f>
        <v>15.666666666666666</v>
      </c>
      <c r="AV23" s="62">
        <f t="shared" ref="AV23" si="16">AVERAGE(AC23:AH23)</f>
        <v>11.666666666666666</v>
      </c>
    </row>
    <row r="24" spans="2:48" s="14" customFormat="1" ht="15.75" thickBot="1" x14ac:dyDescent="0.3">
      <c r="B24" s="14" t="s">
        <v>216</v>
      </c>
      <c r="C24" s="14">
        <v>1</v>
      </c>
      <c r="D24" s="14" t="s">
        <v>190</v>
      </c>
      <c r="E24" s="14">
        <v>34</v>
      </c>
      <c r="F24" s="14">
        <v>10</v>
      </c>
      <c r="G24" s="4">
        <v>44175.449282407404</v>
      </c>
      <c r="H24" s="56" t="s">
        <v>591</v>
      </c>
      <c r="I24" s="17">
        <v>8.4027777777777771E-2</v>
      </c>
      <c r="J24" s="17">
        <v>9.930555555555555E-2</v>
      </c>
      <c r="K24" s="17">
        <v>0.18958333333333333</v>
      </c>
      <c r="L24" s="17">
        <v>0.21805555555555556</v>
      </c>
      <c r="M24" s="17">
        <v>0.25</v>
      </c>
      <c r="N24" s="17">
        <v>0.3034722222222222</v>
      </c>
      <c r="O24" s="17">
        <v>0.3215277777777778</v>
      </c>
      <c r="P24" s="17">
        <v>0.38611111111111113</v>
      </c>
      <c r="Q24" s="33">
        <f>9*60+16</f>
        <v>556</v>
      </c>
      <c r="S24" s="14">
        <v>0</v>
      </c>
      <c r="T24" s="14">
        <v>0</v>
      </c>
      <c r="U24" s="14">
        <v>0</v>
      </c>
      <c r="V24" s="14">
        <v>0</v>
      </c>
      <c r="W24" s="14">
        <v>0</v>
      </c>
      <c r="X24" s="14">
        <v>0</v>
      </c>
      <c r="Y24" s="14">
        <v>0</v>
      </c>
      <c r="Z24" s="14">
        <v>0</v>
      </c>
      <c r="AA24" s="14">
        <v>0</v>
      </c>
      <c r="AC24">
        <v>80</v>
      </c>
      <c r="AD24">
        <v>30</v>
      </c>
      <c r="AE24">
        <v>30</v>
      </c>
      <c r="AF24">
        <v>45</v>
      </c>
      <c r="AG24">
        <v>35</v>
      </c>
      <c r="AH24">
        <v>25</v>
      </c>
      <c r="AI24" s="16">
        <f t="shared" si="13"/>
        <v>0.2</v>
      </c>
      <c r="AJ24" s="16">
        <f t="shared" si="13"/>
        <v>0</v>
      </c>
      <c r="AK24" s="16">
        <f t="shared" si="13"/>
        <v>0.26666666666666666</v>
      </c>
      <c r="AL24" s="16">
        <f t="shared" si="13"/>
        <v>0.2</v>
      </c>
      <c r="AM24" s="16">
        <f t="shared" si="13"/>
        <v>0.2</v>
      </c>
      <c r="AN24" s="16">
        <f t="shared" si="13"/>
        <v>0.13333333333333333</v>
      </c>
      <c r="AO24" s="16">
        <v>3</v>
      </c>
      <c r="AP24" s="24">
        <v>0</v>
      </c>
      <c r="AQ24" s="24">
        <v>4</v>
      </c>
      <c r="AR24" s="24">
        <v>3</v>
      </c>
      <c r="AS24" s="24">
        <v>3</v>
      </c>
      <c r="AT24" s="24">
        <v>2</v>
      </c>
      <c r="AU24" s="16">
        <f t="shared" ref="AU24:AU33" si="17">((AC24*AO24)+(AD24*AP24)+(AE24*AQ24)+(AF24*AR24)+(AG24*AS24)+(AH24*AT24))/15</f>
        <v>43.333333333333336</v>
      </c>
      <c r="AV24" s="62">
        <f t="shared" si="14"/>
        <v>40.833333333333336</v>
      </c>
    </row>
    <row r="25" spans="2:48" s="14" customFormat="1" ht="15.75" thickBot="1" x14ac:dyDescent="0.3">
      <c r="B25" s="14" t="s">
        <v>216</v>
      </c>
      <c r="C25" s="14">
        <v>2</v>
      </c>
      <c r="D25" s="14" t="s">
        <v>190</v>
      </c>
      <c r="E25" s="14">
        <v>29</v>
      </c>
      <c r="F25" s="14">
        <v>0</v>
      </c>
      <c r="G25" s="2" t="s">
        <v>493</v>
      </c>
      <c r="H25" s="56" t="s">
        <v>592</v>
      </c>
      <c r="I25" s="17">
        <v>7.4305555555555555E-2</v>
      </c>
      <c r="J25" s="17">
        <v>8.9583333333333334E-2</v>
      </c>
      <c r="K25" s="17">
        <v>0.15416666666666667</v>
      </c>
      <c r="L25" s="17">
        <v>0.17708333333333334</v>
      </c>
      <c r="M25" s="17">
        <v>0.19375000000000001</v>
      </c>
      <c r="N25" s="17">
        <v>0.25277777777777777</v>
      </c>
      <c r="O25" s="17">
        <v>0.26527777777777778</v>
      </c>
      <c r="P25" s="17">
        <v>0.34652777777777777</v>
      </c>
      <c r="Q25" s="33">
        <f>8*60+19</f>
        <v>499</v>
      </c>
      <c r="S25" s="14">
        <v>0</v>
      </c>
      <c r="T25" s="14">
        <v>0</v>
      </c>
      <c r="U25" s="14">
        <v>0</v>
      </c>
      <c r="V25" s="14">
        <v>0</v>
      </c>
      <c r="W25" s="14">
        <v>0</v>
      </c>
      <c r="X25" s="14">
        <v>0</v>
      </c>
      <c r="Y25" s="14">
        <v>0</v>
      </c>
      <c r="Z25" s="14">
        <v>0</v>
      </c>
      <c r="AA25" s="14">
        <v>0</v>
      </c>
      <c r="AC25">
        <v>80</v>
      </c>
      <c r="AD25">
        <v>50</v>
      </c>
      <c r="AE25">
        <v>85</v>
      </c>
      <c r="AF25">
        <v>65</v>
      </c>
      <c r="AG25">
        <v>60</v>
      </c>
      <c r="AH25">
        <v>55</v>
      </c>
      <c r="AI25" s="18">
        <f t="shared" si="13"/>
        <v>0.26666666666666666</v>
      </c>
      <c r="AJ25" s="18">
        <f t="shared" si="13"/>
        <v>0.13333333333333333</v>
      </c>
      <c r="AK25" s="18">
        <f t="shared" si="13"/>
        <v>0.2</v>
      </c>
      <c r="AL25" s="18">
        <f t="shared" si="13"/>
        <v>0.13333333333333333</v>
      </c>
      <c r="AM25" s="18">
        <f t="shared" si="13"/>
        <v>6.6666666666666666E-2</v>
      </c>
      <c r="AN25" s="18">
        <f t="shared" si="13"/>
        <v>0.2</v>
      </c>
      <c r="AO25" s="16">
        <v>4</v>
      </c>
      <c r="AP25" s="24">
        <v>2</v>
      </c>
      <c r="AQ25" s="24">
        <v>3</v>
      </c>
      <c r="AR25" s="24">
        <v>2</v>
      </c>
      <c r="AS25" s="24">
        <v>1</v>
      </c>
      <c r="AT25" s="24">
        <v>3</v>
      </c>
      <c r="AU25" s="18">
        <f t="shared" si="17"/>
        <v>68.666666666666671</v>
      </c>
      <c r="AV25" s="62">
        <f t="shared" si="14"/>
        <v>65.833333333333329</v>
      </c>
    </row>
    <row r="26" spans="2:48" s="14" customFormat="1" ht="15.75" thickBot="1" x14ac:dyDescent="0.3">
      <c r="B26" s="14" t="s">
        <v>216</v>
      </c>
      <c r="C26" s="14">
        <v>4</v>
      </c>
      <c r="D26" s="14" t="s">
        <v>194</v>
      </c>
      <c r="E26" s="14">
        <v>27</v>
      </c>
      <c r="F26" s="14">
        <v>0</v>
      </c>
      <c r="G26" s="2" t="s">
        <v>494</v>
      </c>
      <c r="H26" s="56" t="s">
        <v>593</v>
      </c>
      <c r="I26" s="17">
        <v>7.2222222222222229E-2</v>
      </c>
      <c r="J26" s="17">
        <v>9.1666666666666674E-2</v>
      </c>
      <c r="K26" s="17">
        <v>0.17361111111111113</v>
      </c>
      <c r="L26" s="17">
        <v>0.21249999999999999</v>
      </c>
      <c r="M26" s="17">
        <v>0.24791666666666667</v>
      </c>
      <c r="N26" s="17">
        <v>0.35555555555555557</v>
      </c>
      <c r="O26" s="17">
        <v>0.38472222222222219</v>
      </c>
      <c r="P26" s="17">
        <v>0.47430555555555554</v>
      </c>
      <c r="Q26" s="33">
        <f>11*60+23</f>
        <v>683</v>
      </c>
      <c r="S26" s="14">
        <v>2</v>
      </c>
      <c r="T26" s="14">
        <v>0</v>
      </c>
      <c r="U26" s="14">
        <v>0</v>
      </c>
      <c r="V26" s="14">
        <v>0</v>
      </c>
      <c r="W26" s="14">
        <v>0</v>
      </c>
      <c r="X26" s="14">
        <v>0</v>
      </c>
      <c r="Y26" s="14">
        <v>0</v>
      </c>
      <c r="Z26" s="14">
        <v>4</v>
      </c>
      <c r="AA26" s="14">
        <v>2</v>
      </c>
      <c r="AC26">
        <v>60</v>
      </c>
      <c r="AD26">
        <v>55</v>
      </c>
      <c r="AE26">
        <v>70</v>
      </c>
      <c r="AF26">
        <v>80</v>
      </c>
      <c r="AG26">
        <v>55</v>
      </c>
      <c r="AH26">
        <v>40</v>
      </c>
      <c r="AI26" s="18">
        <f t="shared" si="13"/>
        <v>0.13333333333333333</v>
      </c>
      <c r="AJ26" s="18">
        <f t="shared" si="13"/>
        <v>0</v>
      </c>
      <c r="AK26" s="18">
        <f t="shared" si="13"/>
        <v>0.26666666666666666</v>
      </c>
      <c r="AL26" s="18">
        <f t="shared" si="13"/>
        <v>0.2</v>
      </c>
      <c r="AM26" s="18">
        <f t="shared" si="13"/>
        <v>0.13333333333333333</v>
      </c>
      <c r="AN26" s="18">
        <f t="shared" si="13"/>
        <v>0.26666666666666666</v>
      </c>
      <c r="AO26" s="16">
        <v>2</v>
      </c>
      <c r="AP26" s="24">
        <v>0</v>
      </c>
      <c r="AQ26" s="24">
        <v>4</v>
      </c>
      <c r="AR26" s="24">
        <v>3</v>
      </c>
      <c r="AS26" s="24">
        <v>2</v>
      </c>
      <c r="AT26" s="24">
        <v>4</v>
      </c>
      <c r="AU26" s="18">
        <f t="shared" si="17"/>
        <v>60.666666666666664</v>
      </c>
      <c r="AV26" s="62">
        <f t="shared" si="14"/>
        <v>60</v>
      </c>
    </row>
    <row r="27" spans="2:48" s="14" customFormat="1" ht="15.75" thickBot="1" x14ac:dyDescent="0.3">
      <c r="B27" s="14" t="s">
        <v>216</v>
      </c>
      <c r="C27" s="14">
        <v>5</v>
      </c>
      <c r="D27" s="14" t="s">
        <v>190</v>
      </c>
      <c r="E27" s="14">
        <v>22</v>
      </c>
      <c r="F27" s="14">
        <v>150</v>
      </c>
      <c r="G27" s="2" t="s">
        <v>495</v>
      </c>
      <c r="H27" s="56" t="s">
        <v>594</v>
      </c>
      <c r="I27" s="17">
        <v>0.1013888888888889</v>
      </c>
      <c r="J27" s="17">
        <v>0.1173611111111111</v>
      </c>
      <c r="K27" s="17">
        <v>0.21944444444444444</v>
      </c>
      <c r="L27" s="17">
        <v>0.27013888888888887</v>
      </c>
      <c r="M27" s="17">
        <v>0.30555555555555552</v>
      </c>
      <c r="N27" s="17">
        <v>0.37638888888888888</v>
      </c>
      <c r="O27" s="17">
        <v>0.39027777777777778</v>
      </c>
      <c r="P27" s="17">
        <v>0.53680555555555554</v>
      </c>
      <c r="Q27" s="33">
        <f>12*60+53</f>
        <v>773</v>
      </c>
      <c r="S27" s="14">
        <v>0</v>
      </c>
      <c r="T27" s="14">
        <v>0</v>
      </c>
      <c r="U27" s="14">
        <v>0</v>
      </c>
      <c r="V27" s="14">
        <v>0</v>
      </c>
      <c r="W27" s="14">
        <v>0</v>
      </c>
      <c r="X27" s="14">
        <v>0</v>
      </c>
      <c r="Y27" s="14">
        <v>0</v>
      </c>
      <c r="Z27" s="14">
        <v>0</v>
      </c>
      <c r="AA27" s="14">
        <v>0</v>
      </c>
      <c r="AC27">
        <v>40</v>
      </c>
      <c r="AD27">
        <v>30</v>
      </c>
      <c r="AE27">
        <v>30</v>
      </c>
      <c r="AF27">
        <v>5</v>
      </c>
      <c r="AG27">
        <v>40</v>
      </c>
      <c r="AH27">
        <v>5</v>
      </c>
      <c r="AI27" s="18">
        <f t="shared" ref="AI27:AN33" si="18">AO27/15</f>
        <v>0.13333333333333333</v>
      </c>
      <c r="AJ27" s="18">
        <f t="shared" si="18"/>
        <v>0.26666666666666666</v>
      </c>
      <c r="AK27" s="18">
        <f t="shared" si="18"/>
        <v>6.6666666666666666E-2</v>
      </c>
      <c r="AL27" s="18">
        <f t="shared" si="18"/>
        <v>0.26666666666666666</v>
      </c>
      <c r="AM27" s="18">
        <f t="shared" si="18"/>
        <v>0.26666666666666666</v>
      </c>
      <c r="AN27" s="18">
        <f t="shared" si="18"/>
        <v>0</v>
      </c>
      <c r="AO27" s="16">
        <v>2</v>
      </c>
      <c r="AP27" s="24">
        <v>4</v>
      </c>
      <c r="AQ27" s="24">
        <v>1</v>
      </c>
      <c r="AR27" s="24">
        <v>4</v>
      </c>
      <c r="AS27" s="24">
        <v>4</v>
      </c>
      <c r="AT27" s="24">
        <v>0</v>
      </c>
      <c r="AU27" s="18">
        <f t="shared" si="17"/>
        <v>27.333333333333332</v>
      </c>
      <c r="AV27" s="62">
        <f t="shared" si="14"/>
        <v>25</v>
      </c>
    </row>
    <row r="28" spans="2:48" s="14" customFormat="1" ht="15.75" thickBot="1" x14ac:dyDescent="0.3">
      <c r="B28" s="14" t="s">
        <v>216</v>
      </c>
      <c r="C28" s="14">
        <v>6</v>
      </c>
      <c r="D28" s="14" t="s">
        <v>190</v>
      </c>
      <c r="E28" s="14">
        <v>24</v>
      </c>
      <c r="F28" s="14">
        <v>20</v>
      </c>
      <c r="G28" s="2" t="s">
        <v>496</v>
      </c>
      <c r="H28" s="56" t="s">
        <v>595</v>
      </c>
      <c r="I28" s="17">
        <v>5.6250000000000001E-2</v>
      </c>
      <c r="J28" s="17">
        <v>7.7083333333333337E-2</v>
      </c>
      <c r="K28" s="17">
        <v>0.14097222222222222</v>
      </c>
      <c r="L28" s="17">
        <v>0.17222222222222225</v>
      </c>
      <c r="M28" s="17">
        <v>0.19166666666666665</v>
      </c>
      <c r="N28" s="17">
        <v>0.24027777777777778</v>
      </c>
      <c r="O28" s="17">
        <v>0.25486111111111109</v>
      </c>
      <c r="P28" s="17">
        <v>0.30624999999999997</v>
      </c>
      <c r="Q28" s="33">
        <f>7*60+21</f>
        <v>441</v>
      </c>
      <c r="S28" s="14">
        <v>0</v>
      </c>
      <c r="T28" s="14">
        <v>0</v>
      </c>
      <c r="U28" s="14">
        <v>0</v>
      </c>
      <c r="V28" s="14">
        <v>0</v>
      </c>
      <c r="W28" s="14">
        <v>0</v>
      </c>
      <c r="X28" s="14">
        <v>0</v>
      </c>
      <c r="Y28" s="14">
        <v>0</v>
      </c>
      <c r="Z28" s="14">
        <v>0</v>
      </c>
      <c r="AA28" s="14">
        <v>0</v>
      </c>
      <c r="AC28">
        <v>10</v>
      </c>
      <c r="AD28">
        <v>20</v>
      </c>
      <c r="AE28">
        <v>20</v>
      </c>
      <c r="AF28">
        <v>5</v>
      </c>
      <c r="AG28">
        <v>15</v>
      </c>
      <c r="AH28">
        <v>5</v>
      </c>
      <c r="AI28" s="18">
        <f t="shared" si="18"/>
        <v>0.2</v>
      </c>
      <c r="AJ28" s="18">
        <f t="shared" si="18"/>
        <v>0.26666666666666666</v>
      </c>
      <c r="AK28" s="18">
        <f t="shared" si="18"/>
        <v>0.13333333333333333</v>
      </c>
      <c r="AL28" s="18">
        <f t="shared" si="18"/>
        <v>0.26666666666666666</v>
      </c>
      <c r="AM28" s="18">
        <f t="shared" si="18"/>
        <v>0.13333333333333333</v>
      </c>
      <c r="AN28" s="18">
        <f t="shared" si="18"/>
        <v>0</v>
      </c>
      <c r="AO28" s="16">
        <v>3</v>
      </c>
      <c r="AP28" s="24">
        <v>4</v>
      </c>
      <c r="AQ28" s="24">
        <v>2</v>
      </c>
      <c r="AR28" s="24">
        <v>4</v>
      </c>
      <c r="AS28" s="24">
        <v>2</v>
      </c>
      <c r="AT28" s="24">
        <v>0</v>
      </c>
      <c r="AU28" s="18">
        <f t="shared" si="17"/>
        <v>13.333333333333334</v>
      </c>
      <c r="AV28" s="62">
        <f t="shared" si="14"/>
        <v>12.5</v>
      </c>
    </row>
    <row r="29" spans="2:48" s="14" customFormat="1" ht="15.75" thickBot="1" x14ac:dyDescent="0.3">
      <c r="B29" s="14" t="s">
        <v>216</v>
      </c>
      <c r="C29" s="14">
        <v>7</v>
      </c>
      <c r="D29" s="14" t="s">
        <v>190</v>
      </c>
      <c r="E29" s="14">
        <v>23</v>
      </c>
      <c r="F29" s="14">
        <v>10</v>
      </c>
      <c r="G29" s="4">
        <v>43872.375115740739</v>
      </c>
      <c r="H29" s="56" t="s">
        <v>596</v>
      </c>
      <c r="I29" s="17">
        <v>8.1944444444444445E-2</v>
      </c>
      <c r="J29" s="17">
        <v>0.10694444444444444</v>
      </c>
      <c r="K29" s="17">
        <v>0.18611111111111112</v>
      </c>
      <c r="L29" s="17">
        <v>0.22916666666666666</v>
      </c>
      <c r="M29" s="17">
        <v>0.25347222222222221</v>
      </c>
      <c r="N29" s="17">
        <v>0.31805555555555554</v>
      </c>
      <c r="O29" s="17">
        <v>0.3444444444444445</v>
      </c>
      <c r="P29" s="17">
        <v>0.43055555555555558</v>
      </c>
      <c r="Q29" s="33">
        <f>10*60+20</f>
        <v>620</v>
      </c>
      <c r="S29" s="14">
        <v>0</v>
      </c>
      <c r="T29" s="14">
        <v>0</v>
      </c>
      <c r="U29" s="14">
        <v>2</v>
      </c>
      <c r="V29" s="14">
        <v>0</v>
      </c>
      <c r="W29" s="14">
        <v>0</v>
      </c>
      <c r="X29" s="14">
        <v>0</v>
      </c>
      <c r="Y29" s="14">
        <v>0</v>
      </c>
      <c r="Z29" s="14">
        <v>0</v>
      </c>
      <c r="AA29" s="14">
        <v>1</v>
      </c>
      <c r="AC29">
        <v>25</v>
      </c>
      <c r="AD29">
        <v>20</v>
      </c>
      <c r="AE29">
        <v>15</v>
      </c>
      <c r="AF29">
        <v>5</v>
      </c>
      <c r="AG29">
        <v>15</v>
      </c>
      <c r="AH29">
        <v>5</v>
      </c>
      <c r="AI29" s="18">
        <f t="shared" si="18"/>
        <v>0.2</v>
      </c>
      <c r="AJ29" s="18">
        <f t="shared" si="18"/>
        <v>6.6666666666666666E-2</v>
      </c>
      <c r="AK29" s="18">
        <f t="shared" si="18"/>
        <v>0.26666666666666666</v>
      </c>
      <c r="AL29" s="18">
        <f t="shared" si="18"/>
        <v>0.33333333333333331</v>
      </c>
      <c r="AM29" s="18">
        <f t="shared" si="18"/>
        <v>0</v>
      </c>
      <c r="AN29" s="18">
        <f t="shared" si="18"/>
        <v>0.13333333333333333</v>
      </c>
      <c r="AO29" s="16">
        <v>3</v>
      </c>
      <c r="AP29" s="24">
        <v>1</v>
      </c>
      <c r="AQ29" s="24">
        <v>4</v>
      </c>
      <c r="AR29" s="24">
        <v>5</v>
      </c>
      <c r="AS29" s="24">
        <v>0</v>
      </c>
      <c r="AT29" s="24">
        <v>2</v>
      </c>
      <c r="AU29" s="18">
        <f t="shared" si="17"/>
        <v>12.666666666666666</v>
      </c>
      <c r="AV29" s="62">
        <f t="shared" si="14"/>
        <v>14.166666666666666</v>
      </c>
    </row>
    <row r="30" spans="2:48" s="14" customFormat="1" ht="15.75" thickBot="1" x14ac:dyDescent="0.3">
      <c r="B30" s="14" t="s">
        <v>216</v>
      </c>
      <c r="C30" s="14">
        <v>8</v>
      </c>
      <c r="D30" s="14" t="s">
        <v>190</v>
      </c>
      <c r="E30" s="14">
        <v>28</v>
      </c>
      <c r="F30" s="14">
        <v>10</v>
      </c>
      <c r="G30" s="4">
        <v>43962.409328703703</v>
      </c>
      <c r="H30" s="56" t="s">
        <v>597</v>
      </c>
      <c r="I30" s="17">
        <v>7.9166666666666663E-2</v>
      </c>
      <c r="J30" s="17">
        <v>9.4444444444444442E-2</v>
      </c>
      <c r="K30" s="17">
        <v>0.18333333333333335</v>
      </c>
      <c r="L30" s="17">
        <v>0.21805555555555556</v>
      </c>
      <c r="M30" s="17">
        <v>0.25416666666666665</v>
      </c>
      <c r="N30" s="17">
        <v>0.3527777777777778</v>
      </c>
      <c r="O30" s="17">
        <v>0.3666666666666667</v>
      </c>
      <c r="P30" s="17">
        <v>0.44375000000000003</v>
      </c>
      <c r="Q30" s="33">
        <f>10*60+39</f>
        <v>639</v>
      </c>
      <c r="S30" s="14">
        <v>0</v>
      </c>
      <c r="T30" s="14">
        <v>0</v>
      </c>
      <c r="U30" s="14">
        <v>0</v>
      </c>
      <c r="V30" s="14">
        <v>0</v>
      </c>
      <c r="W30" s="14">
        <v>0</v>
      </c>
      <c r="X30" s="14">
        <v>0</v>
      </c>
      <c r="Y30" s="14">
        <v>0</v>
      </c>
      <c r="Z30" s="14">
        <v>0</v>
      </c>
      <c r="AA30" s="14">
        <v>0</v>
      </c>
      <c r="AC30">
        <v>65</v>
      </c>
      <c r="AD30">
        <v>35</v>
      </c>
      <c r="AE30">
        <v>35</v>
      </c>
      <c r="AF30">
        <v>15</v>
      </c>
      <c r="AG30">
        <v>5</v>
      </c>
      <c r="AH30">
        <v>10</v>
      </c>
      <c r="AI30" s="18">
        <f t="shared" si="18"/>
        <v>0.2</v>
      </c>
      <c r="AJ30" s="18">
        <f t="shared" si="18"/>
        <v>0.13333333333333333</v>
      </c>
      <c r="AK30" s="18">
        <f t="shared" si="18"/>
        <v>0.13333333333333333</v>
      </c>
      <c r="AL30" s="18">
        <f t="shared" si="18"/>
        <v>0.33333333333333331</v>
      </c>
      <c r="AM30" s="18">
        <f t="shared" si="18"/>
        <v>0.2</v>
      </c>
      <c r="AN30" s="18">
        <f t="shared" si="18"/>
        <v>0</v>
      </c>
      <c r="AO30" s="16">
        <v>3</v>
      </c>
      <c r="AP30" s="24">
        <v>2</v>
      </c>
      <c r="AQ30" s="24">
        <v>2</v>
      </c>
      <c r="AR30" s="24">
        <v>5</v>
      </c>
      <c r="AS30" s="24">
        <v>3</v>
      </c>
      <c r="AT30" s="24">
        <v>0</v>
      </c>
      <c r="AU30" s="18">
        <f t="shared" si="17"/>
        <v>28.333333333333332</v>
      </c>
      <c r="AV30" s="62">
        <f t="shared" si="14"/>
        <v>27.5</v>
      </c>
    </row>
    <row r="31" spans="2:48" s="14" customFormat="1" ht="15.75" thickBot="1" x14ac:dyDescent="0.3">
      <c r="B31" s="14" t="s">
        <v>216</v>
      </c>
      <c r="C31" s="14">
        <v>9</v>
      </c>
      <c r="D31" s="14" t="s">
        <v>190</v>
      </c>
      <c r="E31" s="14">
        <v>33</v>
      </c>
      <c r="F31" s="14">
        <v>100</v>
      </c>
      <c r="G31" s="4">
        <v>43962.443055555559</v>
      </c>
      <c r="H31" s="56" t="s">
        <v>598</v>
      </c>
      <c r="I31" s="17">
        <v>4.3750000000000004E-2</v>
      </c>
      <c r="J31" s="17">
        <v>6.805555555555555E-2</v>
      </c>
      <c r="K31" s="17">
        <v>0.13055555555555556</v>
      </c>
      <c r="L31" s="17">
        <v>0.14583333333333334</v>
      </c>
      <c r="M31" s="17">
        <v>0.17708333333333334</v>
      </c>
      <c r="N31" s="17">
        <v>0.21666666666666667</v>
      </c>
      <c r="O31" s="17">
        <v>0.23055555555555554</v>
      </c>
      <c r="P31" s="17">
        <v>0.30486111111111108</v>
      </c>
      <c r="Q31" s="33">
        <f>7*60+19</f>
        <v>439</v>
      </c>
      <c r="S31" s="14">
        <v>0</v>
      </c>
      <c r="T31" s="14">
        <v>0</v>
      </c>
      <c r="U31" s="14">
        <v>0</v>
      </c>
      <c r="V31" s="14">
        <v>0</v>
      </c>
      <c r="W31" s="14">
        <v>0</v>
      </c>
      <c r="X31" s="14">
        <v>0</v>
      </c>
      <c r="Y31" s="14">
        <v>0</v>
      </c>
      <c r="Z31" s="14">
        <v>0</v>
      </c>
      <c r="AA31" s="14">
        <v>0</v>
      </c>
      <c r="AC31">
        <v>70</v>
      </c>
      <c r="AD31">
        <v>55</v>
      </c>
      <c r="AE31">
        <v>30</v>
      </c>
      <c r="AF31">
        <v>20</v>
      </c>
      <c r="AG31">
        <v>55</v>
      </c>
      <c r="AH31">
        <v>35</v>
      </c>
      <c r="AI31" s="18">
        <f t="shared" si="18"/>
        <v>0.33333333333333331</v>
      </c>
      <c r="AJ31" s="18">
        <f t="shared" si="18"/>
        <v>6.6666666666666666E-2</v>
      </c>
      <c r="AK31" s="18">
        <f t="shared" si="18"/>
        <v>0.13333333333333333</v>
      </c>
      <c r="AL31" s="18">
        <f t="shared" si="18"/>
        <v>0.2</v>
      </c>
      <c r="AM31" s="18">
        <f t="shared" si="18"/>
        <v>0.2</v>
      </c>
      <c r="AN31" s="18">
        <f t="shared" si="18"/>
        <v>6.6666666666666666E-2</v>
      </c>
      <c r="AO31" s="16">
        <v>5</v>
      </c>
      <c r="AP31" s="24">
        <v>1</v>
      </c>
      <c r="AQ31" s="24">
        <v>2</v>
      </c>
      <c r="AR31" s="24">
        <v>3</v>
      </c>
      <c r="AS31" s="24">
        <v>3</v>
      </c>
      <c r="AT31" s="24">
        <v>1</v>
      </c>
      <c r="AU31" s="18">
        <f t="shared" si="17"/>
        <v>48.333333333333336</v>
      </c>
      <c r="AV31" s="62">
        <f t="shared" si="14"/>
        <v>44.166666666666664</v>
      </c>
    </row>
    <row r="32" spans="2:48" s="14" customFormat="1" ht="15.75" thickBot="1" x14ac:dyDescent="0.3">
      <c r="B32" s="14" t="s">
        <v>216</v>
      </c>
      <c r="C32" s="14">
        <v>10</v>
      </c>
      <c r="D32" s="14" t="s">
        <v>190</v>
      </c>
      <c r="E32" s="14">
        <v>22</v>
      </c>
      <c r="F32" s="14">
        <v>20</v>
      </c>
      <c r="G32" s="4">
        <v>43962.48946759259</v>
      </c>
      <c r="H32" s="56" t="s">
        <v>599</v>
      </c>
      <c r="I32" s="17">
        <v>7.8472222222222221E-2</v>
      </c>
      <c r="J32" s="17">
        <v>0.10625</v>
      </c>
      <c r="K32" s="17">
        <v>0.19722222222222222</v>
      </c>
      <c r="L32" s="17">
        <v>0.22916666666666666</v>
      </c>
      <c r="M32" s="17">
        <v>0.25416666666666665</v>
      </c>
      <c r="N32" s="17">
        <v>0.3034722222222222</v>
      </c>
      <c r="O32" s="17">
        <v>0.31805555555555554</v>
      </c>
      <c r="P32" s="17">
        <v>0.3840277777777778</v>
      </c>
      <c r="Q32" s="33">
        <f>9*60+13</f>
        <v>553</v>
      </c>
      <c r="S32" s="14">
        <v>1</v>
      </c>
      <c r="T32" s="14">
        <v>0</v>
      </c>
      <c r="U32" s="14">
        <v>0</v>
      </c>
      <c r="V32" s="14">
        <v>0</v>
      </c>
      <c r="W32" s="14">
        <v>0</v>
      </c>
      <c r="X32" s="14">
        <v>0</v>
      </c>
      <c r="Y32" s="14">
        <v>0</v>
      </c>
      <c r="Z32" s="14">
        <v>0</v>
      </c>
      <c r="AA32" s="14">
        <v>1</v>
      </c>
      <c r="AC32">
        <v>15</v>
      </c>
      <c r="AD32">
        <v>25</v>
      </c>
      <c r="AE32">
        <v>15</v>
      </c>
      <c r="AF32">
        <v>10</v>
      </c>
      <c r="AG32">
        <v>5</v>
      </c>
      <c r="AH32">
        <v>5</v>
      </c>
      <c r="AI32" s="18">
        <f t="shared" si="18"/>
        <v>0.13333333333333333</v>
      </c>
      <c r="AJ32" s="18">
        <f t="shared" si="18"/>
        <v>6.6666666666666666E-2</v>
      </c>
      <c r="AK32" s="18">
        <f t="shared" si="18"/>
        <v>6.6666666666666666E-2</v>
      </c>
      <c r="AL32" s="18">
        <f t="shared" si="18"/>
        <v>0.33333333333333331</v>
      </c>
      <c r="AM32" s="18">
        <f t="shared" si="18"/>
        <v>0.26666666666666666</v>
      </c>
      <c r="AN32" s="18">
        <f t="shared" si="18"/>
        <v>0.13333333333333333</v>
      </c>
      <c r="AO32" s="16">
        <v>2</v>
      </c>
      <c r="AP32" s="24">
        <v>1</v>
      </c>
      <c r="AQ32" s="24">
        <v>1</v>
      </c>
      <c r="AR32" s="24">
        <v>5</v>
      </c>
      <c r="AS32" s="24">
        <v>4</v>
      </c>
      <c r="AT32" s="24">
        <v>2</v>
      </c>
      <c r="AU32" s="18">
        <f t="shared" si="17"/>
        <v>10</v>
      </c>
      <c r="AV32" s="62">
        <f t="shared" si="14"/>
        <v>12.5</v>
      </c>
    </row>
    <row r="33" spans="1:48" s="14" customFormat="1" ht="15.75" thickBot="1" x14ac:dyDescent="0.3">
      <c r="B33" s="14" t="s">
        <v>216</v>
      </c>
      <c r="C33" s="14">
        <v>11</v>
      </c>
      <c r="D33" s="14" t="s">
        <v>190</v>
      </c>
      <c r="E33" s="14">
        <v>33</v>
      </c>
      <c r="F33" s="14">
        <v>5</v>
      </c>
      <c r="G33" s="4">
        <v>43993.398946759262</v>
      </c>
      <c r="H33" s="56" t="s">
        <v>600</v>
      </c>
      <c r="I33" s="17">
        <v>6.25E-2</v>
      </c>
      <c r="J33" s="17">
        <v>8.6805555555555566E-2</v>
      </c>
      <c r="K33" s="17">
        <v>0.14375000000000002</v>
      </c>
      <c r="L33" s="17">
        <v>0.18402777777777779</v>
      </c>
      <c r="M33" s="17">
        <v>0.20833333333333334</v>
      </c>
      <c r="N33" s="17">
        <v>0.26250000000000001</v>
      </c>
      <c r="O33" s="17">
        <v>0.28402777777777777</v>
      </c>
      <c r="P33" s="17">
        <v>0.34236111111111112</v>
      </c>
      <c r="Q33" s="33">
        <f>8*60+13</f>
        <v>493</v>
      </c>
      <c r="S33" s="14">
        <v>0</v>
      </c>
      <c r="T33" s="14">
        <v>0</v>
      </c>
      <c r="U33" s="14">
        <v>0</v>
      </c>
      <c r="V33" s="14">
        <v>0</v>
      </c>
      <c r="W33" s="14">
        <v>0</v>
      </c>
      <c r="X33" s="14">
        <v>0</v>
      </c>
      <c r="Y33" s="14">
        <v>4</v>
      </c>
      <c r="Z33" s="14">
        <v>0</v>
      </c>
      <c r="AA33" s="14">
        <v>1</v>
      </c>
      <c r="AC33">
        <v>30</v>
      </c>
      <c r="AD33">
        <v>55</v>
      </c>
      <c r="AE33">
        <v>70</v>
      </c>
      <c r="AF33">
        <v>5</v>
      </c>
      <c r="AG33">
        <v>45</v>
      </c>
      <c r="AH33">
        <v>45</v>
      </c>
      <c r="AI33" s="18">
        <f t="shared" si="18"/>
        <v>0.13333333333333333</v>
      </c>
      <c r="AJ33" s="18">
        <f t="shared" si="18"/>
        <v>6.6666666666666666E-2</v>
      </c>
      <c r="AK33" s="18">
        <f t="shared" si="18"/>
        <v>0.33333333333333331</v>
      </c>
      <c r="AL33" s="18">
        <f t="shared" si="18"/>
        <v>0.26666666666666666</v>
      </c>
      <c r="AM33" s="18">
        <f t="shared" si="18"/>
        <v>6.6666666666666666E-2</v>
      </c>
      <c r="AN33" s="18">
        <f t="shared" si="18"/>
        <v>0.13333333333333333</v>
      </c>
      <c r="AO33" s="16">
        <v>2</v>
      </c>
      <c r="AP33" s="24">
        <v>1</v>
      </c>
      <c r="AQ33" s="24">
        <v>5</v>
      </c>
      <c r="AR33" s="24">
        <v>4</v>
      </c>
      <c r="AS33" s="24">
        <v>1</v>
      </c>
      <c r="AT33" s="24">
        <v>2</v>
      </c>
      <c r="AU33" s="18">
        <f t="shared" si="17"/>
        <v>41.333333333333336</v>
      </c>
      <c r="AV33" s="62">
        <f t="shared" si="14"/>
        <v>41.666666666666664</v>
      </c>
    </row>
    <row r="34" spans="1:48" s="14" customFormat="1" ht="15.75" thickBot="1" x14ac:dyDescent="0.3">
      <c r="A34" t="s">
        <v>201</v>
      </c>
      <c r="B34" t="s">
        <v>215</v>
      </c>
      <c r="C34" s="14">
        <v>1</v>
      </c>
      <c r="D34" s="14" t="s">
        <v>190</v>
      </c>
      <c r="E34" s="14">
        <v>27</v>
      </c>
      <c r="F34" s="14">
        <v>4</v>
      </c>
      <c r="G34" s="4">
        <v>43992.458553240744</v>
      </c>
      <c r="H34" s="56" t="s">
        <v>602</v>
      </c>
      <c r="I34" s="17">
        <v>7.5694444444444439E-2</v>
      </c>
      <c r="J34" s="17">
        <v>9.0972222222222218E-2</v>
      </c>
      <c r="K34" s="17">
        <v>0.14097222222222222</v>
      </c>
      <c r="L34" s="17">
        <v>0.18263888888888891</v>
      </c>
      <c r="M34" s="17">
        <v>0.20833333333333334</v>
      </c>
      <c r="N34" s="17">
        <v>0.26944444444444443</v>
      </c>
      <c r="O34" s="17">
        <v>0.27152777777777776</v>
      </c>
      <c r="P34" s="17">
        <v>0.34861111111111115</v>
      </c>
      <c r="Q34" s="32">
        <v>502</v>
      </c>
      <c r="S34" s="14">
        <v>0</v>
      </c>
      <c r="T34" s="14">
        <v>0</v>
      </c>
      <c r="U34" s="14">
        <v>0</v>
      </c>
      <c r="V34" s="14">
        <v>0</v>
      </c>
      <c r="W34" s="14">
        <v>0</v>
      </c>
      <c r="X34" s="14">
        <v>0</v>
      </c>
      <c r="Y34" s="14">
        <v>0</v>
      </c>
      <c r="Z34" s="14">
        <v>0</v>
      </c>
      <c r="AA34" s="14">
        <v>0</v>
      </c>
      <c r="AC34" s="14">
        <v>70</v>
      </c>
      <c r="AD34" s="14">
        <v>25</v>
      </c>
      <c r="AE34" s="14">
        <v>30</v>
      </c>
      <c r="AF34" s="14">
        <v>30</v>
      </c>
      <c r="AG34" s="14">
        <v>30</v>
      </c>
      <c r="AH34" s="14">
        <v>60</v>
      </c>
      <c r="AI34" s="18">
        <f>AO34/15</f>
        <v>0.26666666666666666</v>
      </c>
      <c r="AJ34" s="18">
        <f t="shared" ref="AJ34:AN41" si="19">AP34/15</f>
        <v>0</v>
      </c>
      <c r="AK34" s="18">
        <f t="shared" si="19"/>
        <v>0.2</v>
      </c>
      <c r="AL34" s="18">
        <f t="shared" si="19"/>
        <v>6.6666666666666666E-2</v>
      </c>
      <c r="AM34" s="18">
        <f t="shared" si="19"/>
        <v>0.13333333333333333</v>
      </c>
      <c r="AN34" s="18">
        <f t="shared" si="19"/>
        <v>0.33333333333333331</v>
      </c>
      <c r="AO34" s="18">
        <v>4</v>
      </c>
      <c r="AP34" s="14">
        <v>0</v>
      </c>
      <c r="AQ34" s="14">
        <v>3</v>
      </c>
      <c r="AR34" s="14">
        <v>1</v>
      </c>
      <c r="AS34" s="14">
        <v>2</v>
      </c>
      <c r="AT34" s="14">
        <v>5</v>
      </c>
      <c r="AU34" s="18">
        <f t="shared" ref="AU34:AU41" si="20">((AC34*AO34)+(AD34*AP34)+(AE34*AQ34)+(AF34*AR34)+(AG34*AS34)+(AH34*AT34))/15</f>
        <v>50.666666666666664</v>
      </c>
      <c r="AV34" s="63">
        <f t="shared" si="14"/>
        <v>40.833333333333336</v>
      </c>
    </row>
    <row r="35" spans="1:48" s="14" customFormat="1" ht="15.75" thickBot="1" x14ac:dyDescent="0.3">
      <c r="B35" t="s">
        <v>215</v>
      </c>
      <c r="C35" s="14">
        <v>2</v>
      </c>
      <c r="D35" s="14" t="s">
        <v>190</v>
      </c>
      <c r="E35" s="14">
        <v>24</v>
      </c>
      <c r="F35" s="14">
        <v>0</v>
      </c>
      <c r="G35" s="2" t="s">
        <v>497</v>
      </c>
      <c r="H35" s="56" t="s">
        <v>603</v>
      </c>
      <c r="I35" s="17">
        <v>0.10972222222222222</v>
      </c>
      <c r="J35" s="17">
        <v>0.11527777777777777</v>
      </c>
      <c r="K35" s="17">
        <v>0.19166666666666665</v>
      </c>
      <c r="L35" s="17">
        <v>0.2388888888888889</v>
      </c>
      <c r="M35" s="17">
        <v>0.28750000000000003</v>
      </c>
      <c r="N35" s="17">
        <v>0.34861111111111115</v>
      </c>
      <c r="O35" s="17">
        <v>0.3576388888888889</v>
      </c>
      <c r="P35" s="17">
        <v>0.47083333333333338</v>
      </c>
      <c r="Q35" s="32">
        <f>11*60+18</f>
        <v>678</v>
      </c>
      <c r="S35" s="14">
        <v>0</v>
      </c>
      <c r="T35" s="14">
        <v>0</v>
      </c>
      <c r="U35" s="14">
        <v>0</v>
      </c>
      <c r="V35" s="14">
        <v>0</v>
      </c>
      <c r="W35" s="14">
        <v>0</v>
      </c>
      <c r="X35" s="14">
        <v>0</v>
      </c>
      <c r="Y35" s="14">
        <v>0</v>
      </c>
      <c r="Z35" s="14">
        <v>0</v>
      </c>
      <c r="AA35" s="14">
        <v>0</v>
      </c>
      <c r="AC35" s="14">
        <v>40</v>
      </c>
      <c r="AD35" s="14">
        <v>40</v>
      </c>
      <c r="AE35" s="14">
        <v>10</v>
      </c>
      <c r="AF35" s="14">
        <v>30</v>
      </c>
      <c r="AG35" s="14">
        <v>30</v>
      </c>
      <c r="AH35" s="14">
        <v>10</v>
      </c>
      <c r="AI35" s="18">
        <f t="shared" ref="AI35:AI41" si="21">AO35/15</f>
        <v>0.2</v>
      </c>
      <c r="AJ35" s="18">
        <f t="shared" si="19"/>
        <v>0.2</v>
      </c>
      <c r="AK35" s="18">
        <f t="shared" si="19"/>
        <v>6.6666666666666666E-2</v>
      </c>
      <c r="AL35" s="18">
        <f t="shared" si="19"/>
        <v>0.2</v>
      </c>
      <c r="AM35" s="18">
        <f t="shared" si="19"/>
        <v>0.33333333333333331</v>
      </c>
      <c r="AN35" s="18">
        <f t="shared" si="19"/>
        <v>0</v>
      </c>
      <c r="AO35" s="18">
        <v>3</v>
      </c>
      <c r="AP35" s="14">
        <v>3</v>
      </c>
      <c r="AQ35" s="14">
        <v>1</v>
      </c>
      <c r="AR35" s="14">
        <v>3</v>
      </c>
      <c r="AS35" s="14">
        <v>5</v>
      </c>
      <c r="AT35" s="14">
        <v>0</v>
      </c>
      <c r="AU35" s="18">
        <f t="shared" si="20"/>
        <v>32.666666666666664</v>
      </c>
      <c r="AV35" s="63">
        <f t="shared" si="14"/>
        <v>26.666666666666668</v>
      </c>
    </row>
    <row r="36" spans="1:48" s="14" customFormat="1" ht="15.75" thickBot="1" x14ac:dyDescent="0.3">
      <c r="B36" t="s">
        <v>215</v>
      </c>
      <c r="C36" s="14">
        <v>3</v>
      </c>
      <c r="D36" s="14" t="s">
        <v>190</v>
      </c>
      <c r="E36" s="14">
        <v>25</v>
      </c>
      <c r="F36" s="14">
        <v>1</v>
      </c>
      <c r="G36" s="4">
        <v>44053.481631944444</v>
      </c>
      <c r="H36" s="56" t="s">
        <v>604</v>
      </c>
      <c r="I36" s="17">
        <v>5.5555555555555552E-2</v>
      </c>
      <c r="J36" s="17">
        <v>6.9444444444444434E-2</v>
      </c>
      <c r="K36" s="17">
        <v>0.12847222222222224</v>
      </c>
      <c r="L36" s="17">
        <v>0.17291666666666669</v>
      </c>
      <c r="M36" s="17">
        <v>0.19166666666666665</v>
      </c>
      <c r="N36" s="17">
        <v>0.23333333333333331</v>
      </c>
      <c r="O36" s="17">
        <v>0.24374999999999999</v>
      </c>
      <c r="P36" s="17">
        <v>0.30763888888888891</v>
      </c>
      <c r="Q36" s="32">
        <v>443</v>
      </c>
      <c r="S36" s="14">
        <v>0</v>
      </c>
      <c r="T36" s="14">
        <v>0</v>
      </c>
      <c r="U36" s="14">
        <v>0</v>
      </c>
      <c r="V36" s="14">
        <v>0</v>
      </c>
      <c r="W36" s="14">
        <v>0</v>
      </c>
      <c r="X36" s="14">
        <v>0</v>
      </c>
      <c r="Y36" s="14">
        <v>0</v>
      </c>
      <c r="Z36" s="14">
        <v>0</v>
      </c>
      <c r="AA36" s="14">
        <v>0</v>
      </c>
      <c r="AC36" s="14">
        <v>20</v>
      </c>
      <c r="AD36" s="14">
        <v>10</v>
      </c>
      <c r="AE36" s="14">
        <v>20</v>
      </c>
      <c r="AF36" s="14">
        <v>10</v>
      </c>
      <c r="AG36" s="14">
        <v>5</v>
      </c>
      <c r="AH36" s="14">
        <v>5</v>
      </c>
      <c r="AI36" s="18">
        <f t="shared" si="21"/>
        <v>0.13333333333333333</v>
      </c>
      <c r="AJ36" s="18">
        <f t="shared" si="19"/>
        <v>0</v>
      </c>
      <c r="AK36" s="18">
        <f t="shared" si="19"/>
        <v>0.26666666666666666</v>
      </c>
      <c r="AL36" s="18">
        <f t="shared" si="19"/>
        <v>0.33333333333333331</v>
      </c>
      <c r="AM36" s="18">
        <f t="shared" si="19"/>
        <v>0.2</v>
      </c>
      <c r="AN36" s="18">
        <f t="shared" si="19"/>
        <v>6.6666666666666666E-2</v>
      </c>
      <c r="AO36" s="18">
        <v>2</v>
      </c>
      <c r="AP36" s="14">
        <v>0</v>
      </c>
      <c r="AQ36" s="14">
        <v>4</v>
      </c>
      <c r="AR36" s="14">
        <v>5</v>
      </c>
      <c r="AS36" s="14">
        <v>3</v>
      </c>
      <c r="AT36" s="14">
        <v>1</v>
      </c>
      <c r="AU36" s="18">
        <f t="shared" si="20"/>
        <v>12.666666666666666</v>
      </c>
      <c r="AV36" s="63">
        <f t="shared" si="14"/>
        <v>11.666666666666666</v>
      </c>
    </row>
    <row r="37" spans="1:48" s="14" customFormat="1" ht="15.75" thickBot="1" x14ac:dyDescent="0.3">
      <c r="B37" t="s">
        <v>215</v>
      </c>
      <c r="C37" s="14">
        <v>4</v>
      </c>
      <c r="D37" s="14" t="s">
        <v>190</v>
      </c>
      <c r="E37" s="14">
        <v>22</v>
      </c>
      <c r="F37" s="14">
        <v>30</v>
      </c>
      <c r="G37" s="4">
        <v>44084.440567129626</v>
      </c>
      <c r="H37" s="56" t="s">
        <v>605</v>
      </c>
      <c r="I37" s="17">
        <v>7.1527777777777787E-2</v>
      </c>
      <c r="J37" s="17">
        <v>8.0555555555555561E-2</v>
      </c>
      <c r="K37" s="17">
        <v>0.15416666666666667</v>
      </c>
      <c r="L37" s="17">
        <v>0.19444444444444445</v>
      </c>
      <c r="M37" s="17">
        <v>0.21597222222222223</v>
      </c>
      <c r="N37" s="17">
        <v>0.26319444444444445</v>
      </c>
      <c r="O37" s="17">
        <v>0.27430555555555552</v>
      </c>
      <c r="P37" s="17">
        <v>0.3520833333333333</v>
      </c>
      <c r="Q37" s="32">
        <v>507</v>
      </c>
      <c r="S37" s="14">
        <v>0</v>
      </c>
      <c r="T37" s="14">
        <v>0</v>
      </c>
      <c r="U37" s="14">
        <v>0</v>
      </c>
      <c r="V37" s="14">
        <v>0</v>
      </c>
      <c r="W37" s="14">
        <v>0</v>
      </c>
      <c r="X37" s="14">
        <v>0</v>
      </c>
      <c r="Y37" s="14">
        <v>0</v>
      </c>
      <c r="Z37" s="14">
        <v>0</v>
      </c>
      <c r="AA37" s="14">
        <v>0</v>
      </c>
      <c r="AC37" s="14">
        <v>35</v>
      </c>
      <c r="AD37" s="14">
        <v>10</v>
      </c>
      <c r="AE37" s="14">
        <v>20</v>
      </c>
      <c r="AF37" s="14">
        <v>20</v>
      </c>
      <c r="AG37" s="14">
        <v>5</v>
      </c>
      <c r="AH37" s="14">
        <v>5</v>
      </c>
      <c r="AI37" s="18">
        <f t="shared" si="21"/>
        <v>0.2</v>
      </c>
      <c r="AJ37" s="18">
        <f t="shared" si="19"/>
        <v>0.2</v>
      </c>
      <c r="AK37" s="18">
        <f t="shared" si="19"/>
        <v>6.6666666666666666E-2</v>
      </c>
      <c r="AL37" s="18">
        <f t="shared" si="19"/>
        <v>0.26666666666666666</v>
      </c>
      <c r="AM37" s="18">
        <f t="shared" si="19"/>
        <v>0</v>
      </c>
      <c r="AN37" s="18">
        <f t="shared" si="19"/>
        <v>0.26666666666666666</v>
      </c>
      <c r="AO37" s="18">
        <v>3</v>
      </c>
      <c r="AP37" s="14">
        <v>3</v>
      </c>
      <c r="AQ37" s="14">
        <v>1</v>
      </c>
      <c r="AR37" s="14">
        <v>4</v>
      </c>
      <c r="AS37" s="14">
        <v>0</v>
      </c>
      <c r="AT37" s="14">
        <v>4</v>
      </c>
      <c r="AU37" s="18">
        <f t="shared" si="20"/>
        <v>17</v>
      </c>
      <c r="AV37" s="63">
        <f t="shared" si="14"/>
        <v>15.833333333333334</v>
      </c>
    </row>
    <row r="38" spans="1:48" s="14" customFormat="1" ht="15.75" thickBot="1" x14ac:dyDescent="0.3">
      <c r="B38" t="s">
        <v>215</v>
      </c>
      <c r="C38" s="14">
        <v>5</v>
      </c>
      <c r="D38" s="14" t="s">
        <v>190</v>
      </c>
      <c r="E38" s="14">
        <v>22</v>
      </c>
      <c r="F38" s="14">
        <v>5</v>
      </c>
      <c r="G38" s="4">
        <v>44084.480868055558</v>
      </c>
      <c r="H38" s="56" t="s">
        <v>606</v>
      </c>
      <c r="I38" s="17">
        <v>6.7361111111111108E-2</v>
      </c>
      <c r="J38" s="17">
        <v>7.1527777777777787E-2</v>
      </c>
      <c r="K38" s="17">
        <v>0.12916666666666668</v>
      </c>
      <c r="L38" s="17">
        <v>0.15416666666666667</v>
      </c>
      <c r="M38" s="17">
        <v>0.18055555555555555</v>
      </c>
      <c r="N38" s="17">
        <v>0.22847222222222222</v>
      </c>
      <c r="O38" s="17">
        <v>0.23750000000000002</v>
      </c>
      <c r="P38" s="17">
        <v>0.28194444444444444</v>
      </c>
      <c r="Q38" s="32">
        <v>406</v>
      </c>
      <c r="S38" s="14">
        <v>0</v>
      </c>
      <c r="T38" s="14">
        <v>0</v>
      </c>
      <c r="U38" s="14">
        <v>0</v>
      </c>
      <c r="V38" s="14">
        <v>0</v>
      </c>
      <c r="W38" s="14">
        <v>0</v>
      </c>
      <c r="X38" s="14">
        <v>0</v>
      </c>
      <c r="Y38" s="14">
        <v>0</v>
      </c>
      <c r="Z38" s="14">
        <v>0</v>
      </c>
      <c r="AA38" s="14">
        <v>0</v>
      </c>
      <c r="AC38" s="14">
        <v>25</v>
      </c>
      <c r="AD38" s="14">
        <v>65</v>
      </c>
      <c r="AE38" s="14">
        <v>5</v>
      </c>
      <c r="AF38" s="14">
        <v>15</v>
      </c>
      <c r="AG38" s="14">
        <v>5</v>
      </c>
      <c r="AH38" s="14">
        <v>25</v>
      </c>
      <c r="AI38" s="18">
        <f t="shared" si="21"/>
        <v>0.13333333333333333</v>
      </c>
      <c r="AJ38" s="18">
        <f t="shared" si="19"/>
        <v>0.33333333333333331</v>
      </c>
      <c r="AK38" s="18">
        <f t="shared" si="19"/>
        <v>0</v>
      </c>
      <c r="AL38" s="18">
        <f t="shared" si="19"/>
        <v>0.2</v>
      </c>
      <c r="AM38" s="18">
        <f t="shared" si="19"/>
        <v>0.26666666666666666</v>
      </c>
      <c r="AN38" s="18">
        <f t="shared" si="19"/>
        <v>6.6666666666666666E-2</v>
      </c>
      <c r="AO38" s="18">
        <v>2</v>
      </c>
      <c r="AP38" s="14">
        <v>5</v>
      </c>
      <c r="AQ38" s="14">
        <v>0</v>
      </c>
      <c r="AR38" s="14">
        <v>3</v>
      </c>
      <c r="AS38" s="14">
        <v>4</v>
      </c>
      <c r="AT38" s="14">
        <v>1</v>
      </c>
      <c r="AU38" s="18">
        <f t="shared" si="20"/>
        <v>31</v>
      </c>
      <c r="AV38" s="63">
        <f t="shared" si="14"/>
        <v>23.333333333333332</v>
      </c>
    </row>
    <row r="39" spans="1:48" s="14" customFormat="1" ht="15.75" thickBot="1" x14ac:dyDescent="0.3">
      <c r="B39" t="s">
        <v>215</v>
      </c>
      <c r="C39" s="14">
        <v>6</v>
      </c>
      <c r="D39" s="14" t="s">
        <v>194</v>
      </c>
      <c r="E39" s="14">
        <v>26</v>
      </c>
      <c r="F39" s="14">
        <v>0</v>
      </c>
      <c r="G39" s="4">
        <v>44175.645231481481</v>
      </c>
      <c r="H39" s="56" t="s">
        <v>607</v>
      </c>
      <c r="I39" s="17">
        <v>6.805555555555555E-2</v>
      </c>
      <c r="J39" s="17">
        <v>8.1944444444444445E-2</v>
      </c>
      <c r="K39" s="17">
        <v>0.14444444444444446</v>
      </c>
      <c r="L39" s="17">
        <v>0.19027777777777777</v>
      </c>
      <c r="M39" s="17">
        <v>0.20833333333333334</v>
      </c>
      <c r="N39" s="17">
        <v>0.27499999999999997</v>
      </c>
      <c r="O39" s="17">
        <v>0.34166666666666662</v>
      </c>
      <c r="P39" s="17">
        <v>0.3756944444444445</v>
      </c>
      <c r="Q39" s="32">
        <v>541</v>
      </c>
      <c r="S39" s="14">
        <v>0</v>
      </c>
      <c r="T39" s="14">
        <v>0</v>
      </c>
      <c r="U39" s="14">
        <v>0</v>
      </c>
      <c r="V39" s="14">
        <v>0</v>
      </c>
      <c r="W39" s="14">
        <v>0</v>
      </c>
      <c r="X39" s="14">
        <v>0</v>
      </c>
      <c r="Y39" s="14">
        <v>0</v>
      </c>
      <c r="Z39" s="14">
        <v>0</v>
      </c>
      <c r="AA39" s="14">
        <v>0</v>
      </c>
      <c r="AC39" s="14">
        <v>35</v>
      </c>
      <c r="AD39" s="14">
        <v>25</v>
      </c>
      <c r="AE39" s="14">
        <v>35</v>
      </c>
      <c r="AF39" s="14">
        <v>25</v>
      </c>
      <c r="AG39" s="14">
        <v>50</v>
      </c>
      <c r="AH39" s="14">
        <v>25</v>
      </c>
      <c r="AI39" s="18">
        <f t="shared" si="21"/>
        <v>0.33333333333333331</v>
      </c>
      <c r="AJ39" s="18">
        <f t="shared" si="19"/>
        <v>0</v>
      </c>
      <c r="AK39" s="18">
        <f t="shared" si="19"/>
        <v>6.6666666666666666E-2</v>
      </c>
      <c r="AL39" s="18">
        <f t="shared" si="19"/>
        <v>0.26666666666666666</v>
      </c>
      <c r="AM39" s="18">
        <f t="shared" si="19"/>
        <v>0.2</v>
      </c>
      <c r="AN39" s="18">
        <f t="shared" si="19"/>
        <v>0.13333333333333333</v>
      </c>
      <c r="AO39" s="18">
        <v>5</v>
      </c>
      <c r="AP39" s="14">
        <v>0</v>
      </c>
      <c r="AQ39" s="14">
        <v>1</v>
      </c>
      <c r="AR39" s="14">
        <v>4</v>
      </c>
      <c r="AS39" s="14">
        <v>3</v>
      </c>
      <c r="AT39" s="14">
        <v>2</v>
      </c>
      <c r="AU39" s="18">
        <f t="shared" si="20"/>
        <v>34</v>
      </c>
      <c r="AV39" s="63">
        <f t="shared" si="14"/>
        <v>32.5</v>
      </c>
    </row>
    <row r="40" spans="1:48" s="14" customFormat="1" ht="15.75" thickBot="1" x14ac:dyDescent="0.3">
      <c r="B40" t="s">
        <v>215</v>
      </c>
      <c r="C40" s="14">
        <v>7</v>
      </c>
      <c r="D40" s="14" t="s">
        <v>190</v>
      </c>
      <c r="E40" s="14">
        <v>28</v>
      </c>
      <c r="F40" s="14">
        <v>15</v>
      </c>
      <c r="G40" s="4">
        <v>44053.437048611115</v>
      </c>
      <c r="H40" s="56" t="s">
        <v>608</v>
      </c>
      <c r="I40" s="17">
        <v>5.9722222222222225E-2</v>
      </c>
      <c r="J40" s="17">
        <v>9.5833333333333326E-2</v>
      </c>
      <c r="K40" s="17">
        <v>0.16041666666666668</v>
      </c>
      <c r="L40" s="17">
        <v>0.18819444444444444</v>
      </c>
      <c r="M40" s="17">
        <v>0.21805555555555556</v>
      </c>
      <c r="N40" s="17">
        <v>0.26597222222222222</v>
      </c>
      <c r="O40" s="17">
        <v>0.28472222222222221</v>
      </c>
      <c r="P40" s="17">
        <v>0.33819444444444446</v>
      </c>
      <c r="Q40" s="32">
        <v>487</v>
      </c>
      <c r="S40" s="14">
        <v>0</v>
      </c>
      <c r="T40" s="14">
        <v>0</v>
      </c>
      <c r="U40" s="14">
        <v>0</v>
      </c>
      <c r="V40" s="14">
        <v>0</v>
      </c>
      <c r="W40" s="14">
        <v>0</v>
      </c>
      <c r="X40" s="14">
        <v>0</v>
      </c>
      <c r="Y40" s="14">
        <v>0</v>
      </c>
      <c r="Z40" s="14">
        <v>0</v>
      </c>
      <c r="AA40" s="14">
        <v>0</v>
      </c>
      <c r="AC40" s="14">
        <v>30</v>
      </c>
      <c r="AD40" s="14">
        <v>60</v>
      </c>
      <c r="AE40" s="14">
        <v>5</v>
      </c>
      <c r="AF40" s="14">
        <v>90</v>
      </c>
      <c r="AG40" s="14">
        <v>25</v>
      </c>
      <c r="AH40" s="14">
        <v>15</v>
      </c>
      <c r="AI40" s="18">
        <f t="shared" si="21"/>
        <v>0.13333333333333333</v>
      </c>
      <c r="AJ40" s="18">
        <f t="shared" si="19"/>
        <v>0.33333333333333331</v>
      </c>
      <c r="AK40" s="18">
        <f t="shared" si="19"/>
        <v>0</v>
      </c>
      <c r="AL40" s="18">
        <f t="shared" si="19"/>
        <v>0.2</v>
      </c>
      <c r="AM40" s="18">
        <f t="shared" si="19"/>
        <v>0.13333333333333333</v>
      </c>
      <c r="AN40" s="18">
        <f t="shared" si="19"/>
        <v>0.2</v>
      </c>
      <c r="AO40" s="18">
        <v>2</v>
      </c>
      <c r="AP40" s="14">
        <v>5</v>
      </c>
      <c r="AQ40" s="14">
        <v>0</v>
      </c>
      <c r="AR40" s="14">
        <v>3</v>
      </c>
      <c r="AS40" s="14">
        <v>2</v>
      </c>
      <c r="AT40" s="14">
        <v>3</v>
      </c>
      <c r="AU40" s="18">
        <f t="shared" si="20"/>
        <v>48.333333333333336</v>
      </c>
      <c r="AV40" s="63">
        <f t="shared" si="14"/>
        <v>37.5</v>
      </c>
    </row>
    <row r="41" spans="1:48" s="14" customFormat="1" ht="15.75" thickBot="1" x14ac:dyDescent="0.3">
      <c r="B41" t="s">
        <v>215</v>
      </c>
      <c r="C41" s="14">
        <v>8</v>
      </c>
      <c r="D41" s="14" t="s">
        <v>190</v>
      </c>
      <c r="E41" s="14">
        <v>34</v>
      </c>
      <c r="F41" s="14">
        <v>50</v>
      </c>
      <c r="G41" s="2" t="s">
        <v>498</v>
      </c>
      <c r="H41" s="56" t="s">
        <v>609</v>
      </c>
      <c r="I41" s="17">
        <v>5.7638888888888885E-2</v>
      </c>
      <c r="J41" s="17">
        <v>6.805555555555555E-2</v>
      </c>
      <c r="K41" s="17">
        <v>0.15</v>
      </c>
      <c r="L41" s="17">
        <v>0.18263888888888891</v>
      </c>
      <c r="M41" s="17">
        <v>0.20486111111111113</v>
      </c>
      <c r="N41" s="17">
        <v>0.26666666666666666</v>
      </c>
      <c r="O41" s="17">
        <v>0.27499999999999997</v>
      </c>
      <c r="P41" s="17">
        <v>0.33402777777777781</v>
      </c>
      <c r="Q41" s="32">
        <f>8*60+1</f>
        <v>481</v>
      </c>
      <c r="S41" s="14">
        <v>0</v>
      </c>
      <c r="T41" s="14">
        <v>0</v>
      </c>
      <c r="U41" s="14">
        <v>0</v>
      </c>
      <c r="V41" s="14">
        <v>0</v>
      </c>
      <c r="W41" s="14">
        <v>0</v>
      </c>
      <c r="X41" s="14">
        <v>0</v>
      </c>
      <c r="Y41" s="14">
        <v>0</v>
      </c>
      <c r="Z41" s="14">
        <v>0</v>
      </c>
      <c r="AA41" s="14">
        <v>0</v>
      </c>
      <c r="AC41">
        <v>15</v>
      </c>
      <c r="AD41">
        <v>15</v>
      </c>
      <c r="AE41">
        <v>5</v>
      </c>
      <c r="AF41">
        <v>25</v>
      </c>
      <c r="AG41">
        <v>5</v>
      </c>
      <c r="AH41">
        <v>10</v>
      </c>
      <c r="AI41" s="18">
        <f t="shared" si="21"/>
        <v>0.26666666666666666</v>
      </c>
      <c r="AJ41" s="18">
        <f t="shared" si="19"/>
        <v>6.6666666666666666E-2</v>
      </c>
      <c r="AK41" s="18">
        <f t="shared" si="19"/>
        <v>0</v>
      </c>
      <c r="AL41" s="18">
        <f t="shared" si="19"/>
        <v>0.33333333333333331</v>
      </c>
      <c r="AM41" s="18">
        <f t="shared" si="19"/>
        <v>0.2</v>
      </c>
      <c r="AN41" s="18">
        <f t="shared" si="19"/>
        <v>0.13333333333333333</v>
      </c>
      <c r="AO41" s="16">
        <v>4</v>
      </c>
      <c r="AP41" s="24">
        <v>1</v>
      </c>
      <c r="AQ41" s="24">
        <v>0</v>
      </c>
      <c r="AR41" s="24">
        <v>5</v>
      </c>
      <c r="AS41" s="24">
        <v>3</v>
      </c>
      <c r="AT41" s="24">
        <v>2</v>
      </c>
      <c r="AU41" s="18">
        <f t="shared" si="20"/>
        <v>15.666666666666666</v>
      </c>
      <c r="AV41" s="63">
        <f t="shared" si="14"/>
        <v>12.5</v>
      </c>
    </row>
    <row r="42" spans="1:48" s="14" customFormat="1" ht="15.75" thickBot="1" x14ac:dyDescent="0.3">
      <c r="B42" t="s">
        <v>215</v>
      </c>
      <c r="C42" s="14">
        <v>9</v>
      </c>
      <c r="E42" s="14">
        <v>22</v>
      </c>
      <c r="F42" s="14">
        <v>10</v>
      </c>
      <c r="G42" s="2" t="s">
        <v>499</v>
      </c>
      <c r="H42" s="56" t="s">
        <v>610</v>
      </c>
      <c r="I42" s="17">
        <v>9.375E-2</v>
      </c>
      <c r="J42" s="17">
        <v>0.10347222222222223</v>
      </c>
      <c r="K42" s="17">
        <v>0.17569444444444446</v>
      </c>
      <c r="L42" s="17">
        <v>0.21111111111111111</v>
      </c>
      <c r="M42" s="17">
        <v>0.23333333333333331</v>
      </c>
      <c r="N42" s="17">
        <v>0.28611111111111115</v>
      </c>
      <c r="O42" s="17">
        <v>0.29722222222222222</v>
      </c>
      <c r="P42" s="17">
        <v>0.37291666666666662</v>
      </c>
      <c r="Q42" s="32">
        <f>8*60+57</f>
        <v>537</v>
      </c>
      <c r="S42" s="14">
        <v>0</v>
      </c>
      <c r="T42" s="14">
        <v>0</v>
      </c>
      <c r="U42" s="14">
        <v>0</v>
      </c>
      <c r="V42" s="14">
        <v>0</v>
      </c>
      <c r="W42" s="14">
        <v>0</v>
      </c>
      <c r="X42" s="14">
        <v>0</v>
      </c>
      <c r="Y42" s="14">
        <v>0</v>
      </c>
      <c r="Z42" s="14">
        <v>0</v>
      </c>
      <c r="AA42" s="14">
        <v>0</v>
      </c>
      <c r="AC42">
        <v>5</v>
      </c>
      <c r="AD42">
        <v>5</v>
      </c>
      <c r="AE42">
        <v>5</v>
      </c>
      <c r="AF42">
        <v>5</v>
      </c>
      <c r="AG42">
        <v>5</v>
      </c>
      <c r="AH42">
        <v>5</v>
      </c>
      <c r="AI42" s="18">
        <f t="shared" ref="AI42:AN43" si="22">AO42/15</f>
        <v>0.2</v>
      </c>
      <c r="AJ42" s="18">
        <f t="shared" si="22"/>
        <v>0.13333333333333333</v>
      </c>
      <c r="AK42" s="18">
        <f t="shared" si="22"/>
        <v>0.13333333333333333</v>
      </c>
      <c r="AL42" s="18">
        <f t="shared" si="22"/>
        <v>0.33333333333333331</v>
      </c>
      <c r="AM42" s="18">
        <f t="shared" si="22"/>
        <v>0.2</v>
      </c>
      <c r="AN42" s="18">
        <f t="shared" si="22"/>
        <v>0</v>
      </c>
      <c r="AO42" s="16">
        <v>3</v>
      </c>
      <c r="AP42" s="24">
        <v>2</v>
      </c>
      <c r="AQ42" s="24">
        <v>2</v>
      </c>
      <c r="AR42" s="24">
        <v>5</v>
      </c>
      <c r="AS42" s="24">
        <v>3</v>
      </c>
      <c r="AT42" s="24">
        <v>0</v>
      </c>
      <c r="AU42" s="18">
        <f t="shared" ref="AU42:AU43" si="23">((AC42*AO42)+(AD42*AP42)+(AE42*AQ42)+(AF42*AR42)+(AG42*AS42)+(AH42*AT42))/15</f>
        <v>5</v>
      </c>
      <c r="AV42" s="63">
        <f t="shared" si="14"/>
        <v>5</v>
      </c>
    </row>
    <row r="43" spans="1:48" s="14" customFormat="1" ht="15.75" thickBot="1" x14ac:dyDescent="0.3">
      <c r="B43" t="s">
        <v>215</v>
      </c>
      <c r="C43" s="14">
        <v>10</v>
      </c>
      <c r="E43" s="14">
        <v>23</v>
      </c>
      <c r="F43" s="14">
        <v>5</v>
      </c>
      <c r="G43" s="4">
        <v>43993.688402777778</v>
      </c>
      <c r="H43" s="56" t="s">
        <v>611</v>
      </c>
      <c r="I43" s="17">
        <v>5.2777777777777778E-2</v>
      </c>
      <c r="J43" s="17">
        <v>6.805555555555555E-2</v>
      </c>
      <c r="K43" s="17">
        <v>0.13819444444444443</v>
      </c>
      <c r="L43" s="17">
        <v>0.16527777777777777</v>
      </c>
      <c r="M43" s="17">
        <v>0.19444444444444445</v>
      </c>
      <c r="N43" s="17">
        <v>0.22430555555555556</v>
      </c>
      <c r="O43" s="17">
        <v>0.23750000000000002</v>
      </c>
      <c r="P43" s="17">
        <v>0.30833333333333335</v>
      </c>
      <c r="Q43" s="32">
        <f>7*60+24</f>
        <v>444</v>
      </c>
      <c r="S43" s="14">
        <v>0</v>
      </c>
      <c r="T43" s="14">
        <v>0</v>
      </c>
      <c r="U43" s="14">
        <v>2</v>
      </c>
      <c r="V43" s="14">
        <v>0</v>
      </c>
      <c r="W43" s="14">
        <v>0</v>
      </c>
      <c r="X43" s="14">
        <v>0</v>
      </c>
      <c r="Y43" s="14">
        <v>0</v>
      </c>
      <c r="Z43" s="14">
        <v>0</v>
      </c>
      <c r="AA43" s="14">
        <v>1</v>
      </c>
      <c r="AC43">
        <v>40</v>
      </c>
      <c r="AD43">
        <v>65</v>
      </c>
      <c r="AE43">
        <v>90</v>
      </c>
      <c r="AF43">
        <v>5</v>
      </c>
      <c r="AG43">
        <v>50</v>
      </c>
      <c r="AH43">
        <v>30</v>
      </c>
      <c r="AI43" s="18">
        <f t="shared" si="22"/>
        <v>0.26666666666666666</v>
      </c>
      <c r="AJ43" s="18">
        <f t="shared" si="22"/>
        <v>0.26666666666666666</v>
      </c>
      <c r="AK43" s="18">
        <f t="shared" si="22"/>
        <v>0.13333333333333333</v>
      </c>
      <c r="AL43" s="18">
        <f t="shared" si="22"/>
        <v>0.2</v>
      </c>
      <c r="AM43" s="18">
        <f t="shared" si="22"/>
        <v>6.6666666666666666E-2</v>
      </c>
      <c r="AN43" s="18">
        <f t="shared" si="22"/>
        <v>6.6666666666666666E-2</v>
      </c>
      <c r="AO43" s="16">
        <v>4</v>
      </c>
      <c r="AP43" s="24">
        <v>4</v>
      </c>
      <c r="AQ43" s="24">
        <v>2</v>
      </c>
      <c r="AR43" s="24">
        <v>3</v>
      </c>
      <c r="AS43" s="24">
        <v>1</v>
      </c>
      <c r="AT43" s="24">
        <v>1</v>
      </c>
      <c r="AU43" s="18">
        <f t="shared" si="23"/>
        <v>46.333333333333336</v>
      </c>
      <c r="AV43" s="63">
        <f t="shared" si="14"/>
        <v>46.666666666666664</v>
      </c>
    </row>
    <row r="44" spans="1:48" s="14" customFormat="1" ht="15.75" thickBot="1" x14ac:dyDescent="0.3">
      <c r="B44" s="14" t="s">
        <v>216</v>
      </c>
      <c r="C44" s="14">
        <v>1</v>
      </c>
      <c r="D44" s="14" t="s">
        <v>190</v>
      </c>
      <c r="E44" s="14">
        <v>24</v>
      </c>
      <c r="F44" s="14">
        <v>100</v>
      </c>
      <c r="G44" s="4">
        <v>44175.518414351849</v>
      </c>
      <c r="H44" s="56" t="s">
        <v>618</v>
      </c>
      <c r="I44" s="17">
        <v>2.2916666666666669E-2</v>
      </c>
      <c r="J44" s="17">
        <v>3.4027777777777775E-2</v>
      </c>
      <c r="K44" s="17">
        <v>0.10347222222222223</v>
      </c>
      <c r="L44" s="17">
        <v>0.14166666666666666</v>
      </c>
      <c r="M44" s="17">
        <v>0.15833333333333333</v>
      </c>
      <c r="N44" s="17">
        <v>0.18680555555555556</v>
      </c>
      <c r="O44" s="17">
        <v>0.19930555555555554</v>
      </c>
      <c r="P44" s="17">
        <v>0.25347222222222221</v>
      </c>
      <c r="Q44" s="33">
        <f>6*60+5</f>
        <v>365</v>
      </c>
      <c r="S44" s="14">
        <v>0</v>
      </c>
      <c r="T44" s="14">
        <v>0</v>
      </c>
      <c r="U44" s="14">
        <v>0</v>
      </c>
      <c r="V44" s="14">
        <v>0</v>
      </c>
      <c r="W44" s="14">
        <v>0</v>
      </c>
      <c r="X44" s="14">
        <v>0</v>
      </c>
      <c r="Y44" s="14">
        <v>0</v>
      </c>
      <c r="Z44" s="14">
        <v>0</v>
      </c>
      <c r="AA44" s="14">
        <v>0</v>
      </c>
      <c r="AC44">
        <v>25</v>
      </c>
      <c r="AD44">
        <v>15</v>
      </c>
      <c r="AE44">
        <v>35</v>
      </c>
      <c r="AF44">
        <v>15</v>
      </c>
      <c r="AG44">
        <v>25</v>
      </c>
      <c r="AH44">
        <v>25</v>
      </c>
      <c r="AI44" s="16">
        <f t="shared" ref="AI44:AN53" si="24">AO44/15</f>
        <v>0.2</v>
      </c>
      <c r="AJ44" s="16">
        <f t="shared" si="24"/>
        <v>0.13333333333333333</v>
      </c>
      <c r="AK44" s="16">
        <f t="shared" si="24"/>
        <v>0.26666666666666666</v>
      </c>
      <c r="AL44" s="16">
        <f t="shared" si="24"/>
        <v>0.33333333333333331</v>
      </c>
      <c r="AM44" s="16">
        <f t="shared" si="24"/>
        <v>6.6666666666666666E-2</v>
      </c>
      <c r="AN44" s="16">
        <f t="shared" si="24"/>
        <v>0</v>
      </c>
      <c r="AO44" s="16">
        <v>3</v>
      </c>
      <c r="AP44" s="16">
        <v>2</v>
      </c>
      <c r="AQ44" s="16">
        <v>4</v>
      </c>
      <c r="AR44" s="16">
        <v>5</v>
      </c>
      <c r="AS44" s="16">
        <v>1</v>
      </c>
      <c r="AT44" s="16">
        <v>0</v>
      </c>
      <c r="AU44" s="16">
        <f t="shared" ref="AU44:AU53" si="25">((AC44*AO44)+(AD44*AP44)+(AE44*AQ44)+(AF44*AR44)+(AG44*AS44)+(AH44*AT44))/15</f>
        <v>23</v>
      </c>
      <c r="AV44" s="63">
        <f t="shared" ref="AV44:AV53" si="26">AVERAGE(AC44:AH44)</f>
        <v>23.333333333333332</v>
      </c>
    </row>
    <row r="45" spans="1:48" s="14" customFormat="1" ht="15.75" thickBot="1" x14ac:dyDescent="0.3">
      <c r="B45" s="14" t="s">
        <v>216</v>
      </c>
      <c r="C45" s="14">
        <v>2</v>
      </c>
      <c r="D45" s="14" t="s">
        <v>190</v>
      </c>
      <c r="E45" s="14">
        <v>23</v>
      </c>
      <c r="F45" s="14">
        <v>30</v>
      </c>
      <c r="G45" s="4">
        <v>44175.690381944441</v>
      </c>
      <c r="H45" s="56" t="s">
        <v>619</v>
      </c>
      <c r="I45" s="22">
        <v>7.4999999999999997E-2</v>
      </c>
      <c r="J45" s="22">
        <v>8.6111111111111124E-2</v>
      </c>
      <c r="K45" s="22">
        <v>0.1423611111111111</v>
      </c>
      <c r="L45" s="22">
        <v>0.19236111111111112</v>
      </c>
      <c r="M45" s="22">
        <v>0.22083333333333333</v>
      </c>
      <c r="N45" s="22">
        <v>0.28819444444444448</v>
      </c>
      <c r="O45" s="22">
        <v>0.30763888888888891</v>
      </c>
      <c r="P45" s="22">
        <v>0.38541666666666669</v>
      </c>
      <c r="Q45" s="34">
        <f>9*60+15</f>
        <v>555</v>
      </c>
      <c r="R45" s="21"/>
      <c r="S45" s="21">
        <v>0</v>
      </c>
      <c r="T45" s="21">
        <v>0</v>
      </c>
      <c r="U45" s="21">
        <v>0</v>
      </c>
      <c r="V45" s="21">
        <v>0</v>
      </c>
      <c r="W45" s="21">
        <v>0</v>
      </c>
      <c r="X45" s="21">
        <v>0</v>
      </c>
      <c r="Y45" s="21">
        <v>0</v>
      </c>
      <c r="Z45" s="21">
        <v>0</v>
      </c>
      <c r="AA45" s="21">
        <v>0</v>
      </c>
      <c r="AC45">
        <v>30</v>
      </c>
      <c r="AD45">
        <v>30</v>
      </c>
      <c r="AE45">
        <v>10</v>
      </c>
      <c r="AF45">
        <v>75</v>
      </c>
      <c r="AG45">
        <v>30</v>
      </c>
      <c r="AH45">
        <v>5</v>
      </c>
      <c r="AI45" s="16">
        <f t="shared" si="24"/>
        <v>0.2</v>
      </c>
      <c r="AJ45" s="16">
        <f t="shared" si="24"/>
        <v>0.2</v>
      </c>
      <c r="AK45" s="16">
        <f t="shared" si="24"/>
        <v>6.6666666666666666E-2</v>
      </c>
      <c r="AL45" s="16">
        <f t="shared" si="24"/>
        <v>0.33333333333333331</v>
      </c>
      <c r="AM45" s="16">
        <f t="shared" si="24"/>
        <v>0.2</v>
      </c>
      <c r="AN45" s="16">
        <f t="shared" si="24"/>
        <v>0</v>
      </c>
      <c r="AO45" s="16">
        <v>3</v>
      </c>
      <c r="AP45" s="16">
        <v>3</v>
      </c>
      <c r="AQ45" s="16">
        <v>1</v>
      </c>
      <c r="AR45" s="16">
        <v>5</v>
      </c>
      <c r="AS45" s="16">
        <v>3</v>
      </c>
      <c r="AT45" s="16">
        <v>0</v>
      </c>
      <c r="AU45" s="16">
        <f t="shared" si="25"/>
        <v>43.666666666666664</v>
      </c>
      <c r="AV45" s="63">
        <f t="shared" si="26"/>
        <v>30</v>
      </c>
    </row>
    <row r="46" spans="1:48" s="14" customFormat="1" ht="15.75" thickBot="1" x14ac:dyDescent="0.3">
      <c r="B46" s="14" t="s">
        <v>216</v>
      </c>
      <c r="C46" s="14">
        <v>3</v>
      </c>
      <c r="D46" s="14" t="s">
        <v>190</v>
      </c>
      <c r="E46" s="14">
        <v>23</v>
      </c>
      <c r="F46" s="14">
        <v>5</v>
      </c>
      <c r="G46" s="2" t="s">
        <v>500</v>
      </c>
      <c r="H46" s="56" t="s">
        <v>620</v>
      </c>
      <c r="I46" s="17">
        <v>8.6805555555555566E-2</v>
      </c>
      <c r="J46" s="17">
        <v>9.7222222222222224E-2</v>
      </c>
      <c r="K46" s="17">
        <v>0.16319444444444445</v>
      </c>
      <c r="L46" s="17">
        <v>0.19583333333333333</v>
      </c>
      <c r="M46" s="17">
        <v>0.22361111111111109</v>
      </c>
      <c r="N46" s="17">
        <v>0.31458333333333333</v>
      </c>
      <c r="O46" s="17">
        <v>0.32708333333333334</v>
      </c>
      <c r="P46" s="17">
        <v>0.39513888888888887</v>
      </c>
      <c r="Q46" s="33">
        <f>9*60+29</f>
        <v>569</v>
      </c>
      <c r="S46" s="14">
        <v>0</v>
      </c>
      <c r="T46" s="14">
        <v>0</v>
      </c>
      <c r="U46" s="14">
        <v>0</v>
      </c>
      <c r="V46" s="14">
        <v>0</v>
      </c>
      <c r="W46" s="14">
        <v>0</v>
      </c>
      <c r="X46" s="14">
        <v>0</v>
      </c>
      <c r="Y46" s="14">
        <v>0</v>
      </c>
      <c r="Z46" s="14">
        <v>0</v>
      </c>
      <c r="AA46" s="14">
        <v>0</v>
      </c>
      <c r="AC46" s="14">
        <v>15</v>
      </c>
      <c r="AD46" s="14">
        <v>10</v>
      </c>
      <c r="AE46" s="14">
        <v>25</v>
      </c>
      <c r="AF46" s="14">
        <v>15</v>
      </c>
      <c r="AG46" s="14">
        <v>25</v>
      </c>
      <c r="AH46" s="14">
        <v>15</v>
      </c>
      <c r="AI46" s="18">
        <f t="shared" si="24"/>
        <v>0.26666666666666666</v>
      </c>
      <c r="AJ46" s="18">
        <f t="shared" si="24"/>
        <v>0</v>
      </c>
      <c r="AK46" s="18">
        <f t="shared" si="24"/>
        <v>0.2</v>
      </c>
      <c r="AL46" s="18">
        <f t="shared" si="24"/>
        <v>0.2</v>
      </c>
      <c r="AM46" s="18">
        <f t="shared" si="24"/>
        <v>0.26666666666666666</v>
      </c>
      <c r="AN46" s="18">
        <f t="shared" si="24"/>
        <v>6.6666666666666666E-2</v>
      </c>
      <c r="AO46" s="18">
        <v>4</v>
      </c>
      <c r="AP46" s="18">
        <v>0</v>
      </c>
      <c r="AQ46" s="18">
        <v>3</v>
      </c>
      <c r="AR46" s="18">
        <v>3</v>
      </c>
      <c r="AS46" s="18">
        <v>4</v>
      </c>
      <c r="AT46" s="18">
        <v>1</v>
      </c>
      <c r="AU46" s="18">
        <f t="shared" si="25"/>
        <v>19.666666666666668</v>
      </c>
      <c r="AV46" s="63">
        <f t="shared" si="26"/>
        <v>17.5</v>
      </c>
    </row>
    <row r="47" spans="1:48" s="14" customFormat="1" ht="15.75" thickBot="1" x14ac:dyDescent="0.3">
      <c r="B47" s="14" t="s">
        <v>216</v>
      </c>
      <c r="C47" s="14">
        <v>4</v>
      </c>
      <c r="D47" s="14" t="s">
        <v>190</v>
      </c>
      <c r="E47" s="14">
        <v>23</v>
      </c>
      <c r="F47" s="14">
        <v>0</v>
      </c>
      <c r="G47" s="2" t="s">
        <v>501</v>
      </c>
      <c r="H47" s="56" t="s">
        <v>621</v>
      </c>
      <c r="I47" s="17">
        <v>8.6111111111111124E-2</v>
      </c>
      <c r="J47" s="17">
        <v>0.10902777777777778</v>
      </c>
      <c r="K47" s="17">
        <v>0.17430555555555557</v>
      </c>
      <c r="L47" s="17">
        <v>0.22013888888888888</v>
      </c>
      <c r="M47" s="17">
        <v>0.24652777777777779</v>
      </c>
      <c r="N47" s="17">
        <v>0.32708333333333334</v>
      </c>
      <c r="O47" s="17">
        <v>0.3444444444444445</v>
      </c>
      <c r="P47" s="17">
        <v>0.42638888888888887</v>
      </c>
      <c r="Q47" s="33">
        <f>10*60+29</f>
        <v>629</v>
      </c>
      <c r="S47" s="14">
        <v>0</v>
      </c>
      <c r="T47" s="14">
        <v>0</v>
      </c>
      <c r="U47" s="14">
        <v>0</v>
      </c>
      <c r="V47" s="14">
        <v>0</v>
      </c>
      <c r="W47" s="14">
        <v>0</v>
      </c>
      <c r="X47" s="14">
        <v>0</v>
      </c>
      <c r="Y47" s="14">
        <v>0</v>
      </c>
      <c r="Z47" s="14">
        <v>0</v>
      </c>
      <c r="AA47" s="14">
        <v>0</v>
      </c>
      <c r="AC47">
        <v>25</v>
      </c>
      <c r="AD47">
        <v>35</v>
      </c>
      <c r="AE47">
        <v>5</v>
      </c>
      <c r="AF47">
        <v>5</v>
      </c>
      <c r="AG47">
        <v>5</v>
      </c>
      <c r="AH47">
        <v>5</v>
      </c>
      <c r="AI47" s="18">
        <f t="shared" si="24"/>
        <v>0.13333333333333333</v>
      </c>
      <c r="AJ47" s="18">
        <f>AP47/15</f>
        <v>0.26666666666666666</v>
      </c>
      <c r="AK47" s="18">
        <f>AQ47/15</f>
        <v>6.6666666666666666E-2</v>
      </c>
      <c r="AL47" s="18">
        <f t="shared" si="24"/>
        <v>0.33333333333333331</v>
      </c>
      <c r="AM47" s="18">
        <f t="shared" si="24"/>
        <v>0.2</v>
      </c>
      <c r="AN47" s="18">
        <f t="shared" si="24"/>
        <v>0</v>
      </c>
      <c r="AO47" s="16">
        <v>2</v>
      </c>
      <c r="AP47" s="16">
        <v>4</v>
      </c>
      <c r="AQ47" s="16">
        <v>1</v>
      </c>
      <c r="AR47" s="16">
        <v>5</v>
      </c>
      <c r="AS47" s="16">
        <v>3</v>
      </c>
      <c r="AT47" s="16">
        <v>0</v>
      </c>
      <c r="AU47" s="18">
        <f t="shared" si="25"/>
        <v>15.666666666666666</v>
      </c>
      <c r="AV47" s="63">
        <f t="shared" si="26"/>
        <v>13.333333333333334</v>
      </c>
    </row>
    <row r="48" spans="1:48" s="14" customFormat="1" ht="15.75" thickBot="1" x14ac:dyDescent="0.3">
      <c r="B48" s="14" t="s">
        <v>216</v>
      </c>
      <c r="C48" s="14">
        <v>5</v>
      </c>
      <c r="D48" s="14" t="s">
        <v>194</v>
      </c>
      <c r="E48" s="14">
        <v>26</v>
      </c>
      <c r="F48" s="14">
        <v>0</v>
      </c>
      <c r="G48" s="2" t="s">
        <v>502</v>
      </c>
      <c r="H48" s="56" t="s">
        <v>622</v>
      </c>
      <c r="I48" s="17">
        <v>5.2777777777777778E-2</v>
      </c>
      <c r="J48" s="17">
        <v>6.8749999999999992E-2</v>
      </c>
      <c r="K48" s="17">
        <v>0.14583333333333334</v>
      </c>
      <c r="L48" s="17">
        <v>0.18124999999999999</v>
      </c>
      <c r="M48" s="17">
        <v>0.20833333333333334</v>
      </c>
      <c r="N48" s="17">
        <v>0.25486111111111109</v>
      </c>
      <c r="O48" s="17">
        <v>0.26874999999999999</v>
      </c>
      <c r="P48" s="17">
        <v>0.32013888888888892</v>
      </c>
      <c r="Q48" s="33">
        <f>7*60+41</f>
        <v>461</v>
      </c>
      <c r="S48" s="14">
        <v>0</v>
      </c>
      <c r="T48" s="14">
        <v>0</v>
      </c>
      <c r="U48" s="14">
        <v>0</v>
      </c>
      <c r="V48" s="14">
        <v>0</v>
      </c>
      <c r="W48" s="14">
        <v>0</v>
      </c>
      <c r="X48" s="14">
        <v>0</v>
      </c>
      <c r="Y48" s="14">
        <v>0</v>
      </c>
      <c r="Z48" s="14">
        <v>0</v>
      </c>
      <c r="AA48" s="14">
        <v>0</v>
      </c>
      <c r="AC48">
        <v>30</v>
      </c>
      <c r="AD48">
        <v>30</v>
      </c>
      <c r="AE48">
        <v>30</v>
      </c>
      <c r="AF48">
        <v>10</v>
      </c>
      <c r="AG48">
        <v>30</v>
      </c>
      <c r="AH48">
        <v>10</v>
      </c>
      <c r="AI48" s="18">
        <f t="shared" si="24"/>
        <v>0.2</v>
      </c>
      <c r="AJ48" s="18">
        <f t="shared" si="24"/>
        <v>0.13333333333333333</v>
      </c>
      <c r="AK48" s="18">
        <f t="shared" si="24"/>
        <v>0</v>
      </c>
      <c r="AL48" s="18">
        <f t="shared" si="24"/>
        <v>0.33333333333333331</v>
      </c>
      <c r="AM48" s="18">
        <f t="shared" si="24"/>
        <v>0.26666666666666666</v>
      </c>
      <c r="AN48" s="18">
        <f t="shared" si="24"/>
        <v>6.6666666666666666E-2</v>
      </c>
      <c r="AO48" s="16">
        <v>3</v>
      </c>
      <c r="AP48" s="16">
        <v>2</v>
      </c>
      <c r="AQ48" s="16">
        <v>0</v>
      </c>
      <c r="AR48" s="16">
        <v>5</v>
      </c>
      <c r="AS48" s="16">
        <v>4</v>
      </c>
      <c r="AT48" s="16">
        <v>1</v>
      </c>
      <c r="AU48" s="18">
        <f t="shared" si="25"/>
        <v>22</v>
      </c>
      <c r="AV48" s="63">
        <f t="shared" si="26"/>
        <v>23.333333333333332</v>
      </c>
    </row>
    <row r="49" spans="2:48" s="14" customFormat="1" ht="15.75" thickBot="1" x14ac:dyDescent="0.3">
      <c r="B49" s="14" t="s">
        <v>216</v>
      </c>
      <c r="C49" s="14">
        <v>6</v>
      </c>
      <c r="D49" s="14" t="s">
        <v>190</v>
      </c>
      <c r="E49" s="14">
        <v>28</v>
      </c>
      <c r="F49" s="14">
        <v>5</v>
      </c>
      <c r="G49" s="2" t="s">
        <v>503</v>
      </c>
      <c r="H49" s="56" t="s">
        <v>623</v>
      </c>
      <c r="I49" s="17">
        <v>8.6111111111111124E-2</v>
      </c>
      <c r="J49" s="17">
        <v>9.0277777777777776E-2</v>
      </c>
      <c r="K49" s="17">
        <v>0.15902777777777777</v>
      </c>
      <c r="L49" s="17">
        <v>0.19513888888888889</v>
      </c>
      <c r="M49" s="17">
        <v>0.21388888888888891</v>
      </c>
      <c r="N49" s="17">
        <v>0.27638888888888885</v>
      </c>
      <c r="O49" s="17">
        <v>0.2951388888888889</v>
      </c>
      <c r="P49" s="17">
        <v>0.40347222222222223</v>
      </c>
      <c r="Q49" s="33">
        <f>9*60+41</f>
        <v>581</v>
      </c>
      <c r="S49" s="14">
        <v>0</v>
      </c>
      <c r="T49" s="14">
        <v>0</v>
      </c>
      <c r="U49" s="14">
        <v>0</v>
      </c>
      <c r="V49" s="14">
        <v>0</v>
      </c>
      <c r="W49" s="14">
        <v>0</v>
      </c>
      <c r="X49" s="14">
        <v>0</v>
      </c>
      <c r="Y49" s="14">
        <v>0</v>
      </c>
      <c r="Z49" s="14">
        <v>0</v>
      </c>
      <c r="AA49" s="14">
        <v>0</v>
      </c>
      <c r="AC49">
        <v>20</v>
      </c>
      <c r="AD49">
        <v>25</v>
      </c>
      <c r="AE49">
        <v>5</v>
      </c>
      <c r="AF49">
        <v>5</v>
      </c>
      <c r="AG49">
        <v>15</v>
      </c>
      <c r="AH49">
        <v>5</v>
      </c>
      <c r="AI49" s="18">
        <f t="shared" si="24"/>
        <v>0.13333333333333333</v>
      </c>
      <c r="AJ49" s="18">
        <f t="shared" si="24"/>
        <v>0.26666666666666666</v>
      </c>
      <c r="AK49" s="18">
        <f t="shared" si="24"/>
        <v>0</v>
      </c>
      <c r="AL49" s="18">
        <f t="shared" si="24"/>
        <v>0.33333333333333331</v>
      </c>
      <c r="AM49" s="18">
        <f t="shared" si="24"/>
        <v>6.6666666666666666E-2</v>
      </c>
      <c r="AN49" s="18">
        <f t="shared" si="24"/>
        <v>0.2</v>
      </c>
      <c r="AO49" s="16">
        <v>2</v>
      </c>
      <c r="AP49" s="16">
        <v>4</v>
      </c>
      <c r="AQ49" s="16">
        <v>0</v>
      </c>
      <c r="AR49" s="16">
        <v>5</v>
      </c>
      <c r="AS49" s="16">
        <v>1</v>
      </c>
      <c r="AT49" s="16">
        <v>3</v>
      </c>
      <c r="AU49" s="18">
        <f t="shared" si="25"/>
        <v>13</v>
      </c>
      <c r="AV49" s="63">
        <f t="shared" si="26"/>
        <v>12.5</v>
      </c>
    </row>
    <row r="50" spans="2:48" s="14" customFormat="1" ht="15.75" thickBot="1" x14ac:dyDescent="0.3">
      <c r="B50" s="14" t="s">
        <v>216</v>
      </c>
      <c r="C50" s="14">
        <v>7</v>
      </c>
      <c r="D50" s="14" t="s">
        <v>190</v>
      </c>
      <c r="E50" s="14">
        <v>22</v>
      </c>
      <c r="F50" s="14">
        <v>20</v>
      </c>
      <c r="G50" s="2" t="s">
        <v>504</v>
      </c>
      <c r="H50" s="56" t="s">
        <v>624</v>
      </c>
      <c r="I50" s="17">
        <v>5.9027777777777783E-2</v>
      </c>
      <c r="J50" s="17">
        <v>7.7083333333333337E-2</v>
      </c>
      <c r="K50" s="17">
        <v>0.12430555555555556</v>
      </c>
      <c r="L50" s="17">
        <v>0.15694444444444444</v>
      </c>
      <c r="M50" s="17">
        <v>0.17708333333333334</v>
      </c>
      <c r="N50" s="17">
        <v>0.21875</v>
      </c>
      <c r="O50" s="17">
        <v>0.23611111111111113</v>
      </c>
      <c r="P50" s="17">
        <v>0.31180555555555556</v>
      </c>
      <c r="Q50" s="33">
        <f>7*60+29</f>
        <v>449</v>
      </c>
      <c r="S50" s="14">
        <v>0</v>
      </c>
      <c r="T50" s="14">
        <v>0</v>
      </c>
      <c r="U50" s="14">
        <v>0</v>
      </c>
      <c r="V50" s="14">
        <v>0</v>
      </c>
      <c r="W50" s="14">
        <v>0</v>
      </c>
      <c r="X50" s="14">
        <v>0</v>
      </c>
      <c r="Y50" s="14">
        <v>0</v>
      </c>
      <c r="Z50" s="14">
        <v>0</v>
      </c>
      <c r="AA50" s="14">
        <v>0</v>
      </c>
      <c r="AC50">
        <v>20</v>
      </c>
      <c r="AD50">
        <v>50</v>
      </c>
      <c r="AE50">
        <v>5</v>
      </c>
      <c r="AF50">
        <v>100</v>
      </c>
      <c r="AG50">
        <v>10</v>
      </c>
      <c r="AH50">
        <v>5</v>
      </c>
      <c r="AI50" s="18">
        <f t="shared" si="24"/>
        <v>0.2</v>
      </c>
      <c r="AJ50" s="18">
        <f t="shared" si="24"/>
        <v>0.13333333333333333</v>
      </c>
      <c r="AK50" s="18">
        <f t="shared" si="24"/>
        <v>6.6666666666666666E-2</v>
      </c>
      <c r="AL50" s="18">
        <f t="shared" si="24"/>
        <v>0.33333333333333331</v>
      </c>
      <c r="AM50" s="18">
        <f t="shared" si="24"/>
        <v>0.26666666666666666</v>
      </c>
      <c r="AN50" s="18">
        <f t="shared" si="24"/>
        <v>0</v>
      </c>
      <c r="AO50" s="16">
        <v>3</v>
      </c>
      <c r="AP50" s="16">
        <v>2</v>
      </c>
      <c r="AQ50" s="16">
        <v>1</v>
      </c>
      <c r="AR50" s="16">
        <v>5</v>
      </c>
      <c r="AS50" s="16">
        <v>4</v>
      </c>
      <c r="AT50" s="16">
        <v>0</v>
      </c>
      <c r="AU50" s="18">
        <f t="shared" si="25"/>
        <v>47</v>
      </c>
      <c r="AV50" s="63">
        <f t="shared" si="26"/>
        <v>31.666666666666668</v>
      </c>
    </row>
    <row r="51" spans="2:48" s="14" customFormat="1" ht="15.75" thickBot="1" x14ac:dyDescent="0.3">
      <c r="B51" s="14" t="s">
        <v>216</v>
      </c>
      <c r="C51" s="14">
        <v>8</v>
      </c>
      <c r="D51" s="14" t="s">
        <v>190</v>
      </c>
      <c r="E51" s="14">
        <v>31</v>
      </c>
      <c r="F51" s="14">
        <v>100</v>
      </c>
      <c r="G51" s="4">
        <v>43993.434652777774</v>
      </c>
      <c r="H51" s="56" t="s">
        <v>625</v>
      </c>
      <c r="I51" s="17">
        <v>6.3888888888888884E-2</v>
      </c>
      <c r="J51" s="17">
        <v>6.5277777777777782E-2</v>
      </c>
      <c r="K51" s="17">
        <v>0.11666666666666665</v>
      </c>
      <c r="L51" s="17">
        <v>0.13749999999999998</v>
      </c>
      <c r="M51" s="17">
        <v>0.16805555555555554</v>
      </c>
      <c r="N51" s="17">
        <v>0.20694444444444446</v>
      </c>
      <c r="O51" s="17">
        <v>0.22361111111111109</v>
      </c>
      <c r="P51" s="17">
        <v>0.26874999999999999</v>
      </c>
      <c r="Q51" s="33">
        <f>6*60+27</f>
        <v>387</v>
      </c>
      <c r="S51" s="14">
        <v>0</v>
      </c>
      <c r="T51" s="14">
        <v>0</v>
      </c>
      <c r="U51" s="14">
        <v>0</v>
      </c>
      <c r="V51" s="14">
        <v>0</v>
      </c>
      <c r="W51" s="14">
        <v>0</v>
      </c>
      <c r="X51" s="14">
        <v>0</v>
      </c>
      <c r="Y51" s="14">
        <v>0</v>
      </c>
      <c r="Z51" s="14">
        <v>0</v>
      </c>
      <c r="AA51" s="14">
        <v>0</v>
      </c>
      <c r="AC51">
        <v>30</v>
      </c>
      <c r="AD51">
        <v>35</v>
      </c>
      <c r="AE51">
        <v>15</v>
      </c>
      <c r="AF51">
        <v>5</v>
      </c>
      <c r="AG51">
        <v>20</v>
      </c>
      <c r="AH51">
        <v>15</v>
      </c>
      <c r="AI51" s="18">
        <f t="shared" si="24"/>
        <v>0.26666666666666666</v>
      </c>
      <c r="AJ51" s="18">
        <f t="shared" si="24"/>
        <v>6.6666666666666666E-2</v>
      </c>
      <c r="AK51" s="18">
        <f t="shared" si="24"/>
        <v>0.26666666666666666</v>
      </c>
      <c r="AL51" s="18">
        <f t="shared" si="24"/>
        <v>0</v>
      </c>
      <c r="AM51" s="18">
        <f t="shared" si="24"/>
        <v>0.26666666666666666</v>
      </c>
      <c r="AN51" s="18">
        <f t="shared" si="24"/>
        <v>0.13333333333333333</v>
      </c>
      <c r="AO51" s="16">
        <v>4</v>
      </c>
      <c r="AP51" s="16">
        <v>1</v>
      </c>
      <c r="AQ51" s="16">
        <v>4</v>
      </c>
      <c r="AR51" s="16">
        <v>0</v>
      </c>
      <c r="AS51" s="16">
        <v>4</v>
      </c>
      <c r="AT51" s="16">
        <v>2</v>
      </c>
      <c r="AU51" s="18">
        <f t="shared" si="25"/>
        <v>21.666666666666668</v>
      </c>
      <c r="AV51" s="63">
        <f t="shared" si="26"/>
        <v>20</v>
      </c>
    </row>
    <row r="52" spans="2:48" s="14" customFormat="1" ht="15.75" thickBot="1" x14ac:dyDescent="0.3">
      <c r="B52" s="14" t="s">
        <v>216</v>
      </c>
      <c r="C52" s="14">
        <v>9</v>
      </c>
      <c r="D52" s="14" t="s">
        <v>190</v>
      </c>
      <c r="E52" s="14">
        <v>36</v>
      </c>
      <c r="F52" s="14">
        <v>20</v>
      </c>
      <c r="G52" s="4">
        <v>43993.654409722221</v>
      </c>
      <c r="H52" s="56" t="s">
        <v>626</v>
      </c>
      <c r="I52" s="17">
        <v>4.0972222222222222E-2</v>
      </c>
      <c r="J52" s="17">
        <v>5.6944444444444443E-2</v>
      </c>
      <c r="K52" s="17">
        <v>0.12222222222222223</v>
      </c>
      <c r="L52" s="17">
        <v>0.14652777777777778</v>
      </c>
      <c r="M52" s="17">
        <v>0.16805555555555554</v>
      </c>
      <c r="N52" s="17">
        <v>0.20416666666666669</v>
      </c>
      <c r="O52" s="17">
        <v>0.21388888888888891</v>
      </c>
      <c r="P52" s="17">
        <v>0.28472222222222221</v>
      </c>
      <c r="Q52" s="33">
        <f>6*60+50</f>
        <v>410</v>
      </c>
      <c r="S52" s="14">
        <v>0</v>
      </c>
      <c r="T52" s="14">
        <v>0</v>
      </c>
      <c r="U52" s="14">
        <v>0</v>
      </c>
      <c r="V52" s="14">
        <v>0</v>
      </c>
      <c r="W52" s="14">
        <v>0</v>
      </c>
      <c r="X52" s="14">
        <v>0</v>
      </c>
      <c r="Y52" s="14">
        <v>0</v>
      </c>
      <c r="Z52" s="14">
        <v>0</v>
      </c>
      <c r="AA52" s="14">
        <v>0</v>
      </c>
      <c r="AC52">
        <v>60</v>
      </c>
      <c r="AD52">
        <v>50</v>
      </c>
      <c r="AE52">
        <v>25</v>
      </c>
      <c r="AF52">
        <v>85</v>
      </c>
      <c r="AG52">
        <v>60</v>
      </c>
      <c r="AH52">
        <v>25</v>
      </c>
      <c r="AI52" s="18">
        <f t="shared" si="24"/>
        <v>0.2</v>
      </c>
      <c r="AJ52" s="18">
        <f t="shared" si="24"/>
        <v>6.6666666666666666E-2</v>
      </c>
      <c r="AK52" s="18">
        <f t="shared" si="24"/>
        <v>0.13333333333333333</v>
      </c>
      <c r="AL52" s="18">
        <f t="shared" si="24"/>
        <v>0.33333333333333331</v>
      </c>
      <c r="AM52" s="18">
        <f t="shared" si="24"/>
        <v>0.26666666666666666</v>
      </c>
      <c r="AN52" s="18">
        <f t="shared" si="24"/>
        <v>0</v>
      </c>
      <c r="AO52" s="16">
        <v>3</v>
      </c>
      <c r="AP52" s="16">
        <v>1</v>
      </c>
      <c r="AQ52" s="16">
        <v>2</v>
      </c>
      <c r="AR52" s="16">
        <v>5</v>
      </c>
      <c r="AS52" s="16">
        <v>4</v>
      </c>
      <c r="AT52" s="16">
        <v>0</v>
      </c>
      <c r="AU52" s="18">
        <f t="shared" si="25"/>
        <v>63</v>
      </c>
      <c r="AV52" s="63">
        <f t="shared" si="26"/>
        <v>50.833333333333336</v>
      </c>
    </row>
    <row r="53" spans="2:48" s="14" customFormat="1" ht="15.75" thickBot="1" x14ac:dyDescent="0.3">
      <c r="B53" s="14" t="s">
        <v>216</v>
      </c>
      <c r="C53" s="14">
        <v>10</v>
      </c>
      <c r="D53" s="14" t="s">
        <v>190</v>
      </c>
      <c r="E53" s="14">
        <v>22</v>
      </c>
      <c r="F53" s="14">
        <v>3</v>
      </c>
      <c r="G53" s="4">
        <v>44085.446516203701</v>
      </c>
      <c r="H53" s="56" t="s">
        <v>627</v>
      </c>
      <c r="I53" s="17">
        <v>7.9166666666666663E-2</v>
      </c>
      <c r="J53" s="17">
        <v>8.4027777777777771E-2</v>
      </c>
      <c r="K53" s="17">
        <v>0.17430555555555557</v>
      </c>
      <c r="L53" s="17">
        <v>0.22083333333333333</v>
      </c>
      <c r="N53" s="17">
        <v>0.3298611111111111</v>
      </c>
      <c r="O53" s="17">
        <v>0.34375</v>
      </c>
      <c r="P53" s="17">
        <v>0.40972222222222227</v>
      </c>
      <c r="Q53" s="33">
        <f>9*60+50</f>
        <v>590</v>
      </c>
      <c r="S53" s="14">
        <v>0</v>
      </c>
      <c r="T53" s="14">
        <v>0</v>
      </c>
      <c r="U53" s="14">
        <v>0</v>
      </c>
      <c r="V53" s="14">
        <v>0</v>
      </c>
      <c r="W53" s="14">
        <v>0</v>
      </c>
      <c r="X53" s="14">
        <v>0</v>
      </c>
      <c r="Y53" s="14">
        <v>0</v>
      </c>
      <c r="Z53" s="14">
        <v>0</v>
      </c>
      <c r="AA53" s="14">
        <v>0</v>
      </c>
      <c r="AC53" s="14">
        <v>25</v>
      </c>
      <c r="AD53" s="14">
        <v>15</v>
      </c>
      <c r="AE53" s="14">
        <v>40</v>
      </c>
      <c r="AF53" s="14">
        <v>15</v>
      </c>
      <c r="AG53" s="14">
        <v>15</v>
      </c>
      <c r="AH53" s="14">
        <v>5</v>
      </c>
      <c r="AI53" s="18">
        <f t="shared" si="24"/>
        <v>0.13333333333333333</v>
      </c>
      <c r="AJ53" s="18">
        <f t="shared" si="24"/>
        <v>0</v>
      </c>
      <c r="AK53" s="18">
        <f t="shared" si="24"/>
        <v>0.33333333333333331</v>
      </c>
      <c r="AL53" s="18">
        <f t="shared" si="24"/>
        <v>0.2</v>
      </c>
      <c r="AM53" s="18">
        <f t="shared" si="24"/>
        <v>6.6666666666666666E-2</v>
      </c>
      <c r="AN53" s="18">
        <f t="shared" si="24"/>
        <v>0.26666666666666666</v>
      </c>
      <c r="AO53" s="18">
        <v>2</v>
      </c>
      <c r="AP53" s="18">
        <v>0</v>
      </c>
      <c r="AQ53" s="18">
        <v>5</v>
      </c>
      <c r="AR53" s="18">
        <v>3</v>
      </c>
      <c r="AS53" s="18">
        <v>1</v>
      </c>
      <c r="AT53" s="18">
        <v>4</v>
      </c>
      <c r="AU53" s="18">
        <f t="shared" si="25"/>
        <v>22</v>
      </c>
      <c r="AV53" s="16">
        <f t="shared" si="26"/>
        <v>19.166666666666668</v>
      </c>
    </row>
    <row r="54" spans="2:48" x14ac:dyDescent="0.25">
      <c r="AI54" s="16"/>
      <c r="AJ54" s="16"/>
      <c r="AK54" s="16"/>
      <c r="AL54" s="16"/>
      <c r="AM54" s="16"/>
      <c r="AN54" s="16"/>
      <c r="AO54" s="16"/>
    </row>
    <row r="56" spans="2:48" x14ac:dyDescent="0.25">
      <c r="B56">
        <f ca="1">+B56:B58</f>
        <v>0</v>
      </c>
    </row>
  </sheetData>
  <mergeCells count="4">
    <mergeCell ref="I1:Q1"/>
    <mergeCell ref="S1:AA1"/>
    <mergeCell ref="AC1:AU1"/>
    <mergeCell ref="AX1:BD1"/>
  </mergeCells>
  <phoneticPr fontId="5"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54"/>
  <sheetViews>
    <sheetView zoomScale="85" zoomScaleNormal="85" workbookViewId="0">
      <selection activeCell="A16" sqref="A16:XFD16"/>
    </sheetView>
  </sheetViews>
  <sheetFormatPr defaultRowHeight="15" x14ac:dyDescent="0.25"/>
  <cols>
    <col min="2" max="2" width="15.28515625" bestFit="1" customWidth="1"/>
    <col min="3" max="3" width="14.140625" customWidth="1"/>
    <col min="4" max="4" width="15.5703125" customWidth="1"/>
    <col min="6" max="6" width="15.42578125" customWidth="1"/>
    <col min="7" max="7" width="18.140625" bestFit="1" customWidth="1"/>
    <col min="8" max="8" width="18.140625" customWidth="1"/>
    <col min="9" max="9" width="16.140625" bestFit="1" customWidth="1"/>
    <col min="10" max="11" width="16.140625" style="14" customWidth="1"/>
    <col min="12" max="13" width="14" customWidth="1"/>
    <col min="14" max="14" width="15.7109375" bestFit="1" customWidth="1"/>
    <col min="15" max="15" width="16" bestFit="1" customWidth="1"/>
    <col min="16" max="16" width="9.5703125" bestFit="1" customWidth="1"/>
    <col min="17" max="17" width="17.140625" customWidth="1"/>
    <col min="18" max="18" width="16" bestFit="1" customWidth="1"/>
    <col min="19" max="19" width="10.7109375" customWidth="1"/>
    <col min="20" max="20" width="16.7109375" customWidth="1"/>
    <col min="21" max="21" width="18.5703125" customWidth="1"/>
    <col min="22" max="22" width="13.42578125" customWidth="1"/>
    <col min="23" max="23" width="12.42578125" customWidth="1"/>
    <col min="24" max="24" width="11.5703125" customWidth="1"/>
    <col min="25" max="28" width="9.140625" customWidth="1"/>
    <col min="31" max="32" width="9.140625" customWidth="1"/>
    <col min="37" max="37" width="9.42578125" customWidth="1"/>
    <col min="38" max="38" width="9.140625" customWidth="1"/>
  </cols>
  <sheetData>
    <row r="1" spans="1:44" ht="30" customHeight="1" x14ac:dyDescent="0.25">
      <c r="A1" s="67" t="s">
        <v>159</v>
      </c>
      <c r="B1" s="67" t="s">
        <v>214</v>
      </c>
      <c r="C1" s="67" t="s">
        <v>160</v>
      </c>
      <c r="D1" s="67" t="s">
        <v>464</v>
      </c>
      <c r="E1" s="67" t="s">
        <v>138</v>
      </c>
      <c r="F1" s="67" t="s">
        <v>161</v>
      </c>
      <c r="G1" s="67" t="s">
        <v>136</v>
      </c>
      <c r="H1" s="50"/>
      <c r="I1" s="69" t="s">
        <v>156</v>
      </c>
      <c r="J1" s="49"/>
      <c r="K1" s="49"/>
      <c r="L1" s="30"/>
      <c r="M1" s="30"/>
      <c r="N1" s="67" t="s">
        <v>462</v>
      </c>
      <c r="O1" s="67"/>
      <c r="P1" s="67"/>
      <c r="Q1" s="67"/>
      <c r="R1" s="67"/>
      <c r="S1" s="30"/>
      <c r="T1" s="67" t="s">
        <v>463</v>
      </c>
      <c r="U1" s="67"/>
      <c r="V1" s="67"/>
      <c r="W1" s="67"/>
      <c r="X1" s="67"/>
      <c r="Y1">
        <v>1</v>
      </c>
      <c r="Z1">
        <v>2</v>
      </c>
      <c r="AA1">
        <v>3</v>
      </c>
      <c r="AB1">
        <v>4</v>
      </c>
      <c r="AC1">
        <v>5</v>
      </c>
      <c r="AD1">
        <v>6</v>
      </c>
      <c r="AE1">
        <v>7</v>
      </c>
      <c r="AF1">
        <v>8</v>
      </c>
      <c r="AG1">
        <v>9</v>
      </c>
      <c r="AH1">
        <v>10</v>
      </c>
      <c r="AI1">
        <v>11</v>
      </c>
      <c r="AJ1">
        <v>12</v>
      </c>
      <c r="AK1">
        <v>13</v>
      </c>
      <c r="AL1">
        <v>14</v>
      </c>
      <c r="AM1">
        <v>15</v>
      </c>
      <c r="AN1">
        <v>16</v>
      </c>
      <c r="AO1">
        <v>17</v>
      </c>
      <c r="AP1">
        <v>18</v>
      </c>
      <c r="AQ1">
        <v>19</v>
      </c>
      <c r="AR1">
        <v>20</v>
      </c>
    </row>
    <row r="2" spans="1:44" ht="30" customHeight="1" thickBot="1" x14ac:dyDescent="0.3">
      <c r="A2" s="67"/>
      <c r="B2" s="67"/>
      <c r="C2" s="67"/>
      <c r="D2" s="67"/>
      <c r="E2" s="67"/>
      <c r="F2" s="67"/>
      <c r="G2" s="68"/>
      <c r="H2" s="57"/>
      <c r="I2" s="69"/>
      <c r="J2" s="49"/>
      <c r="K2" s="49" t="s">
        <v>562</v>
      </c>
      <c r="L2" s="30" t="s">
        <v>561</v>
      </c>
      <c r="M2" s="30" t="s">
        <v>563</v>
      </c>
      <c r="N2" s="10" t="s">
        <v>465</v>
      </c>
      <c r="O2" s="10" t="s">
        <v>466</v>
      </c>
      <c r="P2" s="10" t="s">
        <v>467</v>
      </c>
      <c r="Q2" s="10" t="s">
        <v>468</v>
      </c>
      <c r="R2" s="10" t="s">
        <v>469</v>
      </c>
      <c r="S2" s="10"/>
      <c r="T2" s="10" t="s">
        <v>465</v>
      </c>
      <c r="U2" s="10" t="s">
        <v>466</v>
      </c>
      <c r="V2" s="10" t="s">
        <v>467</v>
      </c>
      <c r="W2" s="10" t="s">
        <v>468</v>
      </c>
      <c r="X2" s="10" t="s">
        <v>469</v>
      </c>
      <c r="Y2" s="8" t="s">
        <v>470</v>
      </c>
      <c r="Z2" s="8" t="s">
        <v>471</v>
      </c>
      <c r="AA2" s="8" t="s">
        <v>472</v>
      </c>
      <c r="AB2" s="8" t="s">
        <v>473</v>
      </c>
      <c r="AC2" s="8" t="s">
        <v>474</v>
      </c>
      <c r="AD2" s="8" t="s">
        <v>475</v>
      </c>
      <c r="AE2" s="8" t="s">
        <v>476</v>
      </c>
      <c r="AF2" s="8" t="s">
        <v>477</v>
      </c>
      <c r="AG2" s="8" t="s">
        <v>478</v>
      </c>
      <c r="AH2" s="8" t="s">
        <v>479</v>
      </c>
      <c r="AI2" s="8" t="s">
        <v>480</v>
      </c>
      <c r="AJ2" s="27" t="s">
        <v>481</v>
      </c>
      <c r="AK2" s="27" t="s">
        <v>482</v>
      </c>
      <c r="AL2" s="27" t="s">
        <v>483</v>
      </c>
      <c r="AM2" s="27" t="s">
        <v>484</v>
      </c>
      <c r="AN2" s="27" t="s">
        <v>485</v>
      </c>
      <c r="AO2" s="27" t="s">
        <v>486</v>
      </c>
      <c r="AP2" s="27" t="s">
        <v>487</v>
      </c>
      <c r="AQ2" s="27" t="s">
        <v>488</v>
      </c>
      <c r="AR2" s="27" t="s">
        <v>489</v>
      </c>
    </row>
    <row r="3" spans="1:44" ht="15.75" thickBot="1" x14ac:dyDescent="0.3">
      <c r="A3" t="s">
        <v>189</v>
      </c>
      <c r="B3" t="s">
        <v>215</v>
      </c>
      <c r="C3">
        <v>1</v>
      </c>
      <c r="D3" t="s">
        <v>190</v>
      </c>
      <c r="E3" s="14">
        <v>27</v>
      </c>
      <c r="F3" s="14">
        <v>2</v>
      </c>
      <c r="G3" s="4">
        <v>43992.656724537039</v>
      </c>
      <c r="H3" s="56" t="s">
        <v>578</v>
      </c>
      <c r="I3" s="31">
        <f>11*60+11</f>
        <v>671</v>
      </c>
      <c r="L3" s="14"/>
      <c r="M3" s="14"/>
    </row>
    <row r="4" spans="1:44" ht="15.75" thickBot="1" x14ac:dyDescent="0.3">
      <c r="B4" t="s">
        <v>215</v>
      </c>
      <c r="C4">
        <v>2</v>
      </c>
      <c r="D4" t="s">
        <v>190</v>
      </c>
      <c r="E4" s="14">
        <v>31</v>
      </c>
      <c r="F4" s="14">
        <v>0</v>
      </c>
      <c r="G4" s="4">
        <v>44053.645335648151</v>
      </c>
      <c r="H4" s="56" t="s">
        <v>579</v>
      </c>
      <c r="I4" s="31">
        <v>626</v>
      </c>
      <c r="K4" s="14">
        <f>((R4+Q4)*100)/(1000*I4)</f>
        <v>64.70360774760384</v>
      </c>
      <c r="L4" s="14">
        <f>SUM(O4:R4)/1000</f>
        <v>441.27332019999994</v>
      </c>
      <c r="M4" s="14">
        <f>L4/I4*100</f>
        <v>70.490945718849829</v>
      </c>
      <c r="O4" s="23">
        <v>26609.979300000006</v>
      </c>
      <c r="P4" s="23">
        <v>9618.7564000000002</v>
      </c>
      <c r="Q4" s="23">
        <v>169354.29199999999</v>
      </c>
      <c r="R4" s="23">
        <v>235690.29249999998</v>
      </c>
      <c r="S4" s="23">
        <f>SUM(T4:X4)</f>
        <v>231</v>
      </c>
      <c r="T4">
        <v>0</v>
      </c>
      <c r="U4">
        <v>26</v>
      </c>
      <c r="V4">
        <v>19</v>
      </c>
      <c r="W4">
        <v>90</v>
      </c>
      <c r="X4">
        <v>96</v>
      </c>
      <c r="Y4">
        <v>8</v>
      </c>
      <c r="Z4">
        <v>9</v>
      </c>
      <c r="AA4">
        <v>16</v>
      </c>
      <c r="AB4">
        <v>16</v>
      </c>
      <c r="AC4">
        <v>7</v>
      </c>
      <c r="AD4">
        <v>8</v>
      </c>
      <c r="AE4">
        <v>0</v>
      </c>
      <c r="AF4">
        <v>0</v>
      </c>
      <c r="AG4">
        <v>0</v>
      </c>
      <c r="AH4">
        <v>0</v>
      </c>
      <c r="AI4">
        <v>0</v>
      </c>
      <c r="AJ4">
        <v>0</v>
      </c>
      <c r="AK4">
        <v>25</v>
      </c>
      <c r="AL4">
        <v>24</v>
      </c>
      <c r="AM4">
        <v>1</v>
      </c>
      <c r="AN4">
        <v>0</v>
      </c>
      <c r="AO4">
        <v>0</v>
      </c>
      <c r="AP4">
        <v>0</v>
      </c>
      <c r="AQ4">
        <v>0</v>
      </c>
      <c r="AR4">
        <v>0</v>
      </c>
    </row>
    <row r="5" spans="1:44" ht="15.75" thickBot="1" x14ac:dyDescent="0.3">
      <c r="B5" t="s">
        <v>215</v>
      </c>
      <c r="C5">
        <v>3</v>
      </c>
      <c r="D5" t="s">
        <v>190</v>
      </c>
      <c r="E5" s="14">
        <v>32</v>
      </c>
      <c r="F5" s="14">
        <v>20</v>
      </c>
      <c r="G5" s="4">
        <v>44053.513784722221</v>
      </c>
      <c r="H5" s="56" t="s">
        <v>580</v>
      </c>
      <c r="I5" s="31">
        <v>503</v>
      </c>
      <c r="K5" s="14">
        <f t="shared" ref="K5:K12" si="0">((R5+Q5)*100)/(1000*I5)</f>
        <v>47.102372902584499</v>
      </c>
      <c r="L5" s="14">
        <f t="shared" ref="L5:L24" si="1">SUM(N5:R5)/1000</f>
        <v>279.89551990000001</v>
      </c>
      <c r="M5" s="14">
        <f t="shared" ref="M5:M12" si="2">L5/I5*100</f>
        <v>55.645232584493044</v>
      </c>
      <c r="N5">
        <v>1575.0800999999999</v>
      </c>
      <c r="O5">
        <v>20885.705500000004</v>
      </c>
      <c r="P5">
        <v>20509.798600000006</v>
      </c>
      <c r="Q5">
        <v>134041.10830000002</v>
      </c>
      <c r="R5">
        <v>102883.82739999999</v>
      </c>
      <c r="S5" s="23">
        <f t="shared" ref="S5:S12" si="3">SUM(T5:X5)</f>
        <v>246</v>
      </c>
      <c r="T5">
        <v>1</v>
      </c>
      <c r="U5">
        <v>28</v>
      </c>
      <c r="V5">
        <v>34</v>
      </c>
      <c r="W5">
        <v>113</v>
      </c>
      <c r="X5">
        <v>70</v>
      </c>
      <c r="Y5">
        <v>21</v>
      </c>
      <c r="Z5">
        <v>19</v>
      </c>
      <c r="AA5">
        <v>11</v>
      </c>
      <c r="AB5">
        <v>13</v>
      </c>
      <c r="AC5">
        <v>14</v>
      </c>
      <c r="AD5">
        <v>13</v>
      </c>
      <c r="AE5">
        <v>0</v>
      </c>
      <c r="AF5">
        <v>0</v>
      </c>
      <c r="AG5">
        <v>0</v>
      </c>
      <c r="AH5">
        <v>1</v>
      </c>
      <c r="AI5">
        <v>1</v>
      </c>
      <c r="AJ5">
        <v>0</v>
      </c>
      <c r="AK5">
        <v>14</v>
      </c>
      <c r="AL5">
        <v>14</v>
      </c>
      <c r="AM5">
        <v>0</v>
      </c>
      <c r="AN5">
        <v>0</v>
      </c>
      <c r="AO5">
        <v>0</v>
      </c>
      <c r="AP5">
        <v>0</v>
      </c>
      <c r="AQ5">
        <v>0</v>
      </c>
      <c r="AR5">
        <v>0</v>
      </c>
    </row>
    <row r="6" spans="1:44" ht="15.75" thickBot="1" x14ac:dyDescent="0.3">
      <c r="A6" s="14"/>
      <c r="B6" t="s">
        <v>215</v>
      </c>
      <c r="C6">
        <v>4</v>
      </c>
      <c r="D6" t="s">
        <v>190</v>
      </c>
      <c r="E6" s="14">
        <v>23</v>
      </c>
      <c r="F6" s="14">
        <v>0</v>
      </c>
      <c r="G6" s="4">
        <v>44053.691736111112</v>
      </c>
      <c r="H6" s="56" t="s">
        <v>581</v>
      </c>
      <c r="I6" s="31">
        <v>601</v>
      </c>
      <c r="L6" s="14"/>
      <c r="M6" s="14"/>
      <c r="O6" s="23"/>
      <c r="P6" s="23"/>
      <c r="Q6" s="23"/>
      <c r="R6" s="23"/>
      <c r="S6" s="23"/>
    </row>
    <row r="7" spans="1:44" ht="15.75" thickBot="1" x14ac:dyDescent="0.3">
      <c r="A7" s="14"/>
      <c r="B7" t="s">
        <v>215</v>
      </c>
      <c r="C7">
        <v>5</v>
      </c>
      <c r="D7" t="s">
        <v>190</v>
      </c>
      <c r="E7" s="14">
        <v>23</v>
      </c>
      <c r="F7" s="14">
        <v>0</v>
      </c>
      <c r="G7" s="4">
        <v>44084.343854166669</v>
      </c>
      <c r="H7" s="56" t="s">
        <v>582</v>
      </c>
      <c r="I7" s="31">
        <v>626</v>
      </c>
      <c r="K7" s="14">
        <f t="shared" si="0"/>
        <v>46.624826517571883</v>
      </c>
      <c r="L7" s="14">
        <f t="shared" si="1"/>
        <v>323.01125069999995</v>
      </c>
      <c r="M7" s="14">
        <f t="shared" si="2"/>
        <v>51.599241325878587</v>
      </c>
      <c r="N7">
        <v>159.47540000000001</v>
      </c>
      <c r="O7">
        <v>21563.148999999994</v>
      </c>
      <c r="P7">
        <v>9417.2123000000011</v>
      </c>
      <c r="Q7">
        <v>140186.79119999998</v>
      </c>
      <c r="R7">
        <v>151684.62279999998</v>
      </c>
      <c r="S7" s="23">
        <f t="shared" si="3"/>
        <v>205</v>
      </c>
      <c r="T7">
        <v>1</v>
      </c>
      <c r="U7">
        <v>30</v>
      </c>
      <c r="V7">
        <v>23</v>
      </c>
      <c r="W7">
        <v>99</v>
      </c>
      <c r="X7" s="28">
        <v>52</v>
      </c>
      <c r="Y7">
        <v>15</v>
      </c>
      <c r="Z7">
        <v>8</v>
      </c>
      <c r="AA7">
        <v>14</v>
      </c>
      <c r="AB7">
        <v>21</v>
      </c>
      <c r="AC7">
        <v>12</v>
      </c>
      <c r="AD7">
        <v>6</v>
      </c>
      <c r="AE7">
        <v>0</v>
      </c>
      <c r="AF7">
        <v>0</v>
      </c>
      <c r="AG7">
        <v>0</v>
      </c>
      <c r="AH7">
        <v>1</v>
      </c>
      <c r="AI7">
        <v>1</v>
      </c>
      <c r="AJ7">
        <v>0</v>
      </c>
      <c r="AK7">
        <v>16</v>
      </c>
      <c r="AL7">
        <v>16</v>
      </c>
      <c r="AM7">
        <v>0</v>
      </c>
      <c r="AN7">
        <v>0</v>
      </c>
      <c r="AO7">
        <v>0</v>
      </c>
      <c r="AP7">
        <v>0</v>
      </c>
      <c r="AQ7">
        <v>0</v>
      </c>
      <c r="AR7">
        <v>0</v>
      </c>
    </row>
    <row r="8" spans="1:44" ht="15.75" thickBot="1" x14ac:dyDescent="0.3">
      <c r="A8" s="14"/>
      <c r="B8" t="s">
        <v>215</v>
      </c>
      <c r="C8">
        <v>6</v>
      </c>
      <c r="D8" t="s">
        <v>194</v>
      </c>
      <c r="E8" s="14">
        <v>25</v>
      </c>
      <c r="F8" s="14">
        <v>50</v>
      </c>
      <c r="G8" s="4">
        <v>44084.395243055558</v>
      </c>
      <c r="H8" s="56" t="s">
        <v>583</v>
      </c>
      <c r="I8" s="31">
        <v>508</v>
      </c>
      <c r="L8" s="14"/>
      <c r="M8" s="14"/>
      <c r="O8" s="23"/>
      <c r="P8" s="23"/>
      <c r="Q8" s="23"/>
      <c r="R8" s="23"/>
      <c r="S8" s="23"/>
    </row>
    <row r="9" spans="1:44" ht="15.75" thickBot="1" x14ac:dyDescent="0.3">
      <c r="B9" t="s">
        <v>215</v>
      </c>
      <c r="C9">
        <v>7</v>
      </c>
      <c r="D9" t="s">
        <v>190</v>
      </c>
      <c r="E9" s="14">
        <v>22</v>
      </c>
      <c r="F9" s="14">
        <v>8</v>
      </c>
      <c r="G9" s="4">
        <v>44084.608287037037</v>
      </c>
      <c r="H9" s="56" t="s">
        <v>584</v>
      </c>
      <c r="I9" s="31">
        <v>454</v>
      </c>
      <c r="K9" s="14">
        <f t="shared" si="0"/>
        <v>52.385018370044058</v>
      </c>
      <c r="L9" s="14">
        <f t="shared" si="1"/>
        <v>267.18774930000001</v>
      </c>
      <c r="M9" s="14">
        <f t="shared" si="2"/>
        <v>58.851927158590314</v>
      </c>
      <c r="N9">
        <v>2292.3015</v>
      </c>
      <c r="O9">
        <v>16903.231499999998</v>
      </c>
      <c r="P9">
        <v>10164.232900000003</v>
      </c>
      <c r="Q9">
        <v>84443.604500000001</v>
      </c>
      <c r="R9" s="28">
        <v>153384.37890000001</v>
      </c>
      <c r="S9" s="23">
        <f t="shared" si="3"/>
        <v>189</v>
      </c>
      <c r="T9">
        <v>8</v>
      </c>
      <c r="U9">
        <v>35</v>
      </c>
      <c r="V9">
        <v>13</v>
      </c>
      <c r="W9">
        <v>76</v>
      </c>
      <c r="X9">
        <v>57</v>
      </c>
      <c r="Y9">
        <v>7</v>
      </c>
      <c r="Z9">
        <v>6</v>
      </c>
      <c r="AA9">
        <v>18</v>
      </c>
      <c r="AB9">
        <v>19</v>
      </c>
      <c r="AC9">
        <v>5</v>
      </c>
      <c r="AD9">
        <v>6</v>
      </c>
      <c r="AE9">
        <v>0</v>
      </c>
      <c r="AF9">
        <v>0</v>
      </c>
      <c r="AG9">
        <v>4</v>
      </c>
      <c r="AH9">
        <v>6</v>
      </c>
      <c r="AI9">
        <v>2</v>
      </c>
      <c r="AJ9">
        <v>0</v>
      </c>
      <c r="AK9">
        <v>11</v>
      </c>
      <c r="AL9">
        <v>11</v>
      </c>
      <c r="AM9">
        <v>0</v>
      </c>
      <c r="AN9">
        <v>0</v>
      </c>
      <c r="AO9">
        <v>0</v>
      </c>
      <c r="AP9">
        <v>0</v>
      </c>
      <c r="AQ9">
        <v>0</v>
      </c>
      <c r="AR9">
        <v>0</v>
      </c>
    </row>
    <row r="10" spans="1:44" ht="15.75" thickBot="1" x14ac:dyDescent="0.3">
      <c r="A10" s="14"/>
      <c r="B10" t="s">
        <v>215</v>
      </c>
      <c r="C10">
        <v>8</v>
      </c>
      <c r="D10" t="s">
        <v>190</v>
      </c>
      <c r="E10" s="14">
        <v>31</v>
      </c>
      <c r="F10" s="14">
        <v>6</v>
      </c>
      <c r="G10" s="4">
        <v>44084.651180555556</v>
      </c>
      <c r="H10" s="56" t="s">
        <v>585</v>
      </c>
      <c r="I10" s="31">
        <f>12*60+12</f>
        <v>732</v>
      </c>
      <c r="L10" s="14"/>
      <c r="M10" s="14"/>
      <c r="S10" s="23"/>
    </row>
    <row r="11" spans="1:44" ht="15.75" thickBot="1" x14ac:dyDescent="0.3">
      <c r="A11" s="14"/>
      <c r="B11" t="s">
        <v>215</v>
      </c>
      <c r="C11">
        <v>9</v>
      </c>
      <c r="D11" t="s">
        <v>194</v>
      </c>
      <c r="E11" s="14">
        <v>22</v>
      </c>
      <c r="F11" s="14">
        <v>0</v>
      </c>
      <c r="G11" s="2" t="s">
        <v>490</v>
      </c>
      <c r="H11" s="56" t="s">
        <v>586</v>
      </c>
      <c r="I11" s="31">
        <f>10*60+35</f>
        <v>635</v>
      </c>
      <c r="K11" s="14">
        <f>((R11+Q11)*100)/(1000*I11)</f>
        <v>72.050088110236217</v>
      </c>
      <c r="L11" s="14">
        <f t="shared" si="1"/>
        <v>487.84739109999992</v>
      </c>
      <c r="M11" s="14">
        <f t="shared" si="2"/>
        <v>76.826360803149598</v>
      </c>
      <c r="N11">
        <v>360.12369999999999</v>
      </c>
      <c r="O11">
        <v>15949.7024</v>
      </c>
      <c r="P11">
        <v>14019.505499999999</v>
      </c>
      <c r="Q11">
        <v>112946.52549999996</v>
      </c>
      <c r="R11">
        <v>344571.53399999999</v>
      </c>
      <c r="S11" s="23">
        <f t="shared" si="3"/>
        <v>248</v>
      </c>
      <c r="T11" s="24">
        <v>1</v>
      </c>
      <c r="U11" s="24">
        <v>25</v>
      </c>
      <c r="V11" s="24">
        <v>28</v>
      </c>
      <c r="W11" s="24">
        <v>85</v>
      </c>
      <c r="X11" s="24">
        <v>109</v>
      </c>
      <c r="Y11">
        <v>20</v>
      </c>
      <c r="Z11">
        <v>11</v>
      </c>
      <c r="AA11">
        <v>6</v>
      </c>
      <c r="AB11">
        <v>18</v>
      </c>
      <c r="AC11">
        <v>17</v>
      </c>
      <c r="AD11">
        <v>6</v>
      </c>
      <c r="AE11">
        <v>0</v>
      </c>
      <c r="AF11">
        <v>0</v>
      </c>
      <c r="AG11">
        <v>1</v>
      </c>
      <c r="AH11">
        <v>1</v>
      </c>
      <c r="AI11">
        <v>0</v>
      </c>
      <c r="AJ11">
        <v>0</v>
      </c>
      <c r="AK11">
        <v>23</v>
      </c>
      <c r="AL11">
        <v>20</v>
      </c>
      <c r="AM11">
        <v>1</v>
      </c>
      <c r="AN11">
        <v>0</v>
      </c>
      <c r="AO11">
        <v>2</v>
      </c>
      <c r="AP11">
        <v>0</v>
      </c>
      <c r="AQ11">
        <v>0</v>
      </c>
      <c r="AR11">
        <v>0</v>
      </c>
    </row>
    <row r="12" spans="1:44" ht="15.75" thickBot="1" x14ac:dyDescent="0.3">
      <c r="A12" s="14"/>
      <c r="B12" t="s">
        <v>215</v>
      </c>
      <c r="C12">
        <v>10</v>
      </c>
      <c r="D12" t="s">
        <v>190</v>
      </c>
      <c r="E12" s="14">
        <v>26</v>
      </c>
      <c r="F12" s="14">
        <v>30</v>
      </c>
      <c r="G12" s="2" t="s">
        <v>491</v>
      </c>
      <c r="H12" s="56" t="s">
        <v>587</v>
      </c>
      <c r="I12" s="31">
        <f>9*60+13</f>
        <v>553</v>
      </c>
      <c r="K12" s="14">
        <f t="shared" si="0"/>
        <v>55.343890180831814</v>
      </c>
      <c r="L12" s="14">
        <f t="shared" si="1"/>
        <v>331.83188889999991</v>
      </c>
      <c r="M12" s="14">
        <f t="shared" si="2"/>
        <v>60.005766528028914</v>
      </c>
      <c r="O12">
        <v>16658.307599999996</v>
      </c>
      <c r="P12">
        <v>9121.8685999999998</v>
      </c>
      <c r="Q12">
        <v>134839.3971</v>
      </c>
      <c r="R12">
        <v>171212.31559999994</v>
      </c>
      <c r="S12" s="23">
        <f t="shared" si="3"/>
        <v>257</v>
      </c>
      <c r="T12">
        <v>0</v>
      </c>
      <c r="U12">
        <v>25</v>
      </c>
      <c r="V12">
        <v>20</v>
      </c>
      <c r="W12">
        <v>140</v>
      </c>
      <c r="X12">
        <v>72</v>
      </c>
      <c r="Y12">
        <v>14</v>
      </c>
      <c r="Z12">
        <v>8</v>
      </c>
      <c r="AA12">
        <v>9</v>
      </c>
      <c r="AB12">
        <v>14</v>
      </c>
      <c r="AC12">
        <v>11</v>
      </c>
      <c r="AD12">
        <v>5</v>
      </c>
      <c r="AE12">
        <v>0</v>
      </c>
      <c r="AF12">
        <v>0</v>
      </c>
      <c r="AG12">
        <v>0</v>
      </c>
      <c r="AH12">
        <v>0</v>
      </c>
      <c r="AI12">
        <v>0</v>
      </c>
      <c r="AJ12">
        <v>0</v>
      </c>
      <c r="AK12">
        <v>13</v>
      </c>
      <c r="AL12">
        <v>13</v>
      </c>
      <c r="AM12">
        <v>0</v>
      </c>
      <c r="AN12">
        <v>1</v>
      </c>
      <c r="AO12">
        <v>0</v>
      </c>
      <c r="AP12">
        <v>0</v>
      </c>
      <c r="AQ12">
        <v>0</v>
      </c>
      <c r="AR12">
        <v>0</v>
      </c>
    </row>
    <row r="13" spans="1:44" ht="15.75" thickBot="1" x14ac:dyDescent="0.3">
      <c r="A13" s="14"/>
      <c r="B13" t="s">
        <v>215</v>
      </c>
      <c r="C13">
        <v>11</v>
      </c>
      <c r="D13" t="s">
        <v>190</v>
      </c>
      <c r="E13" s="14">
        <v>24</v>
      </c>
      <c r="F13" s="14">
        <v>10</v>
      </c>
      <c r="G13" s="2" t="s">
        <v>492</v>
      </c>
      <c r="H13" s="56" t="s">
        <v>588</v>
      </c>
      <c r="I13" s="31">
        <f>11*60+16</f>
        <v>676</v>
      </c>
      <c r="L13" s="14"/>
      <c r="M13" s="14"/>
      <c r="N13" s="28"/>
      <c r="O13" s="23"/>
      <c r="P13" s="23"/>
      <c r="Q13" s="23"/>
      <c r="R13" s="23"/>
      <c r="S13" s="23"/>
    </row>
    <row r="14" spans="1:44" ht="15.75" thickBot="1" x14ac:dyDescent="0.3">
      <c r="A14" s="14"/>
      <c r="B14" s="14" t="s">
        <v>216</v>
      </c>
      <c r="C14" s="14">
        <v>1</v>
      </c>
      <c r="D14" s="14" t="s">
        <v>190</v>
      </c>
      <c r="E14" s="14">
        <v>34</v>
      </c>
      <c r="F14" s="14">
        <v>10</v>
      </c>
      <c r="G14" s="4">
        <v>44175.449282407404</v>
      </c>
      <c r="H14" s="56" t="s">
        <v>591</v>
      </c>
      <c r="I14" s="33">
        <f>9*60+16</f>
        <v>556</v>
      </c>
      <c r="L14" s="14"/>
      <c r="M14" s="14"/>
      <c r="O14" s="23"/>
      <c r="P14" s="23"/>
      <c r="Q14" s="23"/>
      <c r="R14" s="23"/>
      <c r="S14" s="23"/>
    </row>
    <row r="15" spans="1:44" ht="15.75" thickBot="1" x14ac:dyDescent="0.3">
      <c r="A15" s="14"/>
      <c r="B15" s="14" t="s">
        <v>216</v>
      </c>
      <c r="C15" s="14">
        <v>2</v>
      </c>
      <c r="D15" s="14" t="s">
        <v>190</v>
      </c>
      <c r="E15" s="14">
        <v>29</v>
      </c>
      <c r="F15" s="14">
        <v>0</v>
      </c>
      <c r="G15" s="2" t="s">
        <v>493</v>
      </c>
      <c r="H15" s="56" t="s">
        <v>592</v>
      </c>
      <c r="I15" s="33">
        <f>8*60+19</f>
        <v>499</v>
      </c>
      <c r="K15" s="14">
        <f>((R15+Q15+L15+N15+O15+P15)*100)/(1000*I15)</f>
        <v>54.30405160541082</v>
      </c>
      <c r="L15" s="14">
        <f t="shared" si="1"/>
        <v>270.70651099999998</v>
      </c>
      <c r="M15" s="14"/>
      <c r="N15">
        <v>2694.8751999999999</v>
      </c>
      <c r="O15">
        <v>20515.286699999997</v>
      </c>
      <c r="P15">
        <v>16500.614000000001</v>
      </c>
      <c r="Q15">
        <v>73768.836700000014</v>
      </c>
      <c r="R15">
        <v>157226.89840000001</v>
      </c>
      <c r="S15" s="14">
        <f>SUM(T15:X15)</f>
        <v>171</v>
      </c>
      <c r="T15">
        <v>4</v>
      </c>
      <c r="U15">
        <v>21</v>
      </c>
      <c r="V15">
        <v>19</v>
      </c>
      <c r="W15">
        <v>65</v>
      </c>
      <c r="X15">
        <v>62</v>
      </c>
      <c r="Y15">
        <v>14</v>
      </c>
      <c r="Z15">
        <v>7</v>
      </c>
      <c r="AA15">
        <v>5</v>
      </c>
      <c r="AB15">
        <v>12</v>
      </c>
      <c r="AC15">
        <v>12</v>
      </c>
      <c r="AD15">
        <v>5</v>
      </c>
      <c r="AE15">
        <v>0</v>
      </c>
      <c r="AF15">
        <v>0</v>
      </c>
      <c r="AG15">
        <v>3</v>
      </c>
      <c r="AH15">
        <v>3</v>
      </c>
      <c r="AI15">
        <v>0</v>
      </c>
      <c r="AJ15">
        <v>0</v>
      </c>
      <c r="AK15">
        <v>7</v>
      </c>
      <c r="AL15">
        <v>7</v>
      </c>
      <c r="AM15">
        <v>0</v>
      </c>
      <c r="AN15">
        <v>0</v>
      </c>
      <c r="AO15">
        <v>0</v>
      </c>
      <c r="AP15">
        <v>0</v>
      </c>
      <c r="AQ15">
        <v>0</v>
      </c>
      <c r="AR15">
        <v>0</v>
      </c>
    </row>
    <row r="16" spans="1:44" ht="15.75" thickBot="1" x14ac:dyDescent="0.3">
      <c r="A16" s="14"/>
      <c r="B16" s="14" t="s">
        <v>216</v>
      </c>
      <c r="C16" s="14">
        <v>4</v>
      </c>
      <c r="D16" s="14" t="s">
        <v>194</v>
      </c>
      <c r="E16" s="14">
        <v>27</v>
      </c>
      <c r="F16" s="14">
        <v>0</v>
      </c>
      <c r="G16" s="2" t="s">
        <v>494</v>
      </c>
      <c r="H16" s="56" t="s">
        <v>594</v>
      </c>
      <c r="I16" s="33">
        <f>11*60+23</f>
        <v>683</v>
      </c>
      <c r="L16" s="14"/>
      <c r="M16" s="14"/>
      <c r="O16" s="23"/>
      <c r="P16" s="23"/>
      <c r="Q16" s="23"/>
      <c r="R16" s="23"/>
      <c r="S16" s="23"/>
    </row>
    <row r="17" spans="1:44" ht="15.75" thickBot="1" x14ac:dyDescent="0.3">
      <c r="A17" s="14"/>
      <c r="B17" s="14" t="s">
        <v>216</v>
      </c>
      <c r="C17" s="14">
        <v>5</v>
      </c>
      <c r="D17" s="14" t="s">
        <v>190</v>
      </c>
      <c r="E17" s="14">
        <v>22</v>
      </c>
      <c r="F17" s="14">
        <v>150</v>
      </c>
      <c r="G17" s="2" t="s">
        <v>495</v>
      </c>
      <c r="H17" s="56" t="s">
        <v>595</v>
      </c>
      <c r="I17" s="33">
        <f>12*60+53</f>
        <v>773</v>
      </c>
      <c r="K17" s="14">
        <f>AVERAGE(K4:K12)</f>
        <v>56.368300638145378</v>
      </c>
      <c r="L17" s="14">
        <f>AVERAGE(L4:L12)/10</f>
        <v>35.517452001666655</v>
      </c>
      <c r="M17" s="14">
        <f>AVERAGE(M4:M12)</f>
        <v>62.236579019831716</v>
      </c>
    </row>
    <row r="18" spans="1:44" ht="15.75" thickBot="1" x14ac:dyDescent="0.3">
      <c r="A18" s="14"/>
      <c r="B18" s="14" t="s">
        <v>216</v>
      </c>
      <c r="C18" s="14">
        <v>6</v>
      </c>
      <c r="D18" s="14" t="s">
        <v>190</v>
      </c>
      <c r="E18" s="14">
        <v>24</v>
      </c>
      <c r="F18" s="14">
        <v>20</v>
      </c>
      <c r="G18" s="2" t="s">
        <v>496</v>
      </c>
      <c r="H18" s="56" t="s">
        <v>596</v>
      </c>
      <c r="I18" s="33">
        <f>7*60+21</f>
        <v>441</v>
      </c>
      <c r="L18" s="14"/>
      <c r="M18" s="14"/>
      <c r="O18" s="23"/>
      <c r="P18" s="23"/>
      <c r="Q18" s="23"/>
      <c r="R18" s="23"/>
      <c r="S18" s="23"/>
    </row>
    <row r="19" spans="1:44" ht="15.75" thickBot="1" x14ac:dyDescent="0.3">
      <c r="A19" s="14"/>
      <c r="B19" s="14" t="s">
        <v>216</v>
      </c>
      <c r="C19" s="14">
        <v>7</v>
      </c>
      <c r="D19" s="14" t="s">
        <v>190</v>
      </c>
      <c r="E19" s="14">
        <v>23</v>
      </c>
      <c r="F19" s="14">
        <v>10</v>
      </c>
      <c r="G19" s="4">
        <v>43872.375115740739</v>
      </c>
      <c r="H19" s="56" t="s">
        <v>597</v>
      </c>
      <c r="I19" s="33">
        <f>10*60+20</f>
        <v>620</v>
      </c>
      <c r="K19" s="14">
        <f>((R19+Q19+L19+N19+O19+P19)*100)/(1000*I19)</f>
        <v>56.442391796112915</v>
      </c>
      <c r="L19" s="14">
        <f t="shared" si="1"/>
        <v>349.59323590000002</v>
      </c>
      <c r="M19" s="14"/>
      <c r="N19" s="16">
        <v>4749.2861000000003</v>
      </c>
      <c r="O19" s="16">
        <v>28423.933000000005</v>
      </c>
      <c r="P19" s="16">
        <v>11704.415199999999</v>
      </c>
      <c r="Q19" s="16">
        <v>136896.98150000002</v>
      </c>
      <c r="R19" s="16">
        <v>167818.6201</v>
      </c>
      <c r="S19" s="14">
        <f>SUM(T19:X19)</f>
        <v>226</v>
      </c>
      <c r="T19">
        <v>5</v>
      </c>
      <c r="U19">
        <v>37</v>
      </c>
      <c r="V19">
        <v>26</v>
      </c>
      <c r="W19">
        <v>102</v>
      </c>
      <c r="X19">
        <v>56</v>
      </c>
      <c r="Y19">
        <v>16</v>
      </c>
      <c r="Z19">
        <v>11</v>
      </c>
      <c r="AA19">
        <v>15</v>
      </c>
      <c r="AB19">
        <v>22</v>
      </c>
      <c r="AC19">
        <v>10</v>
      </c>
      <c r="AD19">
        <v>8</v>
      </c>
      <c r="AE19">
        <v>0</v>
      </c>
      <c r="AF19">
        <v>0</v>
      </c>
      <c r="AG19">
        <v>1</v>
      </c>
      <c r="AH19">
        <v>4</v>
      </c>
      <c r="AI19">
        <v>2</v>
      </c>
      <c r="AJ19">
        <v>1</v>
      </c>
      <c r="AK19">
        <v>16</v>
      </c>
      <c r="AL19">
        <v>13</v>
      </c>
      <c r="AM19">
        <v>2</v>
      </c>
      <c r="AN19">
        <v>0</v>
      </c>
      <c r="AO19">
        <v>0</v>
      </c>
      <c r="AP19">
        <v>0</v>
      </c>
      <c r="AQ19">
        <v>0</v>
      </c>
      <c r="AR19">
        <v>0</v>
      </c>
    </row>
    <row r="20" spans="1:44" ht="15.75" thickBot="1" x14ac:dyDescent="0.3">
      <c r="A20" s="14"/>
      <c r="B20" s="14" t="s">
        <v>216</v>
      </c>
      <c r="C20" s="14">
        <v>8</v>
      </c>
      <c r="D20" s="14" t="s">
        <v>190</v>
      </c>
      <c r="E20" s="14">
        <v>28</v>
      </c>
      <c r="F20" s="14">
        <v>10</v>
      </c>
      <c r="G20" s="4">
        <v>43962.409328703703</v>
      </c>
      <c r="H20" s="56" t="s">
        <v>598</v>
      </c>
      <c r="I20" s="33">
        <f>10*60+39</f>
        <v>639</v>
      </c>
      <c r="L20" s="14"/>
      <c r="M20" s="14"/>
    </row>
    <row r="21" spans="1:44" ht="15.75" thickBot="1" x14ac:dyDescent="0.3">
      <c r="A21" s="14"/>
      <c r="B21" s="14" t="s">
        <v>216</v>
      </c>
      <c r="C21" s="14">
        <v>9</v>
      </c>
      <c r="D21" s="14" t="s">
        <v>190</v>
      </c>
      <c r="E21" s="14">
        <v>33</v>
      </c>
      <c r="F21" s="14">
        <v>100</v>
      </c>
      <c r="G21" s="4">
        <v>43962.443055555559</v>
      </c>
      <c r="H21" s="56" t="s">
        <v>599</v>
      </c>
      <c r="I21" s="33">
        <f>7*60+19</f>
        <v>439</v>
      </c>
      <c r="K21" s="51">
        <f>AVERAGE(K4:K12,K15,K17,K22,K23)</f>
        <v>57.270144702944229</v>
      </c>
      <c r="L21" s="51">
        <f>AVERAGE(L15,L19,L22,L23)</f>
        <v>321.38706954999998</v>
      </c>
      <c r="M21" s="14"/>
      <c r="O21" s="23"/>
      <c r="P21" s="23">
        <f>SUM(Q21:R21)</f>
        <v>322539.7816333333</v>
      </c>
      <c r="Q21" s="23">
        <f>AVERAGE(Q4:Q12)</f>
        <v>129301.9531</v>
      </c>
      <c r="R21" s="23">
        <f>AVERAGE(R4:R12)</f>
        <v>193237.82853333329</v>
      </c>
      <c r="S21" s="23"/>
    </row>
    <row r="22" spans="1:44" ht="15.75" thickBot="1" x14ac:dyDescent="0.3">
      <c r="A22" s="14"/>
      <c r="B22" s="14" t="s">
        <v>216</v>
      </c>
      <c r="C22" s="14">
        <v>10</v>
      </c>
      <c r="D22" s="14" t="s">
        <v>190</v>
      </c>
      <c r="E22" s="14">
        <v>22</v>
      </c>
      <c r="F22" s="14">
        <v>20</v>
      </c>
      <c r="G22" s="4">
        <v>43962.48946759259</v>
      </c>
      <c r="H22" s="56" t="s">
        <v>600</v>
      </c>
      <c r="I22" s="33">
        <f>9*60+13</f>
        <v>553</v>
      </c>
      <c r="K22" s="14">
        <f>((R22+Q22+L22+N22+O22+P22)*100)/(1000*I22)</f>
        <v>59.706223756202519</v>
      </c>
      <c r="L22" s="14">
        <f t="shared" si="1"/>
        <v>329.84557179999996</v>
      </c>
      <c r="M22" s="14"/>
      <c r="N22">
        <v>5349.6501999999991</v>
      </c>
      <c r="O22">
        <v>29504.195900000006</v>
      </c>
      <c r="P22">
        <v>9571.3477000000003</v>
      </c>
      <c r="Q22">
        <v>182852.83779999995</v>
      </c>
      <c r="R22">
        <v>102567.54020000002</v>
      </c>
      <c r="S22" s="14">
        <f>SUM(T22:X22)</f>
        <v>254</v>
      </c>
      <c r="T22">
        <v>20</v>
      </c>
      <c r="U22">
        <v>49</v>
      </c>
      <c r="V22">
        <v>25</v>
      </c>
      <c r="W22">
        <v>104</v>
      </c>
      <c r="X22">
        <v>56</v>
      </c>
      <c r="Y22">
        <v>7</v>
      </c>
      <c r="Z22">
        <v>7</v>
      </c>
      <c r="AA22">
        <v>22</v>
      </c>
      <c r="AB22">
        <v>25</v>
      </c>
      <c r="AC22">
        <v>7</v>
      </c>
      <c r="AD22">
        <v>8</v>
      </c>
      <c r="AE22">
        <v>4</v>
      </c>
      <c r="AF22">
        <v>2</v>
      </c>
      <c r="AG22">
        <v>8</v>
      </c>
      <c r="AH22">
        <v>12</v>
      </c>
      <c r="AI22">
        <v>5</v>
      </c>
      <c r="AJ22">
        <v>3</v>
      </c>
      <c r="AK22">
        <v>4</v>
      </c>
      <c r="AL22">
        <v>2</v>
      </c>
      <c r="AM22">
        <v>0</v>
      </c>
      <c r="AN22">
        <v>0</v>
      </c>
      <c r="AO22">
        <v>0</v>
      </c>
      <c r="AP22">
        <v>0</v>
      </c>
      <c r="AQ22">
        <v>0</v>
      </c>
      <c r="AR22">
        <v>0</v>
      </c>
    </row>
    <row r="23" spans="1:44" ht="15.75" thickBot="1" x14ac:dyDescent="0.3">
      <c r="A23" s="14"/>
      <c r="B23" s="14" t="s">
        <v>216</v>
      </c>
      <c r="C23" s="14">
        <v>11</v>
      </c>
      <c r="D23" s="14" t="s">
        <v>190</v>
      </c>
      <c r="E23" s="14">
        <v>33</v>
      </c>
      <c r="F23" s="14">
        <v>5</v>
      </c>
      <c r="G23" s="4">
        <v>43993.398946759262</v>
      </c>
      <c r="H23" s="56" t="s">
        <v>601</v>
      </c>
      <c r="I23" s="33">
        <f>8*60+13</f>
        <v>493</v>
      </c>
      <c r="K23" s="14">
        <f>((R23+Q23)*100)/(1000*I23)</f>
        <v>64.113067200811344</v>
      </c>
      <c r="L23" s="14">
        <f t="shared" si="1"/>
        <v>335.40295950000001</v>
      </c>
      <c r="M23" s="14"/>
      <c r="N23" s="14">
        <v>0</v>
      </c>
      <c r="O23" s="14">
        <v>2826.66</v>
      </c>
      <c r="P23" s="14">
        <v>16498.878199999999</v>
      </c>
      <c r="Q23" s="14">
        <v>279129.51149999996</v>
      </c>
      <c r="R23" s="14">
        <v>36947.909799999994</v>
      </c>
      <c r="S23" s="14">
        <f>SUM(T23:X23)</f>
        <v>155</v>
      </c>
      <c r="T23">
        <v>0</v>
      </c>
      <c r="U23">
        <v>5</v>
      </c>
      <c r="V23">
        <v>23</v>
      </c>
      <c r="W23">
        <v>100</v>
      </c>
      <c r="X23">
        <v>27</v>
      </c>
      <c r="Y23">
        <v>20</v>
      </c>
      <c r="Z23">
        <v>15</v>
      </c>
      <c r="AA23">
        <v>1</v>
      </c>
      <c r="AB23">
        <v>3</v>
      </c>
      <c r="AC23">
        <v>4</v>
      </c>
      <c r="AD23">
        <v>2</v>
      </c>
      <c r="AE23">
        <v>0</v>
      </c>
      <c r="AF23">
        <v>0</v>
      </c>
      <c r="AG23">
        <v>0</v>
      </c>
      <c r="AH23">
        <v>0</v>
      </c>
      <c r="AI23">
        <v>0</v>
      </c>
      <c r="AJ23">
        <v>0</v>
      </c>
      <c r="AK23">
        <v>9</v>
      </c>
      <c r="AL23">
        <v>9</v>
      </c>
      <c r="AM23">
        <v>0</v>
      </c>
      <c r="AN23">
        <v>0</v>
      </c>
      <c r="AO23">
        <v>0</v>
      </c>
      <c r="AP23">
        <v>0</v>
      </c>
      <c r="AQ23">
        <v>0</v>
      </c>
      <c r="AR23">
        <v>0</v>
      </c>
    </row>
    <row r="24" spans="1:44" ht="15.75" thickBot="1" x14ac:dyDescent="0.3">
      <c r="A24" t="s">
        <v>201</v>
      </c>
      <c r="B24" t="s">
        <v>215</v>
      </c>
      <c r="C24" s="14">
        <v>1</v>
      </c>
      <c r="D24" s="14" t="s">
        <v>190</v>
      </c>
      <c r="E24" s="14">
        <v>27</v>
      </c>
      <c r="F24" s="14">
        <v>4</v>
      </c>
      <c r="G24" s="4">
        <v>43992.458553240744</v>
      </c>
      <c r="H24" s="56" t="s">
        <v>602</v>
      </c>
      <c r="I24" s="32">
        <v>502</v>
      </c>
      <c r="K24" s="14">
        <f>((R24)*100)/(1000*I24)</f>
        <v>65.705477390438261</v>
      </c>
      <c r="L24" s="14">
        <f t="shared" si="1"/>
        <v>385.16512920000008</v>
      </c>
      <c r="M24" s="14">
        <f>L24/I24*100</f>
        <v>76.726121354581693</v>
      </c>
      <c r="N24">
        <v>4176.1580999999996</v>
      </c>
      <c r="O24">
        <v>39074.156299999988</v>
      </c>
      <c r="P24">
        <v>12073.318300000003</v>
      </c>
      <c r="R24">
        <v>329841.49650000007</v>
      </c>
      <c r="S24" s="23">
        <f>SUM(T24:X24)</f>
        <v>188</v>
      </c>
      <c r="T24">
        <v>8</v>
      </c>
      <c r="U24">
        <v>46</v>
      </c>
      <c r="V24">
        <v>32</v>
      </c>
      <c r="X24">
        <v>102</v>
      </c>
      <c r="AC24">
        <v>18</v>
      </c>
      <c r="AD24">
        <v>19</v>
      </c>
      <c r="AG24">
        <v>4</v>
      </c>
      <c r="AH24">
        <v>3</v>
      </c>
      <c r="AI24">
        <v>3</v>
      </c>
      <c r="AJ24">
        <v>5</v>
      </c>
      <c r="AM24">
        <v>9</v>
      </c>
      <c r="AN24">
        <v>6</v>
      </c>
      <c r="AO24">
        <v>5</v>
      </c>
      <c r="AP24">
        <v>8</v>
      </c>
      <c r="AQ24">
        <v>0</v>
      </c>
      <c r="AR24">
        <v>0</v>
      </c>
    </row>
    <row r="25" spans="1:44" ht="15.75" thickBot="1" x14ac:dyDescent="0.3">
      <c r="A25" s="14"/>
      <c r="B25" t="s">
        <v>215</v>
      </c>
      <c r="C25" s="14">
        <v>2</v>
      </c>
      <c r="D25" s="14" t="s">
        <v>190</v>
      </c>
      <c r="E25" s="14">
        <v>24</v>
      </c>
      <c r="F25" s="14">
        <v>0</v>
      </c>
      <c r="G25" s="2" t="s">
        <v>497</v>
      </c>
      <c r="H25" s="56" t="s">
        <v>603</v>
      </c>
      <c r="I25" s="32">
        <f>11*60+18</f>
        <v>678</v>
      </c>
      <c r="K25" s="14">
        <f t="shared" ref="K25:K33" si="4">((R25)*100)/(1000*I25)</f>
        <v>72.309470265486738</v>
      </c>
      <c r="L25" s="14">
        <f t="shared" ref="L25:L26" si="5">SUM(N25:R25)/1000</f>
        <v>558.50054560000012</v>
      </c>
      <c r="M25" s="14">
        <f t="shared" ref="M25:M33" si="6">L25/I25*100</f>
        <v>82.374711740413005</v>
      </c>
      <c r="N25" s="14">
        <v>2822.9513999999999</v>
      </c>
      <c r="O25" s="14">
        <v>41435.437700000009</v>
      </c>
      <c r="P25" s="14">
        <v>23983.948099999994</v>
      </c>
      <c r="R25" s="14">
        <v>490258.2084</v>
      </c>
      <c r="S25" s="23">
        <f t="shared" ref="S25:S33" si="7">SUM(T25:X25)</f>
        <v>262</v>
      </c>
      <c r="T25">
        <v>9</v>
      </c>
      <c r="U25">
        <v>65</v>
      </c>
      <c r="V25">
        <v>46</v>
      </c>
      <c r="X25">
        <v>142</v>
      </c>
      <c r="AC25">
        <v>27</v>
      </c>
      <c r="AD25">
        <v>25</v>
      </c>
      <c r="AG25">
        <v>6</v>
      </c>
      <c r="AH25">
        <v>7</v>
      </c>
      <c r="AI25">
        <v>1</v>
      </c>
      <c r="AJ25">
        <v>1</v>
      </c>
      <c r="AM25">
        <v>11</v>
      </c>
      <c r="AN25">
        <v>9</v>
      </c>
      <c r="AO25">
        <v>6</v>
      </c>
      <c r="AP25">
        <v>4</v>
      </c>
      <c r="AQ25">
        <v>2</v>
      </c>
      <c r="AR25">
        <v>0</v>
      </c>
    </row>
    <row r="26" spans="1:44" ht="15.75" thickBot="1" x14ac:dyDescent="0.3">
      <c r="A26" s="14"/>
      <c r="B26" t="s">
        <v>215</v>
      </c>
      <c r="C26" s="14">
        <v>3</v>
      </c>
      <c r="D26" s="14" t="s">
        <v>190</v>
      </c>
      <c r="E26" s="14">
        <v>25</v>
      </c>
      <c r="F26" s="14">
        <v>1</v>
      </c>
      <c r="G26" s="4">
        <v>44053.481631944444</v>
      </c>
      <c r="H26" s="56" t="s">
        <v>604</v>
      </c>
      <c r="I26" s="32">
        <v>443</v>
      </c>
      <c r="K26" s="14">
        <f t="shared" si="4"/>
        <v>48.56663537246051</v>
      </c>
      <c r="L26" s="14">
        <f t="shared" si="5"/>
        <v>265.64389190000009</v>
      </c>
      <c r="M26" s="14">
        <f t="shared" si="6"/>
        <v>59.964761151241554</v>
      </c>
      <c r="N26" s="14">
        <v>539.9864</v>
      </c>
      <c r="O26" s="14">
        <v>38382.61280000001</v>
      </c>
      <c r="P26" s="14">
        <v>11571.098000000002</v>
      </c>
      <c r="R26" s="14">
        <v>215150.19470000008</v>
      </c>
      <c r="S26" s="23">
        <f t="shared" si="7"/>
        <v>177</v>
      </c>
      <c r="T26">
        <v>1</v>
      </c>
      <c r="U26">
        <v>53</v>
      </c>
      <c r="V26">
        <v>26</v>
      </c>
      <c r="X26">
        <v>97</v>
      </c>
      <c r="AC26">
        <v>18</v>
      </c>
      <c r="AD26">
        <v>17</v>
      </c>
      <c r="AG26">
        <v>1</v>
      </c>
      <c r="AH26">
        <v>1</v>
      </c>
      <c r="AI26">
        <v>0</v>
      </c>
      <c r="AJ26">
        <v>0</v>
      </c>
      <c r="AM26">
        <v>7</v>
      </c>
      <c r="AN26">
        <v>8</v>
      </c>
      <c r="AO26">
        <v>6</v>
      </c>
      <c r="AP26">
        <v>5</v>
      </c>
      <c r="AQ26">
        <v>0</v>
      </c>
      <c r="AR26">
        <v>0</v>
      </c>
    </row>
    <row r="27" spans="1:44" ht="15.75" thickBot="1" x14ac:dyDescent="0.3">
      <c r="A27" s="14"/>
      <c r="B27" t="s">
        <v>215</v>
      </c>
      <c r="C27" s="14">
        <v>4</v>
      </c>
      <c r="D27" s="14" t="s">
        <v>190</v>
      </c>
      <c r="E27" s="14">
        <v>22</v>
      </c>
      <c r="F27" s="14">
        <v>30</v>
      </c>
      <c r="G27" s="4">
        <v>44084.440567129626</v>
      </c>
      <c r="H27" s="56" t="s">
        <v>605</v>
      </c>
      <c r="I27" s="32">
        <v>507</v>
      </c>
      <c r="K27" s="14">
        <f t="shared" si="4"/>
        <v>54.013941242603522</v>
      </c>
      <c r="L27" s="14">
        <f t="shared" ref="L27" si="8">SUM(N27:R27)/1000</f>
        <v>316.57254349999988</v>
      </c>
      <c r="M27" s="14">
        <f t="shared" si="6"/>
        <v>62.440343885601557</v>
      </c>
      <c r="N27" s="14">
        <v>1051.5373</v>
      </c>
      <c r="O27" s="14">
        <v>31912.489299999997</v>
      </c>
      <c r="P27" s="14">
        <v>9757.8348000000024</v>
      </c>
      <c r="R27" s="14">
        <v>273850.68209999986</v>
      </c>
      <c r="S27" s="23">
        <f t="shared" si="7"/>
        <v>163</v>
      </c>
      <c r="T27">
        <v>2</v>
      </c>
      <c r="U27">
        <v>44</v>
      </c>
      <c r="V27">
        <v>23</v>
      </c>
      <c r="X27">
        <v>94</v>
      </c>
      <c r="AC27">
        <v>10</v>
      </c>
      <c r="AD27">
        <v>12</v>
      </c>
      <c r="AG27">
        <v>2</v>
      </c>
      <c r="AH27">
        <v>2</v>
      </c>
      <c r="AI27">
        <v>0</v>
      </c>
      <c r="AJ27">
        <v>0</v>
      </c>
      <c r="AM27">
        <v>7</v>
      </c>
      <c r="AN27">
        <v>5</v>
      </c>
      <c r="AO27">
        <v>2</v>
      </c>
      <c r="AP27">
        <v>4</v>
      </c>
      <c r="AQ27">
        <v>0</v>
      </c>
      <c r="AR27">
        <v>0</v>
      </c>
    </row>
    <row r="28" spans="1:44" ht="15.75" thickBot="1" x14ac:dyDescent="0.3">
      <c r="A28" s="14"/>
      <c r="B28" t="s">
        <v>215</v>
      </c>
      <c r="C28" s="14">
        <v>5</v>
      </c>
      <c r="D28" s="14" t="s">
        <v>190</v>
      </c>
      <c r="E28" s="14">
        <v>22</v>
      </c>
      <c r="F28" s="14">
        <v>5</v>
      </c>
      <c r="G28" s="4">
        <v>44084.480868055558</v>
      </c>
      <c r="H28" s="56" t="s">
        <v>606</v>
      </c>
      <c r="I28" s="32">
        <v>406</v>
      </c>
      <c r="K28" s="14">
        <f t="shared" si="4"/>
        <v>73.219360492610861</v>
      </c>
      <c r="L28" s="14">
        <f t="shared" ref="L28:L31" si="9">SUM(N28:R28)/1000</f>
        <v>331.8069723000001</v>
      </c>
      <c r="M28" s="14">
        <f t="shared" si="6"/>
        <v>81.725855246305443</v>
      </c>
      <c r="N28" s="14">
        <v>185.38900000000001</v>
      </c>
      <c r="O28" s="14">
        <v>22573.0772</v>
      </c>
      <c r="P28" s="14">
        <v>11777.9025</v>
      </c>
      <c r="R28" s="14">
        <v>297270.60360000009</v>
      </c>
      <c r="S28" s="23">
        <f t="shared" si="7"/>
        <v>169</v>
      </c>
      <c r="T28">
        <v>1</v>
      </c>
      <c r="U28">
        <v>29</v>
      </c>
      <c r="V28">
        <v>29</v>
      </c>
      <c r="X28">
        <v>110</v>
      </c>
      <c r="AC28">
        <v>13</v>
      </c>
      <c r="AD28">
        <v>18</v>
      </c>
      <c r="AG28">
        <v>1</v>
      </c>
      <c r="AH28">
        <v>1</v>
      </c>
      <c r="AI28">
        <v>0</v>
      </c>
      <c r="AJ28">
        <v>0</v>
      </c>
      <c r="AM28">
        <v>6</v>
      </c>
      <c r="AN28">
        <v>1</v>
      </c>
      <c r="AO28">
        <v>5</v>
      </c>
      <c r="AP28">
        <v>10</v>
      </c>
      <c r="AQ28">
        <v>0</v>
      </c>
      <c r="AR28">
        <v>0</v>
      </c>
    </row>
    <row r="29" spans="1:44" ht="15.75" thickBot="1" x14ac:dyDescent="0.3">
      <c r="A29" s="14"/>
      <c r="B29" t="s">
        <v>215</v>
      </c>
      <c r="C29" s="14">
        <v>6</v>
      </c>
      <c r="D29" s="14" t="s">
        <v>194</v>
      </c>
      <c r="E29" s="14">
        <v>26</v>
      </c>
      <c r="F29" s="14">
        <v>0</v>
      </c>
      <c r="G29" s="4">
        <v>44175.645231481481</v>
      </c>
      <c r="H29" s="56" t="s">
        <v>607</v>
      </c>
      <c r="I29" s="32">
        <v>541</v>
      </c>
      <c r="K29" s="14">
        <f t="shared" si="4"/>
        <v>72.435546432532391</v>
      </c>
      <c r="L29" s="14">
        <f t="shared" si="9"/>
        <v>437.68901770000031</v>
      </c>
      <c r="M29" s="14">
        <f t="shared" si="6"/>
        <v>80.903700129390074</v>
      </c>
      <c r="N29" s="14">
        <v>2480.5708</v>
      </c>
      <c r="O29" s="14">
        <v>31461.786600000007</v>
      </c>
      <c r="P29" s="14">
        <v>11870.354100000002</v>
      </c>
      <c r="R29" s="14">
        <v>391876.30620000028</v>
      </c>
      <c r="S29" s="23">
        <f t="shared" si="7"/>
        <v>178</v>
      </c>
      <c r="T29">
        <v>5</v>
      </c>
      <c r="U29">
        <v>36</v>
      </c>
      <c r="V29">
        <v>16</v>
      </c>
      <c r="X29">
        <v>121</v>
      </c>
      <c r="AC29">
        <v>9</v>
      </c>
      <c r="AD29">
        <v>12</v>
      </c>
      <c r="AG29">
        <v>3</v>
      </c>
      <c r="AH29">
        <v>5</v>
      </c>
      <c r="AI29">
        <v>1</v>
      </c>
      <c r="AJ29">
        <v>0</v>
      </c>
      <c r="AM29">
        <v>7</v>
      </c>
      <c r="AN29">
        <v>7</v>
      </c>
      <c r="AO29">
        <v>2</v>
      </c>
      <c r="AP29">
        <v>4</v>
      </c>
      <c r="AQ29">
        <v>1</v>
      </c>
      <c r="AR29">
        <v>0</v>
      </c>
    </row>
    <row r="30" spans="1:44" ht="15.75" thickBot="1" x14ac:dyDescent="0.3">
      <c r="A30" s="14"/>
      <c r="B30" t="s">
        <v>215</v>
      </c>
      <c r="C30" s="14">
        <v>7</v>
      </c>
      <c r="D30" s="14" t="s">
        <v>190</v>
      </c>
      <c r="E30" s="14">
        <v>28</v>
      </c>
      <c r="F30" s="14">
        <v>15</v>
      </c>
      <c r="G30" s="4">
        <v>44053.437048611115</v>
      </c>
      <c r="H30" s="56" t="s">
        <v>608</v>
      </c>
      <c r="I30" s="32">
        <v>487</v>
      </c>
      <c r="K30" s="14">
        <f t="shared" si="4"/>
        <v>53.47576634496923</v>
      </c>
      <c r="L30" s="14">
        <f t="shared" si="9"/>
        <v>342.10263880000019</v>
      </c>
      <c r="M30" s="14">
        <f t="shared" si="6"/>
        <v>70.246948418891208</v>
      </c>
      <c r="N30" s="14">
        <v>7596.7852000000003</v>
      </c>
      <c r="O30" s="14">
        <v>63976.677800000012</v>
      </c>
      <c r="P30" s="14">
        <v>10102.193700000002</v>
      </c>
      <c r="R30" s="14">
        <v>260426.98210000014</v>
      </c>
      <c r="S30" s="23">
        <f t="shared" si="7"/>
        <v>239</v>
      </c>
      <c r="T30">
        <v>23</v>
      </c>
      <c r="U30">
        <v>78</v>
      </c>
      <c r="V30">
        <v>20</v>
      </c>
      <c r="X30">
        <v>118</v>
      </c>
      <c r="AC30">
        <v>9</v>
      </c>
      <c r="AD30">
        <v>11</v>
      </c>
      <c r="AG30">
        <v>14</v>
      </c>
      <c r="AH30">
        <v>16</v>
      </c>
      <c r="AI30">
        <v>2</v>
      </c>
      <c r="AJ30">
        <v>1</v>
      </c>
      <c r="AM30">
        <v>10</v>
      </c>
      <c r="AN30">
        <v>5</v>
      </c>
      <c r="AO30">
        <v>1</v>
      </c>
      <c r="AP30">
        <v>3</v>
      </c>
      <c r="AQ30">
        <v>3</v>
      </c>
      <c r="AR30">
        <v>0</v>
      </c>
    </row>
    <row r="31" spans="1:44" ht="15.75" thickBot="1" x14ac:dyDescent="0.3">
      <c r="A31" s="14"/>
      <c r="B31" t="s">
        <v>215</v>
      </c>
      <c r="C31" s="14">
        <v>8</v>
      </c>
      <c r="D31" s="14" t="s">
        <v>190</v>
      </c>
      <c r="E31" s="14">
        <v>34</v>
      </c>
      <c r="F31" s="14">
        <v>50</v>
      </c>
      <c r="G31" s="2" t="s">
        <v>498</v>
      </c>
      <c r="H31" s="56" t="s">
        <v>609</v>
      </c>
      <c r="I31" s="32">
        <f>8*60+1</f>
        <v>481</v>
      </c>
      <c r="K31" s="14">
        <f t="shared" si="4"/>
        <v>48.425289771309785</v>
      </c>
      <c r="L31" s="14">
        <f t="shared" si="9"/>
        <v>286.53949270000004</v>
      </c>
      <c r="M31" s="14">
        <f t="shared" si="6"/>
        <v>59.57162010395011</v>
      </c>
      <c r="N31">
        <v>2914.6226999999999</v>
      </c>
      <c r="O31">
        <v>35312.71869999999</v>
      </c>
      <c r="P31">
        <v>15386.507500000005</v>
      </c>
      <c r="R31">
        <v>232925.64380000005</v>
      </c>
      <c r="S31" s="23">
        <f t="shared" si="7"/>
        <v>225</v>
      </c>
      <c r="T31">
        <v>9</v>
      </c>
      <c r="U31">
        <v>64</v>
      </c>
      <c r="V31">
        <v>43</v>
      </c>
      <c r="X31">
        <v>109</v>
      </c>
      <c r="AC31">
        <v>26</v>
      </c>
      <c r="AD31">
        <v>27</v>
      </c>
      <c r="AG31">
        <v>4</v>
      </c>
      <c r="AH31">
        <v>7</v>
      </c>
      <c r="AI31">
        <v>1</v>
      </c>
      <c r="AJ31">
        <v>1</v>
      </c>
      <c r="AM31">
        <v>12</v>
      </c>
      <c r="AN31">
        <v>9</v>
      </c>
      <c r="AO31">
        <v>4</v>
      </c>
      <c r="AP31">
        <v>5</v>
      </c>
      <c r="AQ31">
        <v>4</v>
      </c>
      <c r="AR31">
        <v>0</v>
      </c>
    </row>
    <row r="32" spans="1:44" ht="15.75" thickBot="1" x14ac:dyDescent="0.3">
      <c r="A32" s="14"/>
      <c r="B32" t="s">
        <v>215</v>
      </c>
      <c r="C32" s="14">
        <v>9</v>
      </c>
      <c r="D32" s="14" t="s">
        <v>190</v>
      </c>
      <c r="E32" s="14">
        <v>22</v>
      </c>
      <c r="F32" s="14">
        <v>10</v>
      </c>
      <c r="G32" s="2" t="s">
        <v>499</v>
      </c>
      <c r="H32" s="56" t="s">
        <v>610</v>
      </c>
      <c r="I32" s="32">
        <f>8*60+57</f>
        <v>537</v>
      </c>
      <c r="L32" s="14"/>
      <c r="M32" s="14"/>
      <c r="O32" s="23"/>
      <c r="P32" s="23"/>
      <c r="Q32" s="23"/>
      <c r="R32" s="23"/>
      <c r="S32" s="23"/>
    </row>
    <row r="33" spans="1:44" ht="15.75" thickBot="1" x14ac:dyDescent="0.3">
      <c r="A33" s="14"/>
      <c r="B33" t="s">
        <v>215</v>
      </c>
      <c r="C33" s="14">
        <v>10</v>
      </c>
      <c r="D33" s="14" t="s">
        <v>190</v>
      </c>
      <c r="E33" s="14">
        <v>23</v>
      </c>
      <c r="F33" s="14">
        <v>5</v>
      </c>
      <c r="G33" s="4">
        <v>43993.688402777778</v>
      </c>
      <c r="H33" s="56" t="s">
        <v>611</v>
      </c>
      <c r="I33" s="32">
        <f>7*60+24</f>
        <v>444</v>
      </c>
      <c r="K33" s="14">
        <f t="shared" si="4"/>
        <v>52.124583333333341</v>
      </c>
      <c r="L33" s="14">
        <f>SUM(N33:R33)/1000</f>
        <v>272.25698370000003</v>
      </c>
      <c r="M33" s="14">
        <f t="shared" si="6"/>
        <v>61.319140472972975</v>
      </c>
      <c r="N33" s="14">
        <v>1730.5941</v>
      </c>
      <c r="O33" s="14">
        <v>29266.621999999999</v>
      </c>
      <c r="P33" s="14">
        <v>9826.6175999999978</v>
      </c>
      <c r="R33" s="14">
        <v>231433.15000000005</v>
      </c>
      <c r="S33" s="23">
        <f t="shared" si="7"/>
        <v>183</v>
      </c>
      <c r="T33">
        <v>2</v>
      </c>
      <c r="U33">
        <v>43</v>
      </c>
      <c r="V33">
        <v>28</v>
      </c>
      <c r="X33">
        <v>110</v>
      </c>
      <c r="AC33">
        <v>18</v>
      </c>
      <c r="AD33">
        <v>20</v>
      </c>
      <c r="AG33">
        <v>0</v>
      </c>
      <c r="AH33">
        <v>1</v>
      </c>
      <c r="AI33">
        <v>1</v>
      </c>
      <c r="AJ33">
        <v>0</v>
      </c>
      <c r="AM33">
        <v>3</v>
      </c>
      <c r="AN33">
        <v>3</v>
      </c>
      <c r="AO33">
        <v>3</v>
      </c>
      <c r="AP33">
        <v>3</v>
      </c>
      <c r="AQ33">
        <v>0</v>
      </c>
      <c r="AR33">
        <v>0</v>
      </c>
    </row>
    <row r="34" spans="1:44" ht="15.75" thickBot="1" x14ac:dyDescent="0.3">
      <c r="A34" s="14"/>
      <c r="B34" s="14" t="s">
        <v>216</v>
      </c>
      <c r="C34" s="14">
        <v>1</v>
      </c>
      <c r="D34" s="14" t="s">
        <v>190</v>
      </c>
      <c r="E34" s="14">
        <v>24</v>
      </c>
      <c r="F34" s="14">
        <v>100</v>
      </c>
      <c r="G34" s="4">
        <v>44175.518414351849</v>
      </c>
      <c r="H34" s="56" t="s">
        <v>618</v>
      </c>
      <c r="I34" s="33">
        <f>6*60+5</f>
        <v>365</v>
      </c>
      <c r="K34" s="14">
        <f t="shared" ref="K34:K41" si="10">((R34+Q34+L34+N34+O34+P34)*100)/(1000*I34)</f>
        <v>79.291067197808232</v>
      </c>
      <c r="L34" s="14">
        <f t="shared" ref="L34:L41" si="11">SUM(N34:R34)/1000</f>
        <v>289.12327199999999</v>
      </c>
      <c r="M34" s="14"/>
      <c r="N34" s="14">
        <v>2392.5575999999996</v>
      </c>
      <c r="O34" s="21">
        <v>30123.617700000003</v>
      </c>
      <c r="P34" s="14">
        <v>13537.079799999998</v>
      </c>
      <c r="R34" s="14">
        <v>243070.01690000002</v>
      </c>
      <c r="S34" s="23">
        <f>SUM(T34:X34)</f>
        <v>167</v>
      </c>
      <c r="T34">
        <v>9</v>
      </c>
      <c r="U34">
        <v>36</v>
      </c>
      <c r="V34">
        <v>33</v>
      </c>
      <c r="X34">
        <v>89</v>
      </c>
      <c r="AC34">
        <v>16</v>
      </c>
      <c r="AD34">
        <v>15</v>
      </c>
      <c r="AG34">
        <v>3</v>
      </c>
      <c r="AH34">
        <v>6</v>
      </c>
      <c r="AI34">
        <v>5</v>
      </c>
      <c r="AJ34">
        <v>2</v>
      </c>
      <c r="AM34">
        <v>4</v>
      </c>
      <c r="AN34">
        <v>8</v>
      </c>
      <c r="AO34">
        <v>7</v>
      </c>
      <c r="AP34">
        <v>3</v>
      </c>
      <c r="AQ34">
        <v>0</v>
      </c>
      <c r="AR34">
        <v>0</v>
      </c>
    </row>
    <row r="35" spans="1:44" ht="15.75" thickBot="1" x14ac:dyDescent="0.3">
      <c r="A35" s="14"/>
      <c r="B35" s="14" t="s">
        <v>216</v>
      </c>
      <c r="C35" s="14">
        <v>2</v>
      </c>
      <c r="D35" s="14" t="s">
        <v>190</v>
      </c>
      <c r="E35" s="14">
        <v>23</v>
      </c>
      <c r="F35" s="14">
        <v>30</v>
      </c>
      <c r="G35" s="4">
        <v>44175.690381944441</v>
      </c>
      <c r="H35" s="56" t="s">
        <v>619</v>
      </c>
      <c r="I35" s="34">
        <f>9*60+15</f>
        <v>555</v>
      </c>
      <c r="J35" s="21"/>
      <c r="K35" s="14">
        <f t="shared" si="10"/>
        <v>80.129335718864851</v>
      </c>
      <c r="L35" s="14">
        <f t="shared" si="11"/>
        <v>444.27353969999979</v>
      </c>
      <c r="M35" s="14"/>
      <c r="N35">
        <v>2729.6781999999998</v>
      </c>
      <c r="O35">
        <v>50198.583099999989</v>
      </c>
      <c r="P35">
        <v>22888.891500000002</v>
      </c>
      <c r="R35">
        <v>368456.38689999981</v>
      </c>
      <c r="S35" s="23">
        <f t="shared" ref="S35:S43" si="12">SUM(T35:X35)</f>
        <v>296</v>
      </c>
      <c r="T35">
        <v>4</v>
      </c>
      <c r="U35">
        <v>58</v>
      </c>
      <c r="V35">
        <v>54</v>
      </c>
      <c r="X35">
        <v>180</v>
      </c>
      <c r="AC35">
        <v>28</v>
      </c>
      <c r="AD35">
        <v>33</v>
      </c>
      <c r="AG35">
        <v>1</v>
      </c>
      <c r="AH35">
        <v>2</v>
      </c>
      <c r="AI35">
        <v>1</v>
      </c>
      <c r="AJ35">
        <v>1</v>
      </c>
      <c r="AM35">
        <v>12</v>
      </c>
      <c r="AN35">
        <v>8</v>
      </c>
      <c r="AO35">
        <v>6</v>
      </c>
      <c r="AP35">
        <v>10</v>
      </c>
      <c r="AQ35">
        <v>0</v>
      </c>
      <c r="AR35">
        <v>0</v>
      </c>
    </row>
    <row r="36" spans="1:44" ht="15.75" thickBot="1" x14ac:dyDescent="0.3">
      <c r="A36" s="14"/>
      <c r="B36" s="14" t="s">
        <v>216</v>
      </c>
      <c r="C36" s="14">
        <v>3</v>
      </c>
      <c r="D36" s="14" t="s">
        <v>190</v>
      </c>
      <c r="E36" s="14">
        <v>23</v>
      </c>
      <c r="F36" s="14">
        <v>5</v>
      </c>
      <c r="G36" s="2" t="s">
        <v>500</v>
      </c>
      <c r="H36" s="56" t="s">
        <v>620</v>
      </c>
      <c r="I36" s="33">
        <f>9*60+29</f>
        <v>569</v>
      </c>
      <c r="K36" s="14">
        <f t="shared" si="10"/>
        <v>50.732492073884011</v>
      </c>
      <c r="L36" s="14">
        <f t="shared" si="11"/>
        <v>288.37950039999998</v>
      </c>
      <c r="M36" s="14"/>
      <c r="N36">
        <v>4013.8247999999999</v>
      </c>
      <c r="O36">
        <v>38621.834100000007</v>
      </c>
      <c r="P36">
        <v>11282.668299999996</v>
      </c>
      <c r="R36">
        <v>234461.17319999996</v>
      </c>
      <c r="S36" s="23">
        <f t="shared" si="12"/>
        <v>220</v>
      </c>
      <c r="T36">
        <v>12</v>
      </c>
      <c r="U36">
        <v>52</v>
      </c>
      <c r="V36">
        <v>20</v>
      </c>
      <c r="X36">
        <v>136</v>
      </c>
      <c r="AC36">
        <v>12</v>
      </c>
      <c r="AD36">
        <v>14</v>
      </c>
      <c r="AG36">
        <v>8</v>
      </c>
      <c r="AH36">
        <v>10</v>
      </c>
      <c r="AI36">
        <v>2</v>
      </c>
      <c r="AJ36">
        <v>0</v>
      </c>
      <c r="AM36">
        <v>6</v>
      </c>
      <c r="AN36">
        <v>6</v>
      </c>
      <c r="AO36">
        <v>1</v>
      </c>
      <c r="AP36">
        <v>1</v>
      </c>
      <c r="AQ36">
        <v>0</v>
      </c>
      <c r="AR36">
        <v>0</v>
      </c>
    </row>
    <row r="37" spans="1:44" ht="15.75" thickBot="1" x14ac:dyDescent="0.3">
      <c r="A37" s="14"/>
      <c r="B37" s="14" t="s">
        <v>216</v>
      </c>
      <c r="C37" s="14">
        <v>4</v>
      </c>
      <c r="D37" s="14" t="s">
        <v>190</v>
      </c>
      <c r="E37" s="14">
        <v>23</v>
      </c>
      <c r="F37" s="14">
        <v>0</v>
      </c>
      <c r="G37" s="2" t="s">
        <v>501</v>
      </c>
      <c r="H37" s="56" t="s">
        <v>621</v>
      </c>
      <c r="I37" s="33">
        <f>10*60+29</f>
        <v>629</v>
      </c>
      <c r="K37" s="14">
        <f t="shared" si="10"/>
        <v>75.336441164085841</v>
      </c>
      <c r="L37" s="14">
        <f t="shared" si="11"/>
        <v>473.39282209999993</v>
      </c>
      <c r="M37" s="14"/>
      <c r="N37" s="14">
        <v>190.47720000000001</v>
      </c>
      <c r="O37" s="14">
        <v>69636.359899999996</v>
      </c>
      <c r="P37" s="14">
        <v>6008.6553999999996</v>
      </c>
      <c r="R37" s="14">
        <v>397557.32959999994</v>
      </c>
      <c r="S37" s="23">
        <f t="shared" si="12"/>
        <v>206</v>
      </c>
      <c r="T37">
        <v>1</v>
      </c>
      <c r="U37">
        <v>56</v>
      </c>
      <c r="V37">
        <v>17</v>
      </c>
      <c r="X37">
        <v>132</v>
      </c>
      <c r="AC37">
        <v>9</v>
      </c>
      <c r="AD37">
        <v>8</v>
      </c>
      <c r="AG37">
        <v>1</v>
      </c>
      <c r="AH37">
        <v>1</v>
      </c>
      <c r="AI37">
        <v>0</v>
      </c>
      <c r="AJ37">
        <v>0</v>
      </c>
      <c r="AM37">
        <v>15</v>
      </c>
      <c r="AN37">
        <v>16</v>
      </c>
      <c r="AO37">
        <v>8</v>
      </c>
      <c r="AP37">
        <v>7</v>
      </c>
      <c r="AQ37">
        <v>0</v>
      </c>
      <c r="AR37">
        <v>0</v>
      </c>
    </row>
    <row r="38" spans="1:44" ht="15.75" thickBot="1" x14ac:dyDescent="0.3">
      <c r="A38" s="14"/>
      <c r="B38" s="14" t="s">
        <v>216</v>
      </c>
      <c r="C38" s="14">
        <v>5</v>
      </c>
      <c r="D38" s="14" t="s">
        <v>194</v>
      </c>
      <c r="E38" s="14">
        <v>26</v>
      </c>
      <c r="F38" s="14">
        <v>0</v>
      </c>
      <c r="G38" s="2" t="s">
        <v>502</v>
      </c>
      <c r="H38" s="56" t="s">
        <v>622</v>
      </c>
      <c r="I38" s="33">
        <f>7*60+41</f>
        <v>461</v>
      </c>
      <c r="K38" s="14">
        <f t="shared" si="10"/>
        <v>55.560055983101947</v>
      </c>
      <c r="L38" s="14">
        <f t="shared" si="11"/>
        <v>255.87598209999996</v>
      </c>
      <c r="M38" s="14"/>
      <c r="N38" s="14">
        <v>2265.0210000000002</v>
      </c>
      <c r="O38" s="14">
        <v>30734.326399999998</v>
      </c>
      <c r="P38" s="14">
        <v>17073.162899999999</v>
      </c>
      <c r="R38" s="14">
        <v>205803.47179999997</v>
      </c>
      <c r="S38" s="23">
        <f t="shared" si="12"/>
        <v>208</v>
      </c>
      <c r="T38">
        <v>6</v>
      </c>
      <c r="U38">
        <v>47</v>
      </c>
      <c r="V38">
        <v>32</v>
      </c>
      <c r="X38">
        <v>123</v>
      </c>
      <c r="AC38">
        <v>19</v>
      </c>
      <c r="AD38">
        <v>19</v>
      </c>
      <c r="AG38">
        <v>4</v>
      </c>
      <c r="AH38">
        <v>4</v>
      </c>
      <c r="AI38">
        <v>1</v>
      </c>
      <c r="AJ38">
        <v>2</v>
      </c>
      <c r="AM38">
        <v>4</v>
      </c>
      <c r="AN38">
        <v>5</v>
      </c>
      <c r="AO38">
        <v>8</v>
      </c>
      <c r="AP38">
        <v>7</v>
      </c>
      <c r="AQ38">
        <v>0</v>
      </c>
      <c r="AR38">
        <v>0</v>
      </c>
    </row>
    <row r="39" spans="1:44" ht="15.75" thickBot="1" x14ac:dyDescent="0.3">
      <c r="A39" s="14"/>
      <c r="B39" s="14" t="s">
        <v>216</v>
      </c>
      <c r="C39" s="14">
        <v>6</v>
      </c>
      <c r="D39" s="14" t="s">
        <v>190</v>
      </c>
      <c r="E39" s="14">
        <v>28</v>
      </c>
      <c r="F39" s="14">
        <v>5</v>
      </c>
      <c r="G39" s="2" t="s">
        <v>503</v>
      </c>
      <c r="H39" s="56" t="s">
        <v>623</v>
      </c>
      <c r="I39" s="33">
        <f>9*60+41</f>
        <v>581</v>
      </c>
      <c r="K39" s="14">
        <f t="shared" si="10"/>
        <v>82.666526059156652</v>
      </c>
      <c r="L39" s="14">
        <f t="shared" si="11"/>
        <v>479.81270370000016</v>
      </c>
      <c r="M39" s="14"/>
      <c r="N39" s="14">
        <v>3559.2709</v>
      </c>
      <c r="O39" s="14">
        <v>36841.375100000005</v>
      </c>
      <c r="P39" s="14">
        <v>12053.350399999999</v>
      </c>
      <c r="R39" s="14">
        <v>427358.70730000013</v>
      </c>
      <c r="S39" s="23">
        <f t="shared" si="12"/>
        <v>153</v>
      </c>
      <c r="T39">
        <v>7</v>
      </c>
      <c r="U39">
        <v>29</v>
      </c>
      <c r="V39">
        <v>18</v>
      </c>
      <c r="X39">
        <v>99</v>
      </c>
      <c r="AC39">
        <v>5</v>
      </c>
      <c r="AD39">
        <v>14</v>
      </c>
      <c r="AG39">
        <v>3</v>
      </c>
      <c r="AH39">
        <v>6</v>
      </c>
      <c r="AI39">
        <v>1</v>
      </c>
      <c r="AJ39">
        <v>0</v>
      </c>
      <c r="AM39">
        <v>6</v>
      </c>
      <c r="AN39">
        <v>1</v>
      </c>
      <c r="AO39">
        <v>0</v>
      </c>
      <c r="AP39">
        <v>7</v>
      </c>
      <c r="AQ39">
        <v>1</v>
      </c>
      <c r="AR39">
        <v>0</v>
      </c>
    </row>
    <row r="40" spans="1:44" ht="15.75" thickBot="1" x14ac:dyDescent="0.3">
      <c r="A40" s="14"/>
      <c r="B40" s="14" t="s">
        <v>216</v>
      </c>
      <c r="C40" s="14">
        <v>7</v>
      </c>
      <c r="D40" s="14" t="s">
        <v>190</v>
      </c>
      <c r="E40" s="14">
        <v>22</v>
      </c>
      <c r="F40" s="14">
        <v>20</v>
      </c>
      <c r="G40" s="2" t="s">
        <v>504</v>
      </c>
      <c r="H40" s="56" t="s">
        <v>624</v>
      </c>
      <c r="I40" s="33">
        <f>7*60+29</f>
        <v>449</v>
      </c>
      <c r="K40" s="14">
        <f t="shared" si="10"/>
        <v>51.944038895077945</v>
      </c>
      <c r="L40" s="14">
        <f t="shared" si="11"/>
        <v>232.99573889999994</v>
      </c>
      <c r="M40" s="14"/>
      <c r="N40" s="14">
        <v>7200.9300999999996</v>
      </c>
      <c r="O40" s="14">
        <v>17733.772699999994</v>
      </c>
      <c r="P40" s="14">
        <v>9842.852600000002</v>
      </c>
      <c r="R40" s="14">
        <v>198218.18349999996</v>
      </c>
      <c r="S40" s="23">
        <f t="shared" si="12"/>
        <v>196</v>
      </c>
      <c r="T40">
        <v>16</v>
      </c>
      <c r="U40">
        <v>36</v>
      </c>
      <c r="V40">
        <v>22</v>
      </c>
      <c r="X40">
        <v>122</v>
      </c>
      <c r="AC40">
        <v>10</v>
      </c>
      <c r="AD40">
        <v>10</v>
      </c>
      <c r="AG40">
        <v>5</v>
      </c>
      <c r="AH40">
        <v>7</v>
      </c>
      <c r="AI40">
        <v>3</v>
      </c>
      <c r="AJ40">
        <v>3</v>
      </c>
      <c r="AM40">
        <v>6</v>
      </c>
      <c r="AN40">
        <v>7</v>
      </c>
      <c r="AO40">
        <v>3</v>
      </c>
      <c r="AP40">
        <v>4</v>
      </c>
      <c r="AQ40">
        <v>2</v>
      </c>
      <c r="AR40">
        <v>0</v>
      </c>
    </row>
    <row r="41" spans="1:44" ht="15.75" thickBot="1" x14ac:dyDescent="0.3">
      <c r="A41" s="14"/>
      <c r="B41" s="14" t="s">
        <v>216</v>
      </c>
      <c r="C41" s="14">
        <v>8</v>
      </c>
      <c r="D41" s="14" t="s">
        <v>190</v>
      </c>
      <c r="E41" s="14">
        <v>31</v>
      </c>
      <c r="F41" s="14">
        <v>100</v>
      </c>
      <c r="G41" s="4">
        <v>43993.434652777774</v>
      </c>
      <c r="H41" s="56" t="s">
        <v>625</v>
      </c>
      <c r="I41" s="33">
        <f>6*60+27</f>
        <v>387</v>
      </c>
      <c r="K41" s="14">
        <f t="shared" si="10"/>
        <v>52.493543195116274</v>
      </c>
      <c r="L41" s="14">
        <f t="shared" si="11"/>
        <v>202.94706509999997</v>
      </c>
      <c r="M41" s="14"/>
      <c r="N41" s="14">
        <v>3840.0981999999999</v>
      </c>
      <c r="O41" s="14">
        <v>53423.12839999998</v>
      </c>
      <c r="P41" s="14">
        <v>9704.2466999999997</v>
      </c>
      <c r="R41" s="14">
        <v>135979.59179999999</v>
      </c>
      <c r="S41" s="23">
        <f t="shared" si="12"/>
        <v>177</v>
      </c>
      <c r="T41">
        <v>6</v>
      </c>
      <c r="U41">
        <v>55</v>
      </c>
      <c r="V41">
        <v>18</v>
      </c>
      <c r="X41">
        <v>98</v>
      </c>
      <c r="AC41">
        <v>9</v>
      </c>
      <c r="AD41">
        <v>13</v>
      </c>
      <c r="AG41">
        <v>4</v>
      </c>
      <c r="AH41">
        <v>4</v>
      </c>
      <c r="AI41">
        <v>1</v>
      </c>
      <c r="AJ41">
        <v>1</v>
      </c>
      <c r="AM41">
        <v>9</v>
      </c>
      <c r="AN41">
        <v>7</v>
      </c>
      <c r="AO41">
        <v>1</v>
      </c>
      <c r="AP41">
        <v>3</v>
      </c>
      <c r="AQ41">
        <v>0</v>
      </c>
      <c r="AR41">
        <v>0</v>
      </c>
    </row>
    <row r="42" spans="1:44" ht="15.75" thickBot="1" x14ac:dyDescent="0.3">
      <c r="A42" s="14"/>
      <c r="B42" s="14" t="s">
        <v>216</v>
      </c>
      <c r="C42" s="14">
        <v>9</v>
      </c>
      <c r="D42" s="14" t="s">
        <v>190</v>
      </c>
      <c r="E42" s="14">
        <v>36</v>
      </c>
      <c r="F42" s="14">
        <v>20</v>
      </c>
      <c r="G42" s="4">
        <v>43993.654409722221</v>
      </c>
      <c r="H42" s="56" t="s">
        <v>626</v>
      </c>
      <c r="I42" s="33">
        <f>6*60+50</f>
        <v>410</v>
      </c>
      <c r="K42" s="14">
        <f t="shared" ref="K42:K43" si="13">((R42+Q42+L42+N42+O42+P42)*100)/(1000*I42)</f>
        <v>84.131862302292703</v>
      </c>
      <c r="L42" s="14">
        <f t="shared" ref="L42:L43" si="14">SUM(N42:R42)/1000</f>
        <v>344.59603940000005</v>
      </c>
      <c r="M42" s="14"/>
      <c r="N42" s="14">
        <v>1314.6387999999999</v>
      </c>
      <c r="O42" s="14">
        <v>35762.598000000005</v>
      </c>
      <c r="P42" s="14">
        <v>12863.888200000003</v>
      </c>
      <c r="R42" s="14">
        <v>294654.91440000007</v>
      </c>
      <c r="S42" s="23">
        <f t="shared" si="12"/>
        <v>157</v>
      </c>
      <c r="T42">
        <v>5</v>
      </c>
      <c r="U42">
        <v>49</v>
      </c>
      <c r="V42">
        <v>24</v>
      </c>
      <c r="X42">
        <v>79</v>
      </c>
      <c r="AC42">
        <v>15</v>
      </c>
      <c r="AD42">
        <v>17</v>
      </c>
      <c r="AG42">
        <v>2</v>
      </c>
      <c r="AH42">
        <v>5</v>
      </c>
      <c r="AI42">
        <v>0</v>
      </c>
      <c r="AJ42">
        <v>0</v>
      </c>
      <c r="AM42">
        <v>6</v>
      </c>
      <c r="AN42">
        <v>8</v>
      </c>
      <c r="AO42">
        <v>5</v>
      </c>
      <c r="AP42">
        <v>6</v>
      </c>
      <c r="AQ42">
        <v>3</v>
      </c>
      <c r="AR42">
        <v>0</v>
      </c>
    </row>
    <row r="43" spans="1:44" ht="15.75" thickBot="1" x14ac:dyDescent="0.3">
      <c r="A43" s="14"/>
      <c r="B43" s="14" t="s">
        <v>216</v>
      </c>
      <c r="C43" s="14">
        <v>10</v>
      </c>
      <c r="D43" s="14" t="s">
        <v>190</v>
      </c>
      <c r="E43" s="14">
        <v>22</v>
      </c>
      <c r="F43" s="14"/>
      <c r="G43" s="4">
        <v>44085.446516203701</v>
      </c>
      <c r="H43" s="56" t="s">
        <v>627</v>
      </c>
      <c r="I43" s="33">
        <f>9*60+50</f>
        <v>590</v>
      </c>
      <c r="K43" s="14">
        <f t="shared" si="13"/>
        <v>63.832223285338962</v>
      </c>
      <c r="L43" s="14">
        <f t="shared" si="14"/>
        <v>376.23388349999993</v>
      </c>
      <c r="M43" s="14"/>
      <c r="N43" s="14">
        <v>1523.1004</v>
      </c>
      <c r="O43" s="14">
        <v>36765.922099999982</v>
      </c>
      <c r="P43" s="14">
        <v>9986.8983999999982</v>
      </c>
      <c r="R43" s="14">
        <v>327957.96259999997</v>
      </c>
      <c r="S43" s="23">
        <f t="shared" si="12"/>
        <v>155</v>
      </c>
      <c r="T43">
        <v>4</v>
      </c>
      <c r="U43">
        <v>48</v>
      </c>
      <c r="V43">
        <v>20</v>
      </c>
      <c r="X43">
        <v>83</v>
      </c>
      <c r="AC43">
        <v>11</v>
      </c>
      <c r="AD43">
        <v>14</v>
      </c>
      <c r="AG43">
        <v>2</v>
      </c>
      <c r="AH43">
        <v>3</v>
      </c>
      <c r="AI43">
        <v>0</v>
      </c>
      <c r="AJ43">
        <v>0</v>
      </c>
      <c r="AM43">
        <v>10</v>
      </c>
      <c r="AN43">
        <v>9</v>
      </c>
      <c r="AO43">
        <v>2</v>
      </c>
      <c r="AP43">
        <v>5</v>
      </c>
      <c r="AQ43">
        <v>0</v>
      </c>
      <c r="AR43">
        <v>0</v>
      </c>
    </row>
    <row r="44" spans="1:44" x14ac:dyDescent="0.25">
      <c r="K44" s="14">
        <f>AVERAGE(K36:K43)</f>
        <v>64.587147869756791</v>
      </c>
      <c r="L44" s="14">
        <f>AVERAGE(L34:L43)</f>
        <v>338.76305468999999</v>
      </c>
      <c r="M44" s="14"/>
      <c r="N44" s="14">
        <f>AVERAGE(N36:N43)/1000</f>
        <v>2.9884201749999999</v>
      </c>
      <c r="O44" s="14">
        <f>AVERAGE(O36:O43)/1000</f>
        <v>39.939914587499999</v>
      </c>
      <c r="P44" s="14">
        <f>AVERAGE(P36:P43)/1000</f>
        <v>11.1019653625</v>
      </c>
      <c r="Q44" s="14"/>
      <c r="R44" s="14">
        <f>AVERAGE(R34:R43)/1000</f>
        <v>283.35177379999999</v>
      </c>
      <c r="S44" s="52">
        <f>AVERAGE(S34:S43)</f>
        <v>193.5</v>
      </c>
    </row>
    <row r="49" spans="14:44" x14ac:dyDescent="0.25">
      <c r="O49" s="23">
        <v>26609.979300000006</v>
      </c>
      <c r="P49" s="23">
        <v>9618.7564000000002</v>
      </c>
      <c r="Q49" s="23">
        <v>169354.29199999999</v>
      </c>
      <c r="R49" s="23">
        <v>235690.29249999998</v>
      </c>
      <c r="S49" s="23">
        <f>SUM(T49:X49)</f>
        <v>231</v>
      </c>
      <c r="T49">
        <v>0</v>
      </c>
      <c r="U49">
        <v>26</v>
      </c>
      <c r="V49">
        <v>19</v>
      </c>
      <c r="W49">
        <v>90</v>
      </c>
      <c r="X49">
        <v>96</v>
      </c>
      <c r="Y49">
        <v>8</v>
      </c>
      <c r="Z49">
        <v>9</v>
      </c>
      <c r="AA49">
        <v>16</v>
      </c>
      <c r="AB49">
        <v>16</v>
      </c>
      <c r="AC49">
        <v>7</v>
      </c>
      <c r="AD49">
        <v>8</v>
      </c>
      <c r="AE49">
        <v>0</v>
      </c>
      <c r="AF49">
        <v>0</v>
      </c>
      <c r="AG49">
        <v>0</v>
      </c>
      <c r="AH49">
        <v>0</v>
      </c>
      <c r="AI49">
        <v>0</v>
      </c>
      <c r="AJ49">
        <v>0</v>
      </c>
      <c r="AK49">
        <v>25</v>
      </c>
      <c r="AL49">
        <v>24</v>
      </c>
      <c r="AM49">
        <v>1</v>
      </c>
      <c r="AN49">
        <v>0</v>
      </c>
      <c r="AO49">
        <v>0</v>
      </c>
      <c r="AP49">
        <v>0</v>
      </c>
      <c r="AQ49">
        <v>0</v>
      </c>
      <c r="AR49">
        <v>0</v>
      </c>
    </row>
    <row r="50" spans="14:44" x14ac:dyDescent="0.25">
      <c r="N50">
        <v>1575.0800999999999</v>
      </c>
      <c r="O50">
        <v>20885.705500000004</v>
      </c>
      <c r="P50">
        <v>20509.798600000006</v>
      </c>
      <c r="Q50">
        <v>134041.10830000002</v>
      </c>
      <c r="R50">
        <v>102883.82739999999</v>
      </c>
      <c r="S50" s="23">
        <f t="shared" ref="S50" si="15">SUM(T50:X50)</f>
        <v>246</v>
      </c>
      <c r="T50">
        <v>1</v>
      </c>
      <c r="U50">
        <v>28</v>
      </c>
      <c r="V50">
        <v>34</v>
      </c>
      <c r="W50">
        <v>113</v>
      </c>
      <c r="X50">
        <v>70</v>
      </c>
      <c r="Y50">
        <v>21</v>
      </c>
      <c r="Z50">
        <v>19</v>
      </c>
      <c r="AA50">
        <v>11</v>
      </c>
      <c r="AB50">
        <v>13</v>
      </c>
      <c r="AC50">
        <v>14</v>
      </c>
      <c r="AD50">
        <v>13</v>
      </c>
      <c r="AE50">
        <v>0</v>
      </c>
      <c r="AF50">
        <v>0</v>
      </c>
      <c r="AG50">
        <v>0</v>
      </c>
      <c r="AH50">
        <v>1</v>
      </c>
      <c r="AI50">
        <v>1</v>
      </c>
      <c r="AJ50">
        <v>0</v>
      </c>
      <c r="AK50">
        <v>14</v>
      </c>
      <c r="AL50">
        <v>14</v>
      </c>
      <c r="AM50">
        <v>0</v>
      </c>
      <c r="AN50">
        <v>0</v>
      </c>
      <c r="AO50">
        <v>0</v>
      </c>
      <c r="AP50">
        <v>0</v>
      </c>
      <c r="AQ50">
        <v>0</v>
      </c>
      <c r="AR50">
        <v>0</v>
      </c>
    </row>
    <row r="51" spans="14:44" x14ac:dyDescent="0.25">
      <c r="N51">
        <v>159.47540000000001</v>
      </c>
      <c r="O51">
        <v>21563.148999999994</v>
      </c>
      <c r="P51">
        <v>9417.2123000000011</v>
      </c>
      <c r="Q51">
        <v>140186.79119999998</v>
      </c>
      <c r="R51">
        <v>151684.62279999998</v>
      </c>
      <c r="S51" s="23">
        <f t="shared" ref="S51" si="16">SUM(T51:X51)</f>
        <v>205</v>
      </c>
      <c r="T51">
        <v>1</v>
      </c>
      <c r="U51">
        <v>30</v>
      </c>
      <c r="V51">
        <v>23</v>
      </c>
      <c r="W51">
        <v>99</v>
      </c>
      <c r="X51" s="28">
        <v>52</v>
      </c>
      <c r="Y51">
        <v>15</v>
      </c>
      <c r="Z51">
        <v>8</v>
      </c>
      <c r="AA51">
        <v>14</v>
      </c>
      <c r="AB51">
        <v>21</v>
      </c>
      <c r="AC51">
        <v>12</v>
      </c>
      <c r="AD51">
        <v>6</v>
      </c>
      <c r="AE51">
        <v>0</v>
      </c>
      <c r="AF51">
        <v>0</v>
      </c>
      <c r="AG51">
        <v>0</v>
      </c>
      <c r="AH51">
        <v>1</v>
      </c>
      <c r="AI51">
        <v>1</v>
      </c>
      <c r="AJ51">
        <v>0</v>
      </c>
      <c r="AK51">
        <v>16</v>
      </c>
      <c r="AL51">
        <v>16</v>
      </c>
      <c r="AM51">
        <v>0</v>
      </c>
      <c r="AN51">
        <v>0</v>
      </c>
      <c r="AO51">
        <v>0</v>
      </c>
      <c r="AP51">
        <v>0</v>
      </c>
      <c r="AQ51">
        <v>0</v>
      </c>
      <c r="AR51">
        <v>0</v>
      </c>
    </row>
    <row r="52" spans="14:44" x14ac:dyDescent="0.25">
      <c r="N52">
        <v>2292.3015</v>
      </c>
      <c r="O52">
        <v>16903.231499999998</v>
      </c>
      <c r="P52">
        <v>10164.232900000003</v>
      </c>
      <c r="Q52">
        <v>84443.604500000001</v>
      </c>
      <c r="R52" s="28">
        <v>153384.37890000001</v>
      </c>
      <c r="S52" s="23">
        <f t="shared" ref="S52" si="17">SUM(T52:X52)</f>
        <v>189</v>
      </c>
      <c r="T52">
        <v>8</v>
      </c>
      <c r="U52">
        <v>35</v>
      </c>
      <c r="V52">
        <v>13</v>
      </c>
      <c r="W52">
        <v>76</v>
      </c>
      <c r="X52">
        <v>57</v>
      </c>
      <c r="Y52">
        <v>7</v>
      </c>
      <c r="Z52">
        <v>6</v>
      </c>
      <c r="AA52">
        <v>18</v>
      </c>
      <c r="AB52">
        <v>19</v>
      </c>
      <c r="AC52">
        <v>5</v>
      </c>
      <c r="AD52">
        <v>6</v>
      </c>
      <c r="AE52">
        <v>0</v>
      </c>
      <c r="AF52">
        <v>0</v>
      </c>
      <c r="AG52">
        <v>4</v>
      </c>
      <c r="AH52">
        <v>6</v>
      </c>
      <c r="AI52">
        <v>2</v>
      </c>
      <c r="AJ52">
        <v>0</v>
      </c>
      <c r="AK52">
        <v>11</v>
      </c>
      <c r="AL52">
        <v>11</v>
      </c>
      <c r="AM52">
        <v>0</v>
      </c>
      <c r="AN52">
        <v>0</v>
      </c>
      <c r="AO52">
        <v>0</v>
      </c>
      <c r="AP52">
        <v>0</v>
      </c>
      <c r="AQ52">
        <v>0</v>
      </c>
      <c r="AR52">
        <v>0</v>
      </c>
    </row>
    <row r="53" spans="14:44" x14ac:dyDescent="0.25">
      <c r="N53">
        <v>360.12369999999999</v>
      </c>
      <c r="O53">
        <v>15949.7024</v>
      </c>
      <c r="P53">
        <v>14019.505499999999</v>
      </c>
      <c r="Q53">
        <v>112946.52549999996</v>
      </c>
      <c r="R53">
        <v>344571.53399999999</v>
      </c>
      <c r="S53" s="23">
        <f t="shared" ref="S53:S54" si="18">SUM(T53:X53)</f>
        <v>248</v>
      </c>
      <c r="T53" s="24">
        <v>1</v>
      </c>
      <c r="U53" s="24">
        <v>25</v>
      </c>
      <c r="V53" s="24">
        <v>28</v>
      </c>
      <c r="W53" s="24">
        <v>85</v>
      </c>
      <c r="X53" s="24">
        <v>109</v>
      </c>
      <c r="Y53">
        <v>20</v>
      </c>
      <c r="Z53">
        <v>11</v>
      </c>
      <c r="AA53">
        <v>6</v>
      </c>
      <c r="AB53">
        <v>18</v>
      </c>
      <c r="AC53">
        <v>17</v>
      </c>
      <c r="AD53">
        <v>6</v>
      </c>
      <c r="AE53">
        <v>0</v>
      </c>
      <c r="AF53">
        <v>0</v>
      </c>
      <c r="AG53">
        <v>1</v>
      </c>
      <c r="AH53">
        <v>1</v>
      </c>
      <c r="AI53">
        <v>0</v>
      </c>
      <c r="AJ53">
        <v>0</v>
      </c>
      <c r="AK53">
        <v>23</v>
      </c>
      <c r="AL53">
        <v>20</v>
      </c>
      <c r="AM53">
        <v>1</v>
      </c>
      <c r="AN53">
        <v>0</v>
      </c>
      <c r="AO53">
        <v>2</v>
      </c>
      <c r="AP53">
        <v>0</v>
      </c>
      <c r="AQ53">
        <v>0</v>
      </c>
      <c r="AR53">
        <v>0</v>
      </c>
    </row>
    <row r="54" spans="14:44" x14ac:dyDescent="0.25">
      <c r="O54">
        <v>16658.307599999996</v>
      </c>
      <c r="P54">
        <v>9121.8685999999998</v>
      </c>
      <c r="Q54">
        <v>134839.3971</v>
      </c>
      <c r="R54">
        <v>171212.31559999994</v>
      </c>
      <c r="S54" s="23">
        <f t="shared" si="18"/>
        <v>257</v>
      </c>
      <c r="T54">
        <v>0</v>
      </c>
      <c r="U54">
        <v>25</v>
      </c>
      <c r="V54">
        <v>20</v>
      </c>
      <c r="W54">
        <v>140</v>
      </c>
      <c r="X54">
        <v>72</v>
      </c>
      <c r="Y54">
        <v>14</v>
      </c>
      <c r="Z54">
        <v>8</v>
      </c>
      <c r="AA54">
        <v>9</v>
      </c>
      <c r="AB54">
        <v>14</v>
      </c>
      <c r="AC54">
        <v>11</v>
      </c>
      <c r="AD54">
        <v>5</v>
      </c>
      <c r="AE54">
        <v>0</v>
      </c>
      <c r="AF54">
        <v>0</v>
      </c>
      <c r="AG54">
        <v>0</v>
      </c>
      <c r="AH54">
        <v>0</v>
      </c>
      <c r="AI54">
        <v>0</v>
      </c>
      <c r="AJ54">
        <v>0</v>
      </c>
      <c r="AK54">
        <v>13</v>
      </c>
      <c r="AL54">
        <v>13</v>
      </c>
      <c r="AM54">
        <v>0</v>
      </c>
      <c r="AN54">
        <v>1</v>
      </c>
      <c r="AO54">
        <v>0</v>
      </c>
      <c r="AP54">
        <v>0</v>
      </c>
      <c r="AQ54">
        <v>0</v>
      </c>
      <c r="AR54">
        <v>0</v>
      </c>
    </row>
  </sheetData>
  <mergeCells count="10">
    <mergeCell ref="N1:R1"/>
    <mergeCell ref="T1:X1"/>
    <mergeCell ref="G1:G2"/>
    <mergeCell ref="A1:A2"/>
    <mergeCell ref="B1:B2"/>
    <mergeCell ref="C1:C2"/>
    <mergeCell ref="D1:D2"/>
    <mergeCell ref="E1:E2"/>
    <mergeCell ref="F1:F2"/>
    <mergeCell ref="I1:I2"/>
  </mergeCells>
  <pageMargins left="0.7" right="0.7" top="0.75" bottom="0.75" header="0.3" footer="0.3"/>
  <pageSetup paperSize="9" orientation="portrait" horizontalDpi="90" verticalDpi="90" r:id="rId1"/>
  <ignoredErrors>
    <ignoredError sqref="S4:S5 S7 S9 S11:S1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3"/>
  <sheetViews>
    <sheetView topLeftCell="A25" workbookViewId="0">
      <selection activeCell="G14" sqref="G14:G23"/>
    </sheetView>
  </sheetViews>
  <sheetFormatPr defaultRowHeight="15" x14ac:dyDescent="0.25"/>
  <cols>
    <col min="1" max="1" width="11.7109375" bestFit="1" customWidth="1"/>
    <col min="2" max="2" width="15.28515625" bestFit="1" customWidth="1"/>
    <col min="3" max="3" width="17.5703125" bestFit="1" customWidth="1"/>
    <col min="6" max="7" width="16" customWidth="1"/>
    <col min="15" max="15" width="7.7109375" customWidth="1"/>
    <col min="16" max="18" width="6.85546875" customWidth="1"/>
    <col min="19" max="19" width="144.42578125" hidden="1" customWidth="1"/>
    <col min="20" max="20" width="183.7109375" customWidth="1"/>
    <col min="21" max="21" width="133.140625" customWidth="1"/>
    <col min="22" max="22" width="68.42578125" customWidth="1"/>
  </cols>
  <sheetData>
    <row r="1" spans="1:28" ht="15.75" thickBot="1" x14ac:dyDescent="0.3"/>
    <row r="2" spans="1:28" ht="345.75" thickBot="1" x14ac:dyDescent="0.3">
      <c r="A2" s="10" t="s">
        <v>159</v>
      </c>
      <c r="B2" s="10" t="s">
        <v>214</v>
      </c>
      <c r="C2" s="10" t="s">
        <v>160</v>
      </c>
      <c r="D2" s="10"/>
      <c r="E2" s="10" t="s">
        <v>138</v>
      </c>
      <c r="F2" s="12" t="s">
        <v>161</v>
      </c>
      <c r="G2" s="50"/>
      <c r="H2" s="25" t="s">
        <v>245</v>
      </c>
      <c r="I2" s="25" t="s">
        <v>246</v>
      </c>
      <c r="J2" s="25" t="s">
        <v>247</v>
      </c>
      <c r="K2" s="25" t="s">
        <v>248</v>
      </c>
      <c r="L2" s="25" t="s">
        <v>249</v>
      </c>
      <c r="M2" s="25" t="s">
        <v>250</v>
      </c>
      <c r="N2" s="25" t="s">
        <v>251</v>
      </c>
      <c r="O2" s="25" t="s">
        <v>252</v>
      </c>
      <c r="P2" s="25" t="s">
        <v>253</v>
      </c>
      <c r="Q2" s="25" t="s">
        <v>505</v>
      </c>
      <c r="R2" s="25" t="s">
        <v>506</v>
      </c>
      <c r="S2" s="26" t="s">
        <v>258</v>
      </c>
      <c r="T2" s="26" t="s">
        <v>259</v>
      </c>
      <c r="U2" s="26" t="s">
        <v>260</v>
      </c>
      <c r="V2" s="26" t="s">
        <v>261</v>
      </c>
      <c r="W2" s="3"/>
      <c r="X2" s="3"/>
      <c r="Y2" s="3"/>
      <c r="Z2" s="3"/>
      <c r="AA2" s="3"/>
      <c r="AB2" s="3"/>
    </row>
    <row r="3" spans="1:28" s="31" customFormat="1" ht="15.75" thickBot="1" x14ac:dyDescent="0.3">
      <c r="A3" s="31" t="s">
        <v>189</v>
      </c>
      <c r="B3" s="31" t="s">
        <v>215</v>
      </c>
      <c r="C3" s="31">
        <v>1</v>
      </c>
      <c r="D3" s="31" t="s">
        <v>190</v>
      </c>
      <c r="E3" s="31">
        <v>27</v>
      </c>
      <c r="F3" s="31">
        <v>2</v>
      </c>
      <c r="G3" s="56" t="s">
        <v>578</v>
      </c>
      <c r="H3" s="38">
        <v>1</v>
      </c>
      <c r="I3" s="38">
        <v>1</v>
      </c>
      <c r="J3" s="38">
        <v>1</v>
      </c>
      <c r="K3" s="38">
        <v>2</v>
      </c>
      <c r="L3" s="38">
        <v>1</v>
      </c>
      <c r="M3" s="38">
        <v>1</v>
      </c>
      <c r="N3" s="38">
        <v>1</v>
      </c>
      <c r="O3" s="38">
        <v>1</v>
      </c>
      <c r="P3" s="38">
        <v>2</v>
      </c>
      <c r="Q3" s="38">
        <f>AVERAGE(H3:M3)</f>
        <v>1.1666666666666667</v>
      </c>
      <c r="R3" s="38">
        <f>AVERAGE(N3:P3)</f>
        <v>1.3333333333333333</v>
      </c>
      <c r="S3" s="41" t="s">
        <v>254</v>
      </c>
      <c r="T3" s="41" t="s">
        <v>255</v>
      </c>
      <c r="U3" s="41" t="s">
        <v>256</v>
      </c>
      <c r="V3" s="42" t="s">
        <v>257</v>
      </c>
      <c r="W3" s="41"/>
      <c r="X3" s="41"/>
      <c r="Y3" s="41"/>
      <c r="Z3" s="41"/>
      <c r="AA3" s="41"/>
      <c r="AB3" s="41"/>
    </row>
    <row r="4" spans="1:28" s="31" customFormat="1" ht="15.75" thickBot="1" x14ac:dyDescent="0.3">
      <c r="B4" s="31" t="s">
        <v>215</v>
      </c>
      <c r="C4" s="31">
        <v>2</v>
      </c>
      <c r="D4" s="31" t="s">
        <v>190</v>
      </c>
      <c r="E4" s="31">
        <v>31</v>
      </c>
      <c r="F4" s="31">
        <v>0</v>
      </c>
      <c r="G4" s="56" t="s">
        <v>579</v>
      </c>
      <c r="H4" s="38">
        <v>3</v>
      </c>
      <c r="I4" s="38">
        <v>3</v>
      </c>
      <c r="J4" s="38">
        <v>1</v>
      </c>
      <c r="K4" s="38">
        <v>2</v>
      </c>
      <c r="L4" s="38">
        <v>3</v>
      </c>
      <c r="M4" s="38">
        <v>2</v>
      </c>
      <c r="N4" s="38">
        <v>4</v>
      </c>
      <c r="O4" s="38">
        <v>4</v>
      </c>
      <c r="P4" s="38">
        <v>3</v>
      </c>
      <c r="Q4" s="38">
        <f t="shared" ref="Q4:Q5" si="0">AVERAGE(H4:M4)</f>
        <v>2.3333333333333335</v>
      </c>
      <c r="R4" s="38">
        <f t="shared" ref="R4:R5" si="1">AVERAGE(N4:P4)</f>
        <v>3.6666666666666665</v>
      </c>
      <c r="S4" s="41" t="s">
        <v>451</v>
      </c>
      <c r="T4" s="41" t="s">
        <v>452</v>
      </c>
      <c r="U4" s="41" t="s">
        <v>453</v>
      </c>
      <c r="V4" s="42" t="s">
        <v>454</v>
      </c>
      <c r="W4" s="41"/>
      <c r="X4" s="41"/>
      <c r="Y4" s="41"/>
      <c r="Z4" s="41"/>
      <c r="AA4" s="41"/>
      <c r="AB4" s="41"/>
    </row>
    <row r="5" spans="1:28" s="31" customFormat="1" ht="15.75" thickBot="1" x14ac:dyDescent="0.3">
      <c r="B5" s="31" t="s">
        <v>215</v>
      </c>
      <c r="C5" s="31">
        <v>3</v>
      </c>
      <c r="D5" s="31" t="s">
        <v>190</v>
      </c>
      <c r="E5" s="31">
        <v>32</v>
      </c>
      <c r="F5" s="31">
        <v>20</v>
      </c>
      <c r="G5" s="56" t="s">
        <v>580</v>
      </c>
      <c r="H5" s="38">
        <v>1</v>
      </c>
      <c r="I5" s="38">
        <v>1</v>
      </c>
      <c r="J5" s="38">
        <v>1</v>
      </c>
      <c r="K5" s="38">
        <v>3</v>
      </c>
      <c r="L5" s="38">
        <v>1</v>
      </c>
      <c r="M5" s="38">
        <v>1</v>
      </c>
      <c r="N5" s="38">
        <v>2</v>
      </c>
      <c r="O5" s="38">
        <v>1</v>
      </c>
      <c r="P5" s="38">
        <v>3</v>
      </c>
      <c r="Q5" s="38">
        <f t="shared" si="0"/>
        <v>1.3333333333333333</v>
      </c>
      <c r="R5" s="38">
        <f t="shared" si="1"/>
        <v>2</v>
      </c>
      <c r="S5" s="41" t="s">
        <v>262</v>
      </c>
      <c r="T5" s="41" t="s">
        <v>263</v>
      </c>
      <c r="U5" s="41" t="s">
        <v>264</v>
      </c>
      <c r="V5" s="42" t="s">
        <v>265</v>
      </c>
      <c r="W5" s="41"/>
      <c r="X5" s="41"/>
      <c r="Y5" s="41"/>
      <c r="Z5" s="41"/>
      <c r="AA5" s="41"/>
      <c r="AB5" s="41"/>
    </row>
    <row r="6" spans="1:28" s="31" customFormat="1" ht="15.75" thickBot="1" x14ac:dyDescent="0.3">
      <c r="B6" s="31" t="s">
        <v>215</v>
      </c>
      <c r="C6" s="31">
        <v>4</v>
      </c>
      <c r="D6" s="31" t="s">
        <v>190</v>
      </c>
      <c r="E6" s="31">
        <v>23</v>
      </c>
      <c r="F6" s="31">
        <v>0</v>
      </c>
      <c r="G6" s="56" t="s">
        <v>581</v>
      </c>
      <c r="H6" s="38">
        <v>1</v>
      </c>
      <c r="I6" s="38">
        <v>3</v>
      </c>
      <c r="J6" s="38">
        <v>1</v>
      </c>
      <c r="K6" s="38">
        <v>1</v>
      </c>
      <c r="L6" s="38">
        <v>1</v>
      </c>
      <c r="M6" s="38">
        <v>3</v>
      </c>
      <c r="N6" s="38">
        <v>1</v>
      </c>
      <c r="O6" s="38">
        <v>1</v>
      </c>
      <c r="P6" s="38">
        <v>1</v>
      </c>
      <c r="Q6" s="38">
        <f t="shared" ref="Q6:Q43" si="2">AVERAGE(H6:M6)</f>
        <v>1.6666666666666667</v>
      </c>
      <c r="R6" s="38">
        <f t="shared" ref="R6:R43" si="3">AVERAGE(N6:P6)</f>
        <v>1</v>
      </c>
      <c r="S6" s="41" t="s">
        <v>266</v>
      </c>
      <c r="T6" s="41" t="s">
        <v>267</v>
      </c>
      <c r="U6" s="41" t="s">
        <v>268</v>
      </c>
      <c r="V6" s="42" t="s">
        <v>269</v>
      </c>
      <c r="W6" s="41"/>
      <c r="X6" s="41"/>
      <c r="Y6" s="41"/>
      <c r="Z6" s="41"/>
      <c r="AA6" s="41"/>
      <c r="AB6" s="41"/>
    </row>
    <row r="7" spans="1:28" s="31" customFormat="1" ht="15.75" thickBot="1" x14ac:dyDescent="0.3">
      <c r="B7" s="31" t="s">
        <v>215</v>
      </c>
      <c r="C7" s="31">
        <v>5</v>
      </c>
      <c r="D7" s="31" t="s">
        <v>190</v>
      </c>
      <c r="E7" s="31">
        <v>23</v>
      </c>
      <c r="F7" s="31">
        <v>0</v>
      </c>
      <c r="G7" s="56" t="s">
        <v>582</v>
      </c>
      <c r="H7" s="38">
        <v>1</v>
      </c>
      <c r="I7" s="38">
        <v>2</v>
      </c>
      <c r="J7" s="38">
        <v>1</v>
      </c>
      <c r="K7" s="38">
        <v>2</v>
      </c>
      <c r="L7" s="38">
        <v>1</v>
      </c>
      <c r="M7" s="38">
        <v>1</v>
      </c>
      <c r="N7" s="38">
        <v>1</v>
      </c>
      <c r="O7" s="38">
        <v>3</v>
      </c>
      <c r="P7" s="38">
        <v>2</v>
      </c>
      <c r="Q7" s="38">
        <f t="shared" si="2"/>
        <v>1.3333333333333333</v>
      </c>
      <c r="R7" s="38">
        <f t="shared" si="3"/>
        <v>2</v>
      </c>
      <c r="S7" s="41" t="s">
        <v>270</v>
      </c>
      <c r="T7" s="41" t="s">
        <v>271</v>
      </c>
      <c r="U7" s="41" t="s">
        <v>272</v>
      </c>
      <c r="V7" s="41" t="s">
        <v>273</v>
      </c>
      <c r="W7" s="41"/>
      <c r="X7" s="41"/>
      <c r="Y7" s="41"/>
      <c r="Z7" s="41"/>
      <c r="AA7" s="41"/>
      <c r="AB7" s="41"/>
    </row>
    <row r="8" spans="1:28" s="31" customFormat="1" ht="15.75" thickBot="1" x14ac:dyDescent="0.3">
      <c r="B8" s="31" t="s">
        <v>215</v>
      </c>
      <c r="C8" s="31">
        <v>6</v>
      </c>
      <c r="D8" s="31" t="s">
        <v>194</v>
      </c>
      <c r="E8" s="31">
        <v>25</v>
      </c>
      <c r="F8" s="31">
        <v>50</v>
      </c>
      <c r="G8" s="56" t="s">
        <v>583</v>
      </c>
      <c r="H8" s="38">
        <v>6</v>
      </c>
      <c r="I8" s="38">
        <v>6</v>
      </c>
      <c r="J8" s="38">
        <v>7</v>
      </c>
      <c r="K8" s="38">
        <v>7</v>
      </c>
      <c r="L8" s="38">
        <v>7</v>
      </c>
      <c r="M8" s="38">
        <v>7</v>
      </c>
      <c r="N8" s="38">
        <v>7</v>
      </c>
      <c r="O8" s="38">
        <v>7</v>
      </c>
      <c r="P8" s="38">
        <v>5</v>
      </c>
      <c r="Q8" s="38">
        <f t="shared" si="2"/>
        <v>6.666666666666667</v>
      </c>
      <c r="R8" s="38">
        <f t="shared" si="3"/>
        <v>6.333333333333333</v>
      </c>
      <c r="S8" s="41" t="s">
        <v>274</v>
      </c>
      <c r="T8" s="41" t="s">
        <v>275</v>
      </c>
      <c r="U8" s="41" t="s">
        <v>276</v>
      </c>
      <c r="V8" s="42" t="s">
        <v>277</v>
      </c>
      <c r="W8" s="41"/>
      <c r="X8" s="41"/>
      <c r="Y8" s="41"/>
      <c r="Z8" s="41"/>
      <c r="AA8" s="41"/>
      <c r="AB8" s="41"/>
    </row>
    <row r="9" spans="1:28" s="31" customFormat="1" ht="15.75" thickBot="1" x14ac:dyDescent="0.3">
      <c r="B9" s="31" t="s">
        <v>215</v>
      </c>
      <c r="C9" s="31">
        <v>7</v>
      </c>
      <c r="D9" s="31" t="s">
        <v>190</v>
      </c>
      <c r="E9" s="31">
        <v>22</v>
      </c>
      <c r="F9" s="31">
        <v>8</v>
      </c>
      <c r="G9" s="56" t="s">
        <v>584</v>
      </c>
      <c r="H9" s="38">
        <v>1</v>
      </c>
      <c r="I9" s="38">
        <v>1</v>
      </c>
      <c r="J9" s="38">
        <v>2</v>
      </c>
      <c r="K9" s="38">
        <v>1</v>
      </c>
      <c r="L9" s="38">
        <v>1</v>
      </c>
      <c r="M9" s="38">
        <v>1</v>
      </c>
      <c r="N9" s="38">
        <v>2</v>
      </c>
      <c r="O9" s="38">
        <v>2</v>
      </c>
      <c r="P9" s="38">
        <v>2</v>
      </c>
      <c r="Q9" s="38">
        <f t="shared" si="2"/>
        <v>1.1666666666666667</v>
      </c>
      <c r="R9" s="38">
        <f t="shared" si="3"/>
        <v>2</v>
      </c>
      <c r="S9" s="41" t="s">
        <v>278</v>
      </c>
      <c r="T9" s="41" t="s">
        <v>279</v>
      </c>
      <c r="U9" s="41" t="s">
        <v>280</v>
      </c>
      <c r="V9" s="42" t="s">
        <v>281</v>
      </c>
      <c r="W9" s="41"/>
      <c r="X9" s="41"/>
      <c r="Y9" s="41"/>
      <c r="Z9" s="41"/>
      <c r="AA9" s="41"/>
      <c r="AB9" s="41"/>
    </row>
    <row r="10" spans="1:28" s="31" customFormat="1" ht="15.75" thickBot="1" x14ac:dyDescent="0.3">
      <c r="B10" s="31" t="s">
        <v>215</v>
      </c>
      <c r="C10" s="31">
        <v>8</v>
      </c>
      <c r="D10" s="31" t="s">
        <v>190</v>
      </c>
      <c r="E10" s="31">
        <v>31</v>
      </c>
      <c r="F10" s="31">
        <v>6</v>
      </c>
      <c r="G10" s="56" t="s">
        <v>585</v>
      </c>
      <c r="H10" s="38">
        <v>7</v>
      </c>
      <c r="I10" s="38">
        <v>7</v>
      </c>
      <c r="J10" s="38">
        <v>7</v>
      </c>
      <c r="K10" s="38">
        <v>7</v>
      </c>
      <c r="L10" s="38">
        <v>7</v>
      </c>
      <c r="M10" s="38">
        <v>7</v>
      </c>
      <c r="N10" s="38">
        <v>7</v>
      </c>
      <c r="O10" s="38">
        <v>7</v>
      </c>
      <c r="P10" s="38">
        <v>6</v>
      </c>
      <c r="Q10" s="38">
        <f t="shared" si="2"/>
        <v>7</v>
      </c>
      <c r="R10" s="38">
        <f t="shared" si="3"/>
        <v>6.666666666666667</v>
      </c>
      <c r="S10" s="41" t="s">
        <v>282</v>
      </c>
      <c r="T10" s="41" t="s">
        <v>283</v>
      </c>
      <c r="U10" s="41" t="s">
        <v>71</v>
      </c>
      <c r="V10" s="41" t="s">
        <v>284</v>
      </c>
      <c r="W10" s="41"/>
      <c r="X10" s="41"/>
      <c r="Y10" s="41"/>
      <c r="Z10" s="41"/>
      <c r="AA10" s="41"/>
      <c r="AB10" s="41"/>
    </row>
    <row r="11" spans="1:28" s="31" customFormat="1" ht="15.75" thickBot="1" x14ac:dyDescent="0.3">
      <c r="B11" s="31" t="s">
        <v>215</v>
      </c>
      <c r="C11" s="31">
        <v>9</v>
      </c>
      <c r="D11" s="31" t="s">
        <v>194</v>
      </c>
      <c r="E11" s="31">
        <v>22</v>
      </c>
      <c r="F11" s="31">
        <v>0</v>
      </c>
      <c r="G11" s="56" t="s">
        <v>586</v>
      </c>
      <c r="H11" s="38">
        <v>1</v>
      </c>
      <c r="I11" s="38">
        <v>1</v>
      </c>
      <c r="J11" s="38">
        <v>1</v>
      </c>
      <c r="K11" s="38">
        <v>1</v>
      </c>
      <c r="L11" s="38">
        <v>1</v>
      </c>
      <c r="M11" s="38">
        <v>1</v>
      </c>
      <c r="N11" s="38">
        <v>1</v>
      </c>
      <c r="O11" s="38">
        <v>1</v>
      </c>
      <c r="P11" s="38">
        <v>2</v>
      </c>
      <c r="Q11" s="38">
        <f t="shared" si="2"/>
        <v>1</v>
      </c>
      <c r="R11" s="38">
        <f t="shared" si="3"/>
        <v>1.3333333333333333</v>
      </c>
      <c r="S11" s="41" t="s">
        <v>285</v>
      </c>
      <c r="T11" s="41" t="s">
        <v>286</v>
      </c>
      <c r="U11" s="41" t="s">
        <v>71</v>
      </c>
      <c r="V11" s="42" t="s">
        <v>287</v>
      </c>
      <c r="W11" s="41"/>
      <c r="X11" s="41"/>
      <c r="Y11" s="41"/>
      <c r="Z11" s="41"/>
      <c r="AA11" s="41"/>
      <c r="AB11" s="41"/>
    </row>
    <row r="12" spans="1:28" s="31" customFormat="1" ht="15.75" thickBot="1" x14ac:dyDescent="0.3">
      <c r="B12" s="31" t="s">
        <v>215</v>
      </c>
      <c r="C12" s="31">
        <v>10</v>
      </c>
      <c r="D12" s="31" t="s">
        <v>190</v>
      </c>
      <c r="E12" s="31">
        <v>26</v>
      </c>
      <c r="F12" s="31">
        <v>30</v>
      </c>
      <c r="G12" s="56" t="s">
        <v>587</v>
      </c>
      <c r="H12" s="38">
        <v>3</v>
      </c>
      <c r="I12" s="38">
        <v>1</v>
      </c>
      <c r="J12" s="38">
        <v>2</v>
      </c>
      <c r="K12" s="38">
        <v>2</v>
      </c>
      <c r="L12" s="38">
        <v>2</v>
      </c>
      <c r="M12" s="38">
        <v>1</v>
      </c>
      <c r="N12" s="38">
        <v>5</v>
      </c>
      <c r="O12" s="38">
        <v>6</v>
      </c>
      <c r="P12" s="38">
        <v>5</v>
      </c>
      <c r="Q12" s="38">
        <f t="shared" si="2"/>
        <v>1.8333333333333333</v>
      </c>
      <c r="R12" s="38">
        <f t="shared" si="3"/>
        <v>5.333333333333333</v>
      </c>
      <c r="S12" s="41" t="s">
        <v>288</v>
      </c>
      <c r="T12" s="41" t="s">
        <v>289</v>
      </c>
      <c r="U12" s="41" t="s">
        <v>71</v>
      </c>
      <c r="V12" s="42" t="s">
        <v>290</v>
      </c>
      <c r="W12" s="41"/>
      <c r="X12" s="41"/>
      <c r="Y12" s="41"/>
      <c r="Z12" s="41"/>
      <c r="AA12" s="41"/>
      <c r="AB12" s="41"/>
    </row>
    <row r="13" spans="1:28" s="31" customFormat="1" ht="15.75" thickBot="1" x14ac:dyDescent="0.3">
      <c r="B13" s="31" t="s">
        <v>215</v>
      </c>
      <c r="C13" s="31">
        <v>11</v>
      </c>
      <c r="D13" s="31" t="s">
        <v>190</v>
      </c>
      <c r="E13" s="31">
        <v>24</v>
      </c>
      <c r="F13" s="31">
        <v>10</v>
      </c>
      <c r="G13" s="56" t="s">
        <v>588</v>
      </c>
      <c r="H13" s="38">
        <v>1</v>
      </c>
      <c r="I13" s="38">
        <v>1</v>
      </c>
      <c r="J13" s="38">
        <v>3</v>
      </c>
      <c r="K13" s="38">
        <v>1</v>
      </c>
      <c r="L13" s="38">
        <v>1</v>
      </c>
      <c r="M13" s="38">
        <v>2</v>
      </c>
      <c r="N13" s="38">
        <v>2</v>
      </c>
      <c r="O13" s="38">
        <v>1</v>
      </c>
      <c r="P13" s="38">
        <v>3</v>
      </c>
      <c r="Q13" s="38">
        <f t="shared" si="2"/>
        <v>1.5</v>
      </c>
      <c r="R13" s="38">
        <f t="shared" si="3"/>
        <v>2</v>
      </c>
      <c r="S13" s="41" t="s">
        <v>291</v>
      </c>
      <c r="T13" s="41" t="s">
        <v>292</v>
      </c>
      <c r="U13" s="41" t="s">
        <v>5</v>
      </c>
      <c r="V13" s="42" t="s">
        <v>293</v>
      </c>
      <c r="W13" s="41"/>
      <c r="X13" s="41"/>
      <c r="Y13" s="41"/>
      <c r="Z13" s="41"/>
      <c r="AA13" s="41"/>
      <c r="AB13" s="41"/>
    </row>
    <row r="14" spans="1:28" s="31" customFormat="1" ht="15.75" thickBot="1" x14ac:dyDescent="0.3">
      <c r="B14" s="31" t="s">
        <v>216</v>
      </c>
      <c r="C14" s="31">
        <v>1</v>
      </c>
      <c r="D14" s="31" t="s">
        <v>190</v>
      </c>
      <c r="E14" s="31">
        <v>34</v>
      </c>
      <c r="F14" s="31">
        <v>10</v>
      </c>
      <c r="G14" s="56" t="s">
        <v>591</v>
      </c>
      <c r="H14" s="38">
        <v>1</v>
      </c>
      <c r="I14" s="38">
        <v>2</v>
      </c>
      <c r="J14" s="38">
        <v>6</v>
      </c>
      <c r="K14" s="38">
        <v>6</v>
      </c>
      <c r="L14" s="38">
        <v>1</v>
      </c>
      <c r="M14" s="38">
        <v>6</v>
      </c>
      <c r="N14" s="38">
        <v>6</v>
      </c>
      <c r="O14" s="38">
        <v>5</v>
      </c>
      <c r="P14" s="38">
        <v>6</v>
      </c>
      <c r="Q14" s="38">
        <f t="shared" si="2"/>
        <v>3.6666666666666665</v>
      </c>
      <c r="R14" s="38">
        <f t="shared" si="3"/>
        <v>5.666666666666667</v>
      </c>
      <c r="S14" s="41" t="s">
        <v>294</v>
      </c>
      <c r="T14" s="41" t="s">
        <v>295</v>
      </c>
      <c r="U14" s="41" t="s">
        <v>296</v>
      </c>
      <c r="V14" s="42" t="s">
        <v>297</v>
      </c>
      <c r="W14" s="41"/>
      <c r="X14" s="41"/>
      <c r="Y14" s="41"/>
      <c r="Z14" s="41"/>
      <c r="AA14" s="41"/>
      <c r="AB14" s="41"/>
    </row>
    <row r="15" spans="1:28" s="31" customFormat="1" ht="15.75" thickBot="1" x14ac:dyDescent="0.3">
      <c r="B15" s="31" t="s">
        <v>216</v>
      </c>
      <c r="C15" s="31">
        <v>2</v>
      </c>
      <c r="D15" s="31" t="s">
        <v>190</v>
      </c>
      <c r="E15" s="31">
        <v>29</v>
      </c>
      <c r="F15" s="31">
        <v>0</v>
      </c>
      <c r="G15" s="56" t="s">
        <v>592</v>
      </c>
      <c r="H15" s="38">
        <v>6</v>
      </c>
      <c r="I15" s="38">
        <v>5</v>
      </c>
      <c r="J15" s="38">
        <v>2</v>
      </c>
      <c r="K15" s="38">
        <v>4</v>
      </c>
      <c r="L15" s="38">
        <v>2</v>
      </c>
      <c r="M15" s="38">
        <v>2</v>
      </c>
      <c r="N15" s="38">
        <v>2</v>
      </c>
      <c r="O15" s="38">
        <v>2</v>
      </c>
      <c r="P15" s="38">
        <v>2</v>
      </c>
      <c r="Q15" s="38">
        <f t="shared" si="2"/>
        <v>3.5</v>
      </c>
      <c r="R15" s="38">
        <f t="shared" si="3"/>
        <v>2</v>
      </c>
      <c r="S15" s="41" t="s">
        <v>298</v>
      </c>
      <c r="T15" s="41" t="s">
        <v>299</v>
      </c>
      <c r="U15" s="41" t="s">
        <v>300</v>
      </c>
      <c r="V15" s="41" t="s">
        <v>301</v>
      </c>
      <c r="W15" s="41"/>
      <c r="X15" s="41"/>
      <c r="Y15" s="41"/>
      <c r="Z15" s="41"/>
      <c r="AA15" s="41"/>
      <c r="AB15" s="41"/>
    </row>
    <row r="16" spans="1:28" s="31" customFormat="1" ht="15.75" thickBot="1" x14ac:dyDescent="0.3">
      <c r="B16" s="31" t="s">
        <v>216</v>
      </c>
      <c r="C16" s="31">
        <v>4</v>
      </c>
      <c r="D16" s="31" t="s">
        <v>194</v>
      </c>
      <c r="E16" s="31">
        <v>27</v>
      </c>
      <c r="F16" s="31">
        <v>0</v>
      </c>
      <c r="G16" s="56" t="s">
        <v>593</v>
      </c>
      <c r="H16" s="38">
        <v>1</v>
      </c>
      <c r="I16" s="38">
        <v>1</v>
      </c>
      <c r="J16" s="38">
        <v>3</v>
      </c>
      <c r="K16" s="38">
        <v>1</v>
      </c>
      <c r="L16" s="38">
        <v>1</v>
      </c>
      <c r="M16" s="38">
        <v>2</v>
      </c>
      <c r="N16" s="38">
        <v>1</v>
      </c>
      <c r="O16" s="38">
        <v>1</v>
      </c>
      <c r="P16" s="38">
        <v>1</v>
      </c>
      <c r="Q16" s="38">
        <f t="shared" si="2"/>
        <v>1.5</v>
      </c>
      <c r="R16" s="38">
        <f t="shared" si="3"/>
        <v>1</v>
      </c>
      <c r="S16" s="41" t="s">
        <v>309</v>
      </c>
      <c r="T16" s="41" t="s">
        <v>310</v>
      </c>
      <c r="U16" s="41" t="s">
        <v>311</v>
      </c>
      <c r="V16" s="42" t="s">
        <v>312</v>
      </c>
      <c r="W16" s="41"/>
      <c r="X16" s="41"/>
      <c r="Y16" s="41"/>
      <c r="Z16" s="41"/>
      <c r="AA16" s="41"/>
      <c r="AB16" s="41"/>
    </row>
    <row r="17" spans="1:28" s="31" customFormat="1" ht="15.75" thickBot="1" x14ac:dyDescent="0.3">
      <c r="B17" s="31" t="s">
        <v>216</v>
      </c>
      <c r="C17" s="31">
        <v>5</v>
      </c>
      <c r="D17" s="31" t="s">
        <v>190</v>
      </c>
      <c r="E17" s="31">
        <v>22</v>
      </c>
      <c r="F17" s="31">
        <v>150</v>
      </c>
      <c r="G17" s="56" t="s">
        <v>594</v>
      </c>
      <c r="H17" s="38">
        <v>2</v>
      </c>
      <c r="I17" s="38">
        <v>2</v>
      </c>
      <c r="J17" s="38">
        <v>2</v>
      </c>
      <c r="K17" s="38">
        <v>1</v>
      </c>
      <c r="L17" s="38">
        <v>1</v>
      </c>
      <c r="M17" s="38">
        <v>2</v>
      </c>
      <c r="N17" s="38">
        <v>2</v>
      </c>
      <c r="O17" s="38">
        <v>1</v>
      </c>
      <c r="P17" s="38">
        <v>1</v>
      </c>
      <c r="Q17" s="38">
        <f t="shared" si="2"/>
        <v>1.6666666666666667</v>
      </c>
      <c r="R17" s="38">
        <f t="shared" si="3"/>
        <v>1.3333333333333333</v>
      </c>
      <c r="S17" s="41" t="s">
        <v>313</v>
      </c>
      <c r="T17" s="41" t="s">
        <v>314</v>
      </c>
      <c r="U17" s="41" t="s">
        <v>315</v>
      </c>
      <c r="V17" s="42" t="s">
        <v>316</v>
      </c>
      <c r="W17" s="41"/>
      <c r="X17" s="41"/>
      <c r="Y17" s="41"/>
      <c r="Z17" s="41"/>
      <c r="AA17" s="41"/>
      <c r="AB17" s="41"/>
    </row>
    <row r="18" spans="1:28" s="31" customFormat="1" ht="15.75" thickBot="1" x14ac:dyDescent="0.3">
      <c r="B18" s="31" t="s">
        <v>216</v>
      </c>
      <c r="C18" s="31">
        <v>6</v>
      </c>
      <c r="D18" s="31" t="s">
        <v>190</v>
      </c>
      <c r="E18" s="31">
        <v>24</v>
      </c>
      <c r="F18" s="31">
        <v>20</v>
      </c>
      <c r="G18" s="56" t="s">
        <v>595</v>
      </c>
      <c r="H18" s="38">
        <v>1</v>
      </c>
      <c r="I18" s="38">
        <v>1</v>
      </c>
      <c r="J18" s="38">
        <v>1</v>
      </c>
      <c r="K18" s="38">
        <v>1</v>
      </c>
      <c r="L18" s="38">
        <v>1</v>
      </c>
      <c r="M18" s="38">
        <v>1</v>
      </c>
      <c r="N18" s="38">
        <v>1</v>
      </c>
      <c r="O18" s="38">
        <v>1</v>
      </c>
      <c r="P18" s="38">
        <v>1</v>
      </c>
      <c r="Q18" s="38">
        <f t="shared" si="2"/>
        <v>1</v>
      </c>
      <c r="R18" s="38">
        <f t="shared" si="3"/>
        <v>1</v>
      </c>
      <c r="S18" s="41" t="s">
        <v>317</v>
      </c>
      <c r="T18" s="41" t="s">
        <v>318</v>
      </c>
      <c r="U18" s="41" t="s">
        <v>319</v>
      </c>
      <c r="V18" s="42" t="s">
        <v>320</v>
      </c>
      <c r="W18" s="41"/>
      <c r="X18" s="41"/>
      <c r="Y18" s="41"/>
      <c r="Z18" s="41"/>
      <c r="AA18" s="41"/>
      <c r="AB18" s="41"/>
    </row>
    <row r="19" spans="1:28" s="31" customFormat="1" ht="15.75" thickBot="1" x14ac:dyDescent="0.3">
      <c r="B19" s="31" t="s">
        <v>216</v>
      </c>
      <c r="C19" s="31">
        <v>7</v>
      </c>
      <c r="D19" s="31" t="s">
        <v>190</v>
      </c>
      <c r="E19" s="31">
        <v>23</v>
      </c>
      <c r="F19" s="31">
        <v>10</v>
      </c>
      <c r="G19" s="56" t="s">
        <v>596</v>
      </c>
      <c r="H19" s="38">
        <v>1</v>
      </c>
      <c r="I19" s="38">
        <v>1</v>
      </c>
      <c r="J19" s="38">
        <v>1</v>
      </c>
      <c r="K19" s="38">
        <v>1</v>
      </c>
      <c r="L19" s="38">
        <v>1</v>
      </c>
      <c r="M19" s="38">
        <v>2</v>
      </c>
      <c r="N19" s="38">
        <v>2</v>
      </c>
      <c r="O19" s="38">
        <v>1</v>
      </c>
      <c r="P19" s="38">
        <v>3</v>
      </c>
      <c r="Q19" s="38">
        <f t="shared" si="2"/>
        <v>1.1666666666666667</v>
      </c>
      <c r="R19" s="38">
        <f t="shared" si="3"/>
        <v>2</v>
      </c>
      <c r="S19" s="41" t="s">
        <v>321</v>
      </c>
      <c r="T19" s="41" t="s">
        <v>322</v>
      </c>
      <c r="U19" s="41" t="s">
        <v>319</v>
      </c>
      <c r="V19" s="42" t="s">
        <v>323</v>
      </c>
      <c r="W19" s="41"/>
      <c r="X19" s="41"/>
      <c r="Y19" s="41"/>
      <c r="Z19" s="41"/>
      <c r="AA19" s="41"/>
      <c r="AB19" s="41"/>
    </row>
    <row r="20" spans="1:28" s="31" customFormat="1" ht="15.75" thickBot="1" x14ac:dyDescent="0.3">
      <c r="B20" s="31" t="s">
        <v>216</v>
      </c>
      <c r="C20" s="31">
        <v>8</v>
      </c>
      <c r="D20" s="31" t="s">
        <v>190</v>
      </c>
      <c r="E20" s="31">
        <v>28</v>
      </c>
      <c r="F20" s="31">
        <v>10</v>
      </c>
      <c r="G20" s="56" t="s">
        <v>597</v>
      </c>
      <c r="H20" s="38">
        <v>6</v>
      </c>
      <c r="I20" s="38">
        <v>6</v>
      </c>
      <c r="J20" s="38">
        <v>6</v>
      </c>
      <c r="K20" s="38">
        <v>6</v>
      </c>
      <c r="L20" s="38">
        <v>7</v>
      </c>
      <c r="M20" s="38">
        <v>6</v>
      </c>
      <c r="N20" s="38">
        <v>6</v>
      </c>
      <c r="O20" s="38">
        <v>6</v>
      </c>
      <c r="P20" s="38">
        <v>5</v>
      </c>
      <c r="Q20" s="38">
        <f t="shared" si="2"/>
        <v>6.166666666666667</v>
      </c>
      <c r="R20" s="38">
        <f t="shared" si="3"/>
        <v>5.666666666666667</v>
      </c>
      <c r="S20" s="41" t="s">
        <v>324</v>
      </c>
      <c r="T20" s="41" t="s">
        <v>325</v>
      </c>
      <c r="U20" s="41" t="s">
        <v>5</v>
      </c>
      <c r="V20" s="42" t="s">
        <v>326</v>
      </c>
      <c r="W20" s="41"/>
      <c r="X20" s="41"/>
      <c r="Y20" s="41"/>
      <c r="Z20" s="41"/>
      <c r="AA20" s="41"/>
      <c r="AB20" s="41"/>
    </row>
    <row r="21" spans="1:28" s="31" customFormat="1" ht="15.75" thickBot="1" x14ac:dyDescent="0.3">
      <c r="B21" s="31" t="s">
        <v>216</v>
      </c>
      <c r="C21" s="31">
        <v>9</v>
      </c>
      <c r="D21" s="31" t="s">
        <v>190</v>
      </c>
      <c r="E21" s="31">
        <v>33</v>
      </c>
      <c r="F21" s="31">
        <v>100</v>
      </c>
      <c r="G21" s="56" t="s">
        <v>598</v>
      </c>
      <c r="H21" s="38">
        <v>2</v>
      </c>
      <c r="I21" s="38">
        <v>2</v>
      </c>
      <c r="J21" s="38">
        <v>1</v>
      </c>
      <c r="K21" s="38">
        <v>4</v>
      </c>
      <c r="L21" s="38">
        <v>2</v>
      </c>
      <c r="M21" s="38">
        <v>3</v>
      </c>
      <c r="N21" s="38">
        <v>3</v>
      </c>
      <c r="O21" s="38">
        <v>2</v>
      </c>
      <c r="P21" s="38">
        <v>2</v>
      </c>
      <c r="Q21" s="38">
        <f t="shared" si="2"/>
        <v>2.3333333333333335</v>
      </c>
      <c r="R21" s="38">
        <f t="shared" si="3"/>
        <v>2.3333333333333335</v>
      </c>
      <c r="S21" s="41" t="s">
        <v>327</v>
      </c>
      <c r="T21" s="41" t="s">
        <v>328</v>
      </c>
      <c r="U21" s="41" t="s">
        <v>71</v>
      </c>
      <c r="V21" s="42" t="s">
        <v>329</v>
      </c>
      <c r="W21" s="41"/>
      <c r="X21" s="41"/>
      <c r="Y21" s="41"/>
      <c r="Z21" s="41"/>
      <c r="AA21" s="41"/>
      <c r="AB21" s="41"/>
    </row>
    <row r="22" spans="1:28" s="31" customFormat="1" ht="15.75" thickBot="1" x14ac:dyDescent="0.3">
      <c r="B22" s="31" t="s">
        <v>216</v>
      </c>
      <c r="C22" s="31">
        <v>10</v>
      </c>
      <c r="D22" s="31" t="s">
        <v>190</v>
      </c>
      <c r="E22" s="31">
        <v>22</v>
      </c>
      <c r="F22" s="31">
        <v>20</v>
      </c>
      <c r="G22" s="56" t="s">
        <v>599</v>
      </c>
      <c r="H22" s="38">
        <v>2</v>
      </c>
      <c r="I22" s="38">
        <v>1</v>
      </c>
      <c r="J22" s="38">
        <v>1</v>
      </c>
      <c r="K22" s="38">
        <v>1</v>
      </c>
      <c r="L22" s="38">
        <v>1</v>
      </c>
      <c r="M22" s="38">
        <v>1</v>
      </c>
      <c r="N22" s="38">
        <v>2</v>
      </c>
      <c r="O22" s="38">
        <v>2</v>
      </c>
      <c r="P22" s="38">
        <v>3</v>
      </c>
      <c r="Q22" s="38">
        <f t="shared" si="2"/>
        <v>1.1666666666666667</v>
      </c>
      <c r="R22" s="38">
        <f t="shared" si="3"/>
        <v>2.3333333333333335</v>
      </c>
      <c r="S22" s="41" t="s">
        <v>330</v>
      </c>
      <c r="T22" s="41" t="s">
        <v>331</v>
      </c>
      <c r="U22" s="41" t="s">
        <v>332</v>
      </c>
      <c r="V22" s="42" t="s">
        <v>333</v>
      </c>
      <c r="W22" s="41"/>
      <c r="X22" s="41"/>
      <c r="Y22" s="41"/>
      <c r="Z22" s="41"/>
      <c r="AA22" s="41"/>
      <c r="AB22" s="41"/>
    </row>
    <row r="23" spans="1:28" s="31" customFormat="1" ht="15.75" thickBot="1" x14ac:dyDescent="0.3">
      <c r="B23" s="31" t="s">
        <v>216</v>
      </c>
      <c r="C23" s="31">
        <v>11</v>
      </c>
      <c r="D23" s="31" t="s">
        <v>190</v>
      </c>
      <c r="E23" s="31">
        <v>33</v>
      </c>
      <c r="F23" s="31">
        <v>5</v>
      </c>
      <c r="G23" s="56" t="s">
        <v>600</v>
      </c>
      <c r="H23" s="38">
        <v>2</v>
      </c>
      <c r="I23" s="38">
        <v>2</v>
      </c>
      <c r="J23" s="38">
        <v>2</v>
      </c>
      <c r="K23" s="38">
        <v>3</v>
      </c>
      <c r="L23" s="38">
        <v>2</v>
      </c>
      <c r="M23" s="38">
        <v>3</v>
      </c>
      <c r="N23" s="38">
        <v>2</v>
      </c>
      <c r="O23" s="38">
        <v>2</v>
      </c>
      <c r="P23" s="38">
        <v>3</v>
      </c>
      <c r="Q23" s="38">
        <f t="shared" si="2"/>
        <v>2.3333333333333335</v>
      </c>
      <c r="R23" s="38">
        <f t="shared" si="3"/>
        <v>2.3333333333333335</v>
      </c>
      <c r="S23" s="41" t="s">
        <v>334</v>
      </c>
      <c r="T23" s="41" t="s">
        <v>335</v>
      </c>
      <c r="U23" s="41" t="s">
        <v>5</v>
      </c>
      <c r="V23" s="41" t="s">
        <v>336</v>
      </c>
      <c r="W23" s="41"/>
      <c r="X23" s="41"/>
      <c r="Y23" s="41"/>
      <c r="Z23" s="41"/>
      <c r="AA23" s="41"/>
      <c r="AB23" s="41"/>
    </row>
    <row r="24" spans="1:28" ht="15.75" thickBot="1" x14ac:dyDescent="0.3">
      <c r="A24" t="s">
        <v>201</v>
      </c>
      <c r="B24" t="s">
        <v>215</v>
      </c>
      <c r="C24" s="14">
        <v>1</v>
      </c>
      <c r="D24" s="14" t="s">
        <v>190</v>
      </c>
      <c r="E24" s="14">
        <v>27</v>
      </c>
      <c r="F24" s="14">
        <v>4</v>
      </c>
      <c r="G24" s="56" t="s">
        <v>602</v>
      </c>
      <c r="H24" s="2">
        <v>3</v>
      </c>
      <c r="I24" s="2">
        <v>3</v>
      </c>
      <c r="J24" s="2">
        <v>3</v>
      </c>
      <c r="K24" s="2">
        <v>3</v>
      </c>
      <c r="L24" s="2">
        <v>2</v>
      </c>
      <c r="M24" s="2">
        <v>2</v>
      </c>
      <c r="N24" s="2">
        <v>2</v>
      </c>
      <c r="O24" s="2">
        <v>1</v>
      </c>
      <c r="P24" s="2">
        <v>3</v>
      </c>
      <c r="Q24" s="38">
        <f t="shared" si="2"/>
        <v>2.6666666666666665</v>
      </c>
      <c r="R24" s="38">
        <f t="shared" si="3"/>
        <v>2</v>
      </c>
      <c r="S24" s="3" t="s">
        <v>337</v>
      </c>
      <c r="T24" s="3" t="s">
        <v>338</v>
      </c>
      <c r="U24" s="3" t="s">
        <v>339</v>
      </c>
      <c r="V24" s="3" t="s">
        <v>340</v>
      </c>
      <c r="W24" s="3"/>
      <c r="X24" s="3"/>
      <c r="Y24" s="3"/>
      <c r="Z24" s="3"/>
      <c r="AA24" s="3"/>
      <c r="AB24" s="3"/>
    </row>
    <row r="25" spans="1:28" ht="15.75" thickBot="1" x14ac:dyDescent="0.3">
      <c r="A25" s="14"/>
      <c r="B25" t="s">
        <v>215</v>
      </c>
      <c r="C25" s="14">
        <v>2</v>
      </c>
      <c r="D25" s="14" t="s">
        <v>190</v>
      </c>
      <c r="E25" s="14">
        <v>24</v>
      </c>
      <c r="F25" s="14">
        <v>0</v>
      </c>
      <c r="G25" s="56" t="s">
        <v>603</v>
      </c>
      <c r="H25" s="2">
        <v>1</v>
      </c>
      <c r="I25" s="2">
        <v>1</v>
      </c>
      <c r="J25" s="2">
        <v>1</v>
      </c>
      <c r="K25" s="2">
        <v>3</v>
      </c>
      <c r="L25" s="2">
        <v>1</v>
      </c>
      <c r="M25" s="2">
        <v>1</v>
      </c>
      <c r="N25" s="2">
        <v>1</v>
      </c>
      <c r="O25" s="2">
        <v>2</v>
      </c>
      <c r="P25" s="2">
        <v>1</v>
      </c>
      <c r="Q25" s="38">
        <f t="shared" si="2"/>
        <v>1.3333333333333333</v>
      </c>
      <c r="R25" s="38">
        <f t="shared" si="3"/>
        <v>1.3333333333333333</v>
      </c>
      <c r="S25" s="3" t="s">
        <v>302</v>
      </c>
      <c r="T25" s="3" t="s">
        <v>303</v>
      </c>
      <c r="U25" s="3" t="s">
        <v>71</v>
      </c>
      <c r="V25" s="3" t="s">
        <v>304</v>
      </c>
      <c r="W25" s="3"/>
      <c r="X25" s="3"/>
      <c r="Y25" s="3"/>
      <c r="Z25" s="3"/>
      <c r="AA25" s="3"/>
      <c r="AB25" s="3"/>
    </row>
    <row r="26" spans="1:28" ht="15.75" thickBot="1" x14ac:dyDescent="0.3">
      <c r="A26" s="14"/>
      <c r="B26" t="s">
        <v>215</v>
      </c>
      <c r="C26" s="14">
        <v>3</v>
      </c>
      <c r="D26" s="14" t="s">
        <v>190</v>
      </c>
      <c r="E26" s="14">
        <v>25</v>
      </c>
      <c r="F26" s="14">
        <v>1</v>
      </c>
      <c r="G26" s="56" t="s">
        <v>604</v>
      </c>
      <c r="H26" s="2">
        <v>1</v>
      </c>
      <c r="I26" s="2">
        <v>1</v>
      </c>
      <c r="J26" s="2">
        <v>1</v>
      </c>
      <c r="K26" s="2">
        <v>1</v>
      </c>
      <c r="L26" s="2">
        <v>1</v>
      </c>
      <c r="M26" s="2">
        <v>1</v>
      </c>
      <c r="N26" s="2">
        <v>2</v>
      </c>
      <c r="O26" s="2">
        <v>1</v>
      </c>
      <c r="P26" s="2">
        <v>2</v>
      </c>
      <c r="Q26" s="38">
        <f t="shared" si="2"/>
        <v>1</v>
      </c>
      <c r="R26" s="38">
        <f t="shared" si="3"/>
        <v>1.6666666666666667</v>
      </c>
      <c r="S26" s="3" t="s">
        <v>341</v>
      </c>
      <c r="T26" s="3" t="s">
        <v>342</v>
      </c>
      <c r="U26" s="3" t="s">
        <v>71</v>
      </c>
      <c r="V26" s="1" t="s">
        <v>343</v>
      </c>
      <c r="W26" s="3"/>
      <c r="X26" s="3"/>
      <c r="Y26" s="3"/>
      <c r="Z26" s="3"/>
      <c r="AA26" s="3"/>
      <c r="AB26" s="3"/>
    </row>
    <row r="27" spans="1:28" ht="15.75" thickBot="1" x14ac:dyDescent="0.3">
      <c r="A27" s="14"/>
      <c r="B27" t="s">
        <v>215</v>
      </c>
      <c r="C27" s="14">
        <v>4</v>
      </c>
      <c r="D27" s="14" t="s">
        <v>190</v>
      </c>
      <c r="E27" s="14">
        <v>22</v>
      </c>
      <c r="F27" s="14">
        <v>30</v>
      </c>
      <c r="G27" s="56" t="s">
        <v>605</v>
      </c>
      <c r="H27" s="2">
        <v>1</v>
      </c>
      <c r="I27" s="2">
        <v>1</v>
      </c>
      <c r="J27" s="2">
        <v>2</v>
      </c>
      <c r="K27" s="2">
        <v>1</v>
      </c>
      <c r="L27" s="2">
        <v>1</v>
      </c>
      <c r="M27" s="2">
        <v>1</v>
      </c>
      <c r="N27" s="2">
        <v>2</v>
      </c>
      <c r="O27" s="2">
        <v>2</v>
      </c>
      <c r="P27" s="2">
        <v>1</v>
      </c>
      <c r="Q27" s="38">
        <f t="shared" si="2"/>
        <v>1.1666666666666667</v>
      </c>
      <c r="R27" s="38">
        <f t="shared" si="3"/>
        <v>1.6666666666666667</v>
      </c>
      <c r="S27" s="3" t="s">
        <v>344</v>
      </c>
      <c r="T27" s="3" t="s">
        <v>345</v>
      </c>
      <c r="U27" s="3" t="s">
        <v>5</v>
      </c>
      <c r="V27" s="1" t="s">
        <v>346</v>
      </c>
      <c r="W27" s="3"/>
      <c r="X27" s="3"/>
      <c r="Y27" s="3"/>
      <c r="Z27" s="3"/>
      <c r="AA27" s="3"/>
      <c r="AB27" s="3"/>
    </row>
    <row r="28" spans="1:28" ht="15.75" thickBot="1" x14ac:dyDescent="0.3">
      <c r="A28" s="14"/>
      <c r="B28" t="s">
        <v>215</v>
      </c>
      <c r="C28" s="14">
        <v>5</v>
      </c>
      <c r="D28" s="14" t="s">
        <v>190</v>
      </c>
      <c r="E28" s="14">
        <v>22</v>
      </c>
      <c r="F28" s="14">
        <v>5</v>
      </c>
      <c r="G28" s="56" t="s">
        <v>606</v>
      </c>
      <c r="H28" s="2">
        <v>1</v>
      </c>
      <c r="I28" s="2">
        <v>1</v>
      </c>
      <c r="J28" s="2">
        <v>2</v>
      </c>
      <c r="K28" s="2">
        <v>2</v>
      </c>
      <c r="L28" s="2">
        <v>1</v>
      </c>
      <c r="M28" s="2">
        <v>3</v>
      </c>
      <c r="N28" s="2">
        <v>2</v>
      </c>
      <c r="O28" s="2">
        <v>2</v>
      </c>
      <c r="P28" s="2">
        <v>2</v>
      </c>
      <c r="Q28" s="38">
        <f t="shared" si="2"/>
        <v>1.6666666666666667</v>
      </c>
      <c r="R28" s="38">
        <f t="shared" si="3"/>
        <v>2</v>
      </c>
      <c r="S28" s="3" t="s">
        <v>347</v>
      </c>
      <c r="T28" s="3" t="s">
        <v>348</v>
      </c>
      <c r="U28" s="3" t="s">
        <v>349</v>
      </c>
      <c r="V28" s="1" t="s">
        <v>350</v>
      </c>
      <c r="W28" s="3"/>
      <c r="X28" s="3"/>
      <c r="Y28" s="3"/>
      <c r="Z28" s="3"/>
      <c r="AA28" s="3"/>
      <c r="AB28" s="3"/>
    </row>
    <row r="29" spans="1:28" ht="15.75" thickBot="1" x14ac:dyDescent="0.3">
      <c r="A29" s="14"/>
      <c r="B29" t="s">
        <v>215</v>
      </c>
      <c r="C29" s="14">
        <v>6</v>
      </c>
      <c r="D29" s="14" t="s">
        <v>194</v>
      </c>
      <c r="E29" s="14">
        <v>26</v>
      </c>
      <c r="F29" s="14">
        <v>0</v>
      </c>
      <c r="G29" s="56" t="s">
        <v>607</v>
      </c>
      <c r="H29" s="2">
        <v>2</v>
      </c>
      <c r="I29" s="2">
        <v>2</v>
      </c>
      <c r="J29" s="2">
        <v>2</v>
      </c>
      <c r="K29" s="2">
        <v>2</v>
      </c>
      <c r="L29" s="2">
        <v>1</v>
      </c>
      <c r="M29" s="2">
        <v>1</v>
      </c>
      <c r="N29" s="2">
        <v>3</v>
      </c>
      <c r="O29" s="2">
        <v>3</v>
      </c>
      <c r="P29" s="2">
        <v>2</v>
      </c>
      <c r="Q29" s="38">
        <f t="shared" si="2"/>
        <v>1.6666666666666667</v>
      </c>
      <c r="R29" s="38">
        <f t="shared" si="3"/>
        <v>2.6666666666666665</v>
      </c>
      <c r="S29" s="3" t="s">
        <v>351</v>
      </c>
      <c r="T29" s="3" t="s">
        <v>352</v>
      </c>
      <c r="U29" s="3" t="s">
        <v>353</v>
      </c>
      <c r="V29" s="1" t="s">
        <v>354</v>
      </c>
      <c r="W29" s="3"/>
      <c r="X29" s="3"/>
      <c r="Y29" s="3"/>
      <c r="Z29" s="3"/>
      <c r="AA29" s="3"/>
      <c r="AB29" s="3"/>
    </row>
    <row r="30" spans="1:28" ht="15.75" thickBot="1" x14ac:dyDescent="0.3">
      <c r="A30" s="14"/>
      <c r="B30" t="s">
        <v>215</v>
      </c>
      <c r="C30" s="14">
        <v>7</v>
      </c>
      <c r="D30" s="14" t="s">
        <v>190</v>
      </c>
      <c r="E30" s="14">
        <v>28</v>
      </c>
      <c r="F30" s="14">
        <v>15</v>
      </c>
      <c r="G30" s="56" t="s">
        <v>608</v>
      </c>
      <c r="H30" s="2">
        <v>2</v>
      </c>
      <c r="I30" s="2">
        <v>1</v>
      </c>
      <c r="J30" s="2">
        <v>1</v>
      </c>
      <c r="K30" s="2">
        <v>1</v>
      </c>
      <c r="L30" s="2">
        <v>2</v>
      </c>
      <c r="M30" s="2">
        <v>1</v>
      </c>
      <c r="N30" s="2">
        <v>1</v>
      </c>
      <c r="O30" s="2">
        <v>3</v>
      </c>
      <c r="P30" s="2">
        <v>1</v>
      </c>
      <c r="Q30" s="38">
        <f t="shared" si="2"/>
        <v>1.3333333333333333</v>
      </c>
      <c r="R30" s="38">
        <f t="shared" si="3"/>
        <v>1.6666666666666667</v>
      </c>
      <c r="S30" s="3" t="s">
        <v>355</v>
      </c>
      <c r="T30" s="3" t="s">
        <v>356</v>
      </c>
      <c r="U30" s="3" t="s">
        <v>357</v>
      </c>
      <c r="V30" s="1" t="s">
        <v>358</v>
      </c>
      <c r="W30" s="3"/>
      <c r="X30" s="3"/>
      <c r="Y30" s="3"/>
      <c r="Z30" s="3"/>
      <c r="AA30" s="3"/>
      <c r="AB30" s="3"/>
    </row>
    <row r="31" spans="1:28" ht="15.75" thickBot="1" x14ac:dyDescent="0.3">
      <c r="A31" s="14"/>
      <c r="B31" t="s">
        <v>215</v>
      </c>
      <c r="C31" s="14">
        <v>8</v>
      </c>
      <c r="D31" s="14" t="s">
        <v>190</v>
      </c>
      <c r="E31" s="14">
        <v>34</v>
      </c>
      <c r="F31" s="14">
        <v>50</v>
      </c>
      <c r="G31" s="56" t="s">
        <v>609</v>
      </c>
      <c r="H31" s="2">
        <v>1</v>
      </c>
      <c r="I31" s="2">
        <v>1</v>
      </c>
      <c r="J31" s="2">
        <v>2</v>
      </c>
      <c r="K31" s="2">
        <v>1</v>
      </c>
      <c r="L31" s="2">
        <v>1</v>
      </c>
      <c r="M31" s="2">
        <v>1</v>
      </c>
      <c r="N31" s="2">
        <v>2</v>
      </c>
      <c r="O31" s="2">
        <v>1</v>
      </c>
      <c r="P31" s="2">
        <v>3</v>
      </c>
      <c r="Q31" s="38">
        <f t="shared" si="2"/>
        <v>1.1666666666666667</v>
      </c>
      <c r="R31" s="38">
        <f t="shared" si="3"/>
        <v>2</v>
      </c>
      <c r="S31" s="3" t="s">
        <v>359</v>
      </c>
      <c r="T31" s="3" t="s">
        <v>360</v>
      </c>
      <c r="U31" s="3" t="s">
        <v>361</v>
      </c>
      <c r="V31" s="1" t="s">
        <v>362</v>
      </c>
      <c r="W31" s="3"/>
      <c r="X31" s="3"/>
      <c r="Y31" s="3"/>
      <c r="Z31" s="3"/>
      <c r="AA31" s="3"/>
      <c r="AB31" s="3"/>
    </row>
    <row r="32" spans="1:28" ht="15.75" thickBot="1" x14ac:dyDescent="0.3">
      <c r="A32" s="14"/>
      <c r="B32" t="s">
        <v>215</v>
      </c>
      <c r="C32" s="14">
        <v>9</v>
      </c>
      <c r="D32" s="14"/>
      <c r="E32" s="14">
        <v>22</v>
      </c>
      <c r="F32" s="14">
        <v>10</v>
      </c>
      <c r="G32" s="56" t="s">
        <v>610</v>
      </c>
      <c r="H32" s="2">
        <v>1</v>
      </c>
      <c r="I32" s="2">
        <v>1</v>
      </c>
      <c r="J32" s="2">
        <v>1</v>
      </c>
      <c r="K32" s="2">
        <v>1</v>
      </c>
      <c r="L32" s="2">
        <v>1</v>
      </c>
      <c r="M32" s="2">
        <v>1</v>
      </c>
      <c r="N32" s="2">
        <v>2</v>
      </c>
      <c r="O32" s="2">
        <v>1</v>
      </c>
      <c r="P32" s="2">
        <v>2</v>
      </c>
      <c r="Q32" s="38">
        <f t="shared" si="2"/>
        <v>1</v>
      </c>
      <c r="R32" s="38">
        <f t="shared" si="3"/>
        <v>1.6666666666666667</v>
      </c>
      <c r="S32" s="3" t="s">
        <v>363</v>
      </c>
      <c r="T32" s="3" t="s">
        <v>364</v>
      </c>
      <c r="U32" s="3" t="s">
        <v>365</v>
      </c>
      <c r="V32" s="3" t="s">
        <v>366</v>
      </c>
      <c r="W32" s="3"/>
      <c r="X32" s="3"/>
      <c r="Y32" s="3"/>
      <c r="Z32" s="3"/>
      <c r="AA32" s="3"/>
      <c r="AB32" s="3"/>
    </row>
    <row r="33" spans="1:28" ht="15.75" thickBot="1" x14ac:dyDescent="0.3">
      <c r="A33" s="14"/>
      <c r="B33" t="s">
        <v>215</v>
      </c>
      <c r="C33" s="14">
        <v>10</v>
      </c>
      <c r="D33" s="14"/>
      <c r="E33" s="14">
        <v>23</v>
      </c>
      <c r="F33" s="14">
        <v>5</v>
      </c>
      <c r="G33" s="56" t="s">
        <v>611</v>
      </c>
      <c r="H33" s="2">
        <v>1</v>
      </c>
      <c r="I33" s="2">
        <v>1</v>
      </c>
      <c r="J33" s="2">
        <v>1</v>
      </c>
      <c r="K33" s="2">
        <v>2</v>
      </c>
      <c r="L33" s="2">
        <v>1</v>
      </c>
      <c r="M33" s="2">
        <v>1</v>
      </c>
      <c r="N33" s="2">
        <v>1</v>
      </c>
      <c r="O33" s="2">
        <v>1</v>
      </c>
      <c r="P33" s="2">
        <v>1</v>
      </c>
      <c r="Q33" s="38">
        <f t="shared" si="2"/>
        <v>1.1666666666666667</v>
      </c>
      <c r="R33" s="38">
        <f t="shared" si="3"/>
        <v>1</v>
      </c>
      <c r="S33" s="3" t="s">
        <v>367</v>
      </c>
      <c r="T33" s="3" t="s">
        <v>368</v>
      </c>
      <c r="U33" s="3" t="s">
        <v>369</v>
      </c>
      <c r="V33" s="3" t="s">
        <v>370</v>
      </c>
      <c r="W33" s="3"/>
      <c r="X33" s="3"/>
      <c r="Y33" s="3"/>
      <c r="Z33" s="3"/>
      <c r="AA33" s="3"/>
      <c r="AB33" s="3"/>
    </row>
    <row r="34" spans="1:28" ht="15.75" thickBot="1" x14ac:dyDescent="0.3">
      <c r="A34" s="14"/>
      <c r="B34" s="14" t="s">
        <v>216</v>
      </c>
      <c r="C34" s="14">
        <v>1</v>
      </c>
      <c r="D34" s="14" t="s">
        <v>190</v>
      </c>
      <c r="E34" s="14">
        <v>24</v>
      </c>
      <c r="F34" s="14">
        <v>100</v>
      </c>
      <c r="G34" s="56" t="s">
        <v>618</v>
      </c>
      <c r="H34" s="2">
        <v>1</v>
      </c>
      <c r="I34" s="2">
        <v>1</v>
      </c>
      <c r="J34" s="2">
        <v>1</v>
      </c>
      <c r="K34" s="2">
        <v>2</v>
      </c>
      <c r="L34" s="2">
        <v>1</v>
      </c>
      <c r="M34" s="2">
        <v>1</v>
      </c>
      <c r="N34" s="2">
        <v>2</v>
      </c>
      <c r="O34" s="2">
        <v>2</v>
      </c>
      <c r="P34" s="2">
        <v>1</v>
      </c>
      <c r="Q34" s="39">
        <f t="shared" si="2"/>
        <v>1.1666666666666667</v>
      </c>
      <c r="R34" s="39">
        <f t="shared" si="3"/>
        <v>1.6666666666666667</v>
      </c>
      <c r="S34" s="3" t="s">
        <v>371</v>
      </c>
      <c r="T34" s="3" t="s">
        <v>372</v>
      </c>
      <c r="U34" s="3" t="s">
        <v>5</v>
      </c>
      <c r="V34" s="1" t="s">
        <v>373</v>
      </c>
      <c r="W34" s="3"/>
      <c r="X34" s="3"/>
      <c r="Y34" s="3"/>
      <c r="Z34" s="3"/>
      <c r="AA34" s="3"/>
      <c r="AB34" s="3"/>
    </row>
    <row r="35" spans="1:28" ht="15.75" thickBot="1" x14ac:dyDescent="0.3">
      <c r="A35" s="14"/>
      <c r="B35" s="14" t="s">
        <v>216</v>
      </c>
      <c r="C35" s="14">
        <v>2</v>
      </c>
      <c r="D35" s="14" t="s">
        <v>190</v>
      </c>
      <c r="E35" s="14">
        <v>23</v>
      </c>
      <c r="F35" s="14">
        <v>30</v>
      </c>
      <c r="G35" s="56" t="s">
        <v>619</v>
      </c>
      <c r="H35" s="2">
        <v>2</v>
      </c>
      <c r="I35" s="2">
        <v>2</v>
      </c>
      <c r="J35" s="2">
        <v>2</v>
      </c>
      <c r="K35" s="2">
        <v>1</v>
      </c>
      <c r="L35" s="2">
        <v>1</v>
      </c>
      <c r="M35" s="2">
        <v>1</v>
      </c>
      <c r="N35" s="2">
        <v>2</v>
      </c>
      <c r="O35" s="2">
        <v>2</v>
      </c>
      <c r="P35" s="2">
        <v>1</v>
      </c>
      <c r="Q35" s="39">
        <f t="shared" si="2"/>
        <v>1.5</v>
      </c>
      <c r="R35" s="39">
        <f t="shared" si="3"/>
        <v>1.6666666666666667</v>
      </c>
      <c r="S35" s="3" t="s">
        <v>374</v>
      </c>
      <c r="T35" s="3" t="s">
        <v>375</v>
      </c>
      <c r="U35" s="3" t="s">
        <v>376</v>
      </c>
      <c r="V35" s="1" t="s">
        <v>377</v>
      </c>
      <c r="W35" s="3"/>
      <c r="X35" s="3"/>
      <c r="Y35" s="3"/>
      <c r="Z35" s="3"/>
      <c r="AA35" s="3"/>
      <c r="AB35" s="3"/>
    </row>
    <row r="36" spans="1:28" ht="15.75" thickBot="1" x14ac:dyDescent="0.3">
      <c r="A36" s="14"/>
      <c r="B36" s="14" t="s">
        <v>216</v>
      </c>
      <c r="C36" s="14">
        <v>3</v>
      </c>
      <c r="D36" s="14" t="s">
        <v>190</v>
      </c>
      <c r="E36" s="14">
        <v>23</v>
      </c>
      <c r="F36" s="14">
        <v>5</v>
      </c>
      <c r="G36" s="56" t="s">
        <v>620</v>
      </c>
      <c r="H36" s="2">
        <v>1</v>
      </c>
      <c r="I36" s="2">
        <v>1</v>
      </c>
      <c r="J36" s="2">
        <v>1</v>
      </c>
      <c r="K36" s="2">
        <v>2</v>
      </c>
      <c r="L36" s="2">
        <v>1</v>
      </c>
      <c r="M36" s="2">
        <v>1</v>
      </c>
      <c r="N36" s="2">
        <v>1</v>
      </c>
      <c r="O36" s="2">
        <v>1</v>
      </c>
      <c r="P36" s="2">
        <v>1</v>
      </c>
      <c r="Q36" s="39">
        <f t="shared" si="2"/>
        <v>1.1666666666666667</v>
      </c>
      <c r="R36" s="39">
        <f t="shared" si="3"/>
        <v>1</v>
      </c>
      <c r="S36" s="3" t="s">
        <v>386</v>
      </c>
      <c r="T36" s="3" t="s">
        <v>387</v>
      </c>
      <c r="U36" s="3" t="s">
        <v>388</v>
      </c>
      <c r="V36" s="1" t="s">
        <v>389</v>
      </c>
      <c r="W36" s="3"/>
      <c r="X36" s="3"/>
      <c r="Y36" s="3"/>
      <c r="Z36" s="3"/>
      <c r="AA36" s="3"/>
      <c r="AB36" s="3"/>
    </row>
    <row r="37" spans="1:28" ht="15.75" thickBot="1" x14ac:dyDescent="0.3">
      <c r="A37" s="14"/>
      <c r="B37" s="14" t="s">
        <v>216</v>
      </c>
      <c r="C37" s="14">
        <v>4</v>
      </c>
      <c r="D37" s="14" t="s">
        <v>190</v>
      </c>
      <c r="E37" s="14">
        <v>23</v>
      </c>
      <c r="F37" s="14">
        <v>0</v>
      </c>
      <c r="G37" s="56" t="s">
        <v>621</v>
      </c>
      <c r="H37" s="2">
        <v>1</v>
      </c>
      <c r="I37" s="2">
        <v>1</v>
      </c>
      <c r="J37" s="2">
        <v>1</v>
      </c>
      <c r="K37" s="2">
        <v>1</v>
      </c>
      <c r="L37" s="2">
        <v>1</v>
      </c>
      <c r="M37" s="2">
        <v>1</v>
      </c>
      <c r="N37" s="2">
        <v>1</v>
      </c>
      <c r="O37" s="2">
        <v>1</v>
      </c>
      <c r="P37" s="2">
        <v>1</v>
      </c>
      <c r="Q37" s="39">
        <f t="shared" si="2"/>
        <v>1</v>
      </c>
      <c r="R37" s="39">
        <f t="shared" si="3"/>
        <v>1</v>
      </c>
      <c r="S37" s="3" t="s">
        <v>382</v>
      </c>
      <c r="T37" s="3" t="s">
        <v>383</v>
      </c>
      <c r="U37" s="3" t="s">
        <v>384</v>
      </c>
      <c r="V37" s="1" t="s">
        <v>385</v>
      </c>
      <c r="W37" s="3"/>
      <c r="X37" s="3"/>
      <c r="Y37" s="3"/>
      <c r="Z37" s="3"/>
      <c r="AA37" s="3"/>
      <c r="AB37" s="3"/>
    </row>
    <row r="38" spans="1:28" ht="15.75" thickBot="1" x14ac:dyDescent="0.3">
      <c r="A38" s="14"/>
      <c r="B38" s="14" t="s">
        <v>216</v>
      </c>
      <c r="C38" s="14">
        <v>5</v>
      </c>
      <c r="D38" s="14" t="s">
        <v>194</v>
      </c>
      <c r="E38" s="14">
        <v>26</v>
      </c>
      <c r="F38" s="14">
        <v>0</v>
      </c>
      <c r="G38" s="56" t="s">
        <v>622</v>
      </c>
      <c r="H38" s="2">
        <v>1</v>
      </c>
      <c r="I38" s="2">
        <v>1</v>
      </c>
      <c r="J38" s="2">
        <v>1</v>
      </c>
      <c r="K38" s="2">
        <v>1</v>
      </c>
      <c r="L38" s="2">
        <v>1</v>
      </c>
      <c r="M38" s="2">
        <v>1</v>
      </c>
      <c r="N38" s="2">
        <v>1</v>
      </c>
      <c r="O38" s="2">
        <v>1</v>
      </c>
      <c r="P38" s="2">
        <v>1</v>
      </c>
      <c r="Q38" s="39">
        <f t="shared" si="2"/>
        <v>1</v>
      </c>
      <c r="R38" s="39">
        <f t="shared" si="3"/>
        <v>1</v>
      </c>
      <c r="S38" s="3" t="s">
        <v>390</v>
      </c>
      <c r="T38" s="3" t="s">
        <v>391</v>
      </c>
      <c r="U38" s="3" t="s">
        <v>392</v>
      </c>
      <c r="V38" s="1" t="s">
        <v>393</v>
      </c>
      <c r="W38" s="3"/>
      <c r="X38" s="3"/>
      <c r="Y38" s="3"/>
      <c r="Z38" s="3"/>
      <c r="AA38" s="3"/>
      <c r="AB38" s="3"/>
    </row>
    <row r="39" spans="1:28" ht="15.75" thickBot="1" x14ac:dyDescent="0.3">
      <c r="A39" s="14"/>
      <c r="B39" s="14" t="s">
        <v>216</v>
      </c>
      <c r="C39" s="14">
        <v>6</v>
      </c>
      <c r="D39" s="14" t="s">
        <v>190</v>
      </c>
      <c r="E39" s="14">
        <v>28</v>
      </c>
      <c r="F39" s="14">
        <v>5</v>
      </c>
      <c r="G39" s="56" t="s">
        <v>623</v>
      </c>
      <c r="H39" s="2">
        <v>7</v>
      </c>
      <c r="I39" s="2">
        <v>6</v>
      </c>
      <c r="J39" s="2">
        <v>7</v>
      </c>
      <c r="K39" s="2">
        <v>5</v>
      </c>
      <c r="L39" s="2">
        <v>7</v>
      </c>
      <c r="M39" s="2">
        <v>6</v>
      </c>
      <c r="N39" s="2">
        <v>7</v>
      </c>
      <c r="O39" s="2">
        <v>7</v>
      </c>
      <c r="P39" s="2">
        <v>7</v>
      </c>
      <c r="Q39" s="39">
        <f t="shared" si="2"/>
        <v>6.333333333333333</v>
      </c>
      <c r="R39" s="39">
        <f t="shared" si="3"/>
        <v>7</v>
      </c>
      <c r="S39" s="3" t="s">
        <v>394</v>
      </c>
      <c r="T39" s="3" t="s">
        <v>395</v>
      </c>
      <c r="U39" s="3" t="s">
        <v>396</v>
      </c>
      <c r="V39" s="1" t="s">
        <v>397</v>
      </c>
      <c r="W39" s="3"/>
      <c r="X39" s="3"/>
      <c r="Y39" s="3"/>
      <c r="Z39" s="3"/>
      <c r="AA39" s="3"/>
      <c r="AB39" s="3"/>
    </row>
    <row r="40" spans="1:28" ht="15.75" thickBot="1" x14ac:dyDescent="0.3">
      <c r="A40" s="14"/>
      <c r="B40" s="14" t="s">
        <v>216</v>
      </c>
      <c r="C40" s="14">
        <v>7</v>
      </c>
      <c r="D40" s="14" t="s">
        <v>190</v>
      </c>
      <c r="E40" s="14">
        <v>22</v>
      </c>
      <c r="F40" s="14">
        <v>20</v>
      </c>
      <c r="G40" s="56" t="s">
        <v>624</v>
      </c>
      <c r="H40" s="2">
        <v>1</v>
      </c>
      <c r="I40" s="2">
        <v>1</v>
      </c>
      <c r="J40" s="2">
        <v>1</v>
      </c>
      <c r="K40" s="2">
        <v>2</v>
      </c>
      <c r="L40" s="2">
        <v>1</v>
      </c>
      <c r="M40" s="2">
        <v>1</v>
      </c>
      <c r="N40" s="2">
        <v>2</v>
      </c>
      <c r="O40" s="2">
        <v>2</v>
      </c>
      <c r="P40" s="2">
        <v>3</v>
      </c>
      <c r="Q40" s="39">
        <f t="shared" si="2"/>
        <v>1.1666666666666667</v>
      </c>
      <c r="R40" s="39">
        <f t="shared" si="3"/>
        <v>2.3333333333333335</v>
      </c>
      <c r="S40" s="3" t="s">
        <v>398</v>
      </c>
      <c r="T40" s="3" t="s">
        <v>3</v>
      </c>
      <c r="U40" s="3" t="s">
        <v>399</v>
      </c>
      <c r="V40" s="1" t="s">
        <v>400</v>
      </c>
      <c r="W40" s="3"/>
      <c r="X40" s="3"/>
      <c r="Y40" s="3"/>
      <c r="Z40" s="3"/>
      <c r="AA40" s="3"/>
      <c r="AB40" s="3"/>
    </row>
    <row r="41" spans="1:28" ht="15.75" thickBot="1" x14ac:dyDescent="0.3">
      <c r="A41" s="14"/>
      <c r="B41" s="14" t="s">
        <v>216</v>
      </c>
      <c r="C41" s="14">
        <v>8</v>
      </c>
      <c r="D41" s="14" t="s">
        <v>190</v>
      </c>
      <c r="E41" s="14">
        <v>31</v>
      </c>
      <c r="F41" s="14">
        <v>100</v>
      </c>
      <c r="G41" s="56" t="s">
        <v>625</v>
      </c>
      <c r="H41" s="2">
        <v>2</v>
      </c>
      <c r="I41" s="2">
        <v>1</v>
      </c>
      <c r="J41" s="2">
        <v>1</v>
      </c>
      <c r="K41" s="2">
        <v>1</v>
      </c>
      <c r="L41" s="2">
        <v>1</v>
      </c>
      <c r="M41" s="2">
        <v>1</v>
      </c>
      <c r="N41" s="2">
        <v>2</v>
      </c>
      <c r="O41" s="2">
        <v>2</v>
      </c>
      <c r="P41" s="2">
        <v>1</v>
      </c>
      <c r="Q41" s="39">
        <f t="shared" si="2"/>
        <v>1.1666666666666667</v>
      </c>
      <c r="R41" s="39">
        <f t="shared" si="3"/>
        <v>1.6666666666666667</v>
      </c>
      <c r="S41" s="3" t="s">
        <v>401</v>
      </c>
      <c r="T41" s="3" t="s">
        <v>402</v>
      </c>
      <c r="U41" s="3" t="s">
        <v>403</v>
      </c>
      <c r="V41" s="3" t="s">
        <v>404</v>
      </c>
      <c r="W41" s="3"/>
      <c r="X41" s="3"/>
      <c r="Y41" s="3"/>
      <c r="Z41" s="3"/>
      <c r="AA41" s="3"/>
      <c r="AB41" s="3"/>
    </row>
    <row r="42" spans="1:28" ht="15.75" thickBot="1" x14ac:dyDescent="0.3">
      <c r="A42" s="14"/>
      <c r="B42" s="14" t="s">
        <v>216</v>
      </c>
      <c r="C42" s="14">
        <v>9</v>
      </c>
      <c r="D42" s="14" t="s">
        <v>190</v>
      </c>
      <c r="E42" s="14">
        <v>36</v>
      </c>
      <c r="F42" s="14">
        <v>20</v>
      </c>
      <c r="G42" s="56" t="s">
        <v>626</v>
      </c>
      <c r="H42" s="2">
        <v>6</v>
      </c>
      <c r="I42" s="2">
        <v>7</v>
      </c>
      <c r="J42" s="2">
        <v>6</v>
      </c>
      <c r="K42" s="2">
        <v>4</v>
      </c>
      <c r="L42" s="2">
        <v>5</v>
      </c>
      <c r="M42" s="2">
        <v>6</v>
      </c>
      <c r="N42" s="2">
        <v>5</v>
      </c>
      <c r="O42" s="2">
        <v>6</v>
      </c>
      <c r="P42" s="2">
        <v>7</v>
      </c>
      <c r="Q42" s="39">
        <f t="shared" si="2"/>
        <v>5.666666666666667</v>
      </c>
      <c r="R42" s="39">
        <f t="shared" si="3"/>
        <v>6</v>
      </c>
      <c r="S42" s="3" t="s">
        <v>405</v>
      </c>
      <c r="T42" s="3" t="s">
        <v>406</v>
      </c>
      <c r="U42" s="3" t="s">
        <v>407</v>
      </c>
      <c r="V42" s="3" t="s">
        <v>408</v>
      </c>
      <c r="W42" s="3"/>
      <c r="X42" s="3"/>
      <c r="Y42" s="3"/>
      <c r="Z42" s="3"/>
      <c r="AA42" s="3"/>
      <c r="AB42" s="3"/>
    </row>
    <row r="43" spans="1:28" ht="15.75" thickBot="1" x14ac:dyDescent="0.3">
      <c r="A43" s="14"/>
      <c r="B43" s="14" t="s">
        <v>216</v>
      </c>
      <c r="C43" s="14">
        <v>10</v>
      </c>
      <c r="D43" s="14" t="s">
        <v>190</v>
      </c>
      <c r="E43" s="14">
        <v>22</v>
      </c>
      <c r="F43" s="14"/>
      <c r="G43" s="56" t="s">
        <v>627</v>
      </c>
      <c r="H43" s="2">
        <v>1</v>
      </c>
      <c r="I43" s="2">
        <v>2</v>
      </c>
      <c r="J43" s="2">
        <v>1</v>
      </c>
      <c r="K43" s="2">
        <v>2</v>
      </c>
      <c r="L43" s="2">
        <v>3</v>
      </c>
      <c r="M43" s="2">
        <v>1</v>
      </c>
      <c r="N43" s="2">
        <v>5</v>
      </c>
      <c r="O43" s="2">
        <v>2</v>
      </c>
      <c r="P43" s="2">
        <v>4</v>
      </c>
      <c r="Q43" s="39">
        <f t="shared" si="2"/>
        <v>1.6666666666666667</v>
      </c>
      <c r="R43" s="39">
        <f t="shared" si="3"/>
        <v>3.6666666666666665</v>
      </c>
      <c r="S43" s="3" t="s">
        <v>409</v>
      </c>
      <c r="T43" s="3" t="s">
        <v>410</v>
      </c>
      <c r="U43" s="3" t="s">
        <v>411</v>
      </c>
      <c r="V43" s="1" t="s">
        <v>412</v>
      </c>
      <c r="W43" s="3"/>
      <c r="X43" s="3"/>
      <c r="Y43" s="3"/>
      <c r="Z43" s="3"/>
      <c r="AA43" s="3"/>
      <c r="AB43" s="3"/>
    </row>
  </sheetData>
  <phoneticPr fontId="5" type="noConversion"/>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7"/>
  <sheetViews>
    <sheetView workbookViewId="0">
      <selection activeCell="N26" sqref="N26"/>
    </sheetView>
  </sheetViews>
  <sheetFormatPr defaultRowHeight="15" x14ac:dyDescent="0.25"/>
  <sheetData>
    <row r="1" spans="1:3" x14ac:dyDescent="0.25">
      <c r="A1" t="s">
        <v>455</v>
      </c>
    </row>
    <row r="2" spans="1:3" x14ac:dyDescent="0.25">
      <c r="A2" t="s">
        <v>456</v>
      </c>
    </row>
    <row r="3" spans="1:3" x14ac:dyDescent="0.25">
      <c r="A3" t="s">
        <v>457</v>
      </c>
    </row>
    <row r="4" spans="1:3" x14ac:dyDescent="0.25">
      <c r="A4" s="14" t="s">
        <v>458</v>
      </c>
      <c r="B4" s="14"/>
      <c r="C4" s="14"/>
    </row>
    <row r="5" spans="1:3" x14ac:dyDescent="0.25">
      <c r="A5" s="14" t="s">
        <v>459</v>
      </c>
      <c r="B5" s="14"/>
      <c r="C5" s="14"/>
    </row>
    <row r="6" spans="1:3" x14ac:dyDescent="0.25">
      <c r="A6" s="14" t="s">
        <v>460</v>
      </c>
      <c r="B6" s="14"/>
      <c r="C6" s="14"/>
    </row>
    <row r="7" spans="1:3" x14ac:dyDescent="0.25">
      <c r="A7" s="14" t="s">
        <v>461</v>
      </c>
      <c r="B7" s="14"/>
      <c r="C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Usability_revised</vt:lpstr>
      <vt:lpstr>Sheet3</vt:lpstr>
      <vt:lpstr>Sheet5</vt:lpstr>
      <vt:lpstr>Sheet6</vt:lpstr>
      <vt:lpstr>Demographic</vt:lpstr>
      <vt:lpstr>Performance &amp; workload</vt:lpstr>
      <vt:lpstr>Eye Tracking_numeric</vt:lpstr>
      <vt:lpstr>Usability</vt:lpstr>
      <vt:lpstr>Legend</vt:lpstr>
      <vt:lpstr>Summary usability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2021-08-18T15:43:30Z</dcterms:modified>
</cp:coreProperties>
</file>