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3.xml" ContentType="application/vnd.openxmlformats-officedocument.themeOverride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4.xml" ContentType="application/vnd.openxmlformats-officedocument.themeOverride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5.xml" ContentType="application/vnd.openxmlformats-officedocument.themeOverrid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6.xml" ContentType="application/vnd.openxmlformats-officedocument.themeOverrid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7.xml" ContentType="application/vnd.openxmlformats-officedocument.themeOverride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8.xml" ContentType="application/vnd.openxmlformats-officedocument.themeOverrid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theme/themeOverride9.xml" ContentType="application/vnd.openxmlformats-officedocument.themeOverride+xml"/>
  <Override PartName="/xl/charts/chart22.xml" ContentType="application/vnd.openxmlformats-officedocument.drawingml.chart+xml"/>
  <Override PartName="/xl/theme/themeOverride10.xml" ContentType="application/vnd.openxmlformats-officedocument.themeOverride+xml"/>
  <Override PartName="/xl/charts/chart23.xml" ContentType="application/vnd.openxmlformats-officedocument.drawingml.chart+xml"/>
  <Override PartName="/xl/theme/themeOverride11.xml" ContentType="application/vnd.openxmlformats-officedocument.themeOverride+xml"/>
  <Override PartName="/xl/charts/chart24.xml" ContentType="application/vnd.openxmlformats-officedocument.drawingml.chart+xml"/>
  <Override PartName="/xl/theme/themeOverride12.xml" ContentType="application/vnd.openxmlformats-officedocument.themeOverride+xml"/>
  <Override PartName="/xl/charts/chart2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181225\Dropbox\stream\DRAFT PAPERS\Thesis\"/>
    </mc:Choice>
  </mc:AlternateContent>
  <bookViews>
    <workbookView xWindow="0" yWindow="0" windowWidth="20490" windowHeight="7200" firstSheet="4" activeTab="5"/>
  </bookViews>
  <sheets>
    <sheet name="colab graphs" sheetId="5" r:id="rId1"/>
    <sheet name="Gerber method" sheetId="2" r:id="rId2"/>
    <sheet name="C to N" sheetId="8" r:id="rId3"/>
    <sheet name="Original dataset" sheetId="1" r:id="rId4"/>
    <sheet name="COMPARISON" sheetId="4" r:id="rId5"/>
    <sheet name="GRAPHS (2)" sheetId="3" r:id="rId6"/>
    <sheet name="OD CAL" sheetId="6" r:id="rId7"/>
    <sheet name="COD" sheetId="7" r:id="rId8"/>
  </sheets>
  <externalReferences>
    <externalReference r:id="rId9"/>
    <externalReference r:id="rId10"/>
    <externalReference r:id="rId11"/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8" l="1"/>
  <c r="I31" i="8"/>
  <c r="I30" i="8"/>
  <c r="I29" i="8"/>
  <c r="I28" i="8"/>
  <c r="I27" i="8"/>
  <c r="I26" i="8"/>
  <c r="I25" i="8"/>
  <c r="I21" i="8"/>
  <c r="I20" i="8"/>
  <c r="I19" i="8"/>
  <c r="I18" i="8"/>
  <c r="I17" i="8"/>
  <c r="I16" i="8"/>
  <c r="I15" i="8"/>
  <c r="I14" i="8"/>
  <c r="I4" i="8"/>
  <c r="I5" i="8"/>
  <c r="I6" i="8"/>
  <c r="I7" i="8"/>
  <c r="I8" i="8"/>
  <c r="I9" i="8"/>
  <c r="I10" i="8"/>
  <c r="I3" i="8"/>
  <c r="AI33" i="1"/>
  <c r="AI22" i="1"/>
  <c r="AI11" i="1"/>
  <c r="U31" i="1"/>
  <c r="AF33" i="1"/>
  <c r="AF32" i="1"/>
  <c r="AF31" i="1"/>
  <c r="AF30" i="1"/>
  <c r="AF29" i="1"/>
  <c r="AF28" i="1"/>
  <c r="AF27" i="1"/>
  <c r="AF26" i="1"/>
  <c r="AF25" i="1"/>
  <c r="AF22" i="1"/>
  <c r="AF21" i="1"/>
  <c r="AF20" i="1"/>
  <c r="AF19" i="1"/>
  <c r="AF18" i="1"/>
  <c r="AF17" i="1"/>
  <c r="AF16" i="1"/>
  <c r="AF15" i="1"/>
  <c r="AF14" i="1"/>
  <c r="AF11" i="1"/>
  <c r="AF4" i="1"/>
  <c r="AF5" i="1"/>
  <c r="AF6" i="1"/>
  <c r="AF7" i="1"/>
  <c r="AF8" i="1"/>
  <c r="AF9" i="1"/>
  <c r="AF10" i="1"/>
  <c r="AF3" i="1"/>
  <c r="D32" i="8" l="1"/>
  <c r="D31" i="8"/>
  <c r="D30" i="8"/>
  <c r="D29" i="8"/>
  <c r="D28" i="8"/>
  <c r="D27" i="8"/>
  <c r="D26" i="8"/>
  <c r="D25" i="8"/>
  <c r="D21" i="8"/>
  <c r="D20" i="8"/>
  <c r="D19" i="8"/>
  <c r="D18" i="8"/>
  <c r="D17" i="8"/>
  <c r="D16" i="8"/>
  <c r="D15" i="8"/>
  <c r="D14" i="8"/>
  <c r="D23" i="8" l="1"/>
  <c r="Z6" i="8" s="1"/>
  <c r="D34" i="8"/>
  <c r="AA6" i="8" s="1"/>
  <c r="D33" i="8"/>
  <c r="AA3" i="8" s="1"/>
  <c r="D22" i="8"/>
  <c r="Z3" i="8" s="1"/>
  <c r="D4" i="8" l="1"/>
  <c r="D5" i="8"/>
  <c r="D6" i="8"/>
  <c r="D7" i="8"/>
  <c r="D8" i="8"/>
  <c r="D9" i="8"/>
  <c r="D10" i="8"/>
  <c r="D3" i="8"/>
  <c r="K40" i="8"/>
  <c r="J40" i="8"/>
  <c r="H40" i="8"/>
  <c r="G40" i="8"/>
  <c r="F40" i="8"/>
  <c r="E40" i="8"/>
  <c r="C40" i="8"/>
  <c r="K39" i="8"/>
  <c r="J39" i="8"/>
  <c r="H39" i="8"/>
  <c r="G39" i="8"/>
  <c r="F39" i="8"/>
  <c r="E39" i="8"/>
  <c r="C39" i="8"/>
  <c r="K37" i="8"/>
  <c r="J37" i="8"/>
  <c r="H37" i="8"/>
  <c r="G37" i="8"/>
  <c r="F37" i="8"/>
  <c r="E37" i="8"/>
  <c r="C37" i="8"/>
  <c r="K36" i="8"/>
  <c r="J36" i="8"/>
  <c r="H36" i="8"/>
  <c r="G36" i="8"/>
  <c r="F36" i="8"/>
  <c r="E36" i="8"/>
  <c r="C36" i="8"/>
  <c r="F34" i="8"/>
  <c r="C34" i="8"/>
  <c r="AA12" i="8" s="1"/>
  <c r="K33" i="8"/>
  <c r="H33" i="8"/>
  <c r="F33" i="8"/>
  <c r="C33" i="8"/>
  <c r="AA11" i="8" s="1"/>
  <c r="N32" i="8"/>
  <c r="L32" i="8"/>
  <c r="M32" i="8" s="1"/>
  <c r="N31" i="8"/>
  <c r="O31" i="8" s="1"/>
  <c r="Q31" i="8" s="1"/>
  <c r="V31" i="8" s="1"/>
  <c r="L31" i="8"/>
  <c r="M31" i="8" s="1"/>
  <c r="L30" i="8"/>
  <c r="M30" i="8" s="1"/>
  <c r="AU29" i="8"/>
  <c r="N29" i="8"/>
  <c r="L29" i="8"/>
  <c r="M29" i="8" s="1"/>
  <c r="N28" i="8"/>
  <c r="L28" i="8"/>
  <c r="M28" i="8" s="1"/>
  <c r="AP27" i="8"/>
  <c r="N27" i="8"/>
  <c r="L27" i="8"/>
  <c r="M27" i="8" s="1"/>
  <c r="N26" i="8"/>
  <c r="L26" i="8"/>
  <c r="M26" i="8" s="1"/>
  <c r="N25" i="8"/>
  <c r="L25" i="8"/>
  <c r="M25" i="8" s="1"/>
  <c r="F23" i="8"/>
  <c r="C23" i="8"/>
  <c r="Z12" i="8" s="1"/>
  <c r="K22" i="8"/>
  <c r="H22" i="8"/>
  <c r="F22" i="8"/>
  <c r="C22" i="8"/>
  <c r="Z11" i="8" s="1"/>
  <c r="N21" i="8"/>
  <c r="L21" i="8"/>
  <c r="M21" i="8" s="1"/>
  <c r="N20" i="8"/>
  <c r="L20" i="8"/>
  <c r="M20" i="8" s="1"/>
  <c r="N19" i="8"/>
  <c r="L19" i="8"/>
  <c r="M19" i="8" s="1"/>
  <c r="N18" i="8"/>
  <c r="L18" i="8"/>
  <c r="M18" i="8" s="1"/>
  <c r="L17" i="8"/>
  <c r="M17" i="8" s="1"/>
  <c r="N16" i="8"/>
  <c r="L16" i="8"/>
  <c r="M16" i="8" s="1"/>
  <c r="N15" i="8"/>
  <c r="L15" i="8"/>
  <c r="M15" i="8" s="1"/>
  <c r="N14" i="8"/>
  <c r="L14" i="8"/>
  <c r="M14" i="8" s="1"/>
  <c r="F12" i="8"/>
  <c r="C12" i="8"/>
  <c r="Y12" i="8" s="1"/>
  <c r="K11" i="8"/>
  <c r="H11" i="8"/>
  <c r="F11" i="8"/>
  <c r="C11" i="8"/>
  <c r="Y11" i="8" s="1"/>
  <c r="N10" i="8"/>
  <c r="L10" i="8"/>
  <c r="M10" i="8" s="1"/>
  <c r="N9" i="8"/>
  <c r="L9" i="8"/>
  <c r="M9" i="8" s="1"/>
  <c r="N8" i="8"/>
  <c r="L8" i="8"/>
  <c r="M8" i="8" s="1"/>
  <c r="N7" i="8"/>
  <c r="L7" i="8"/>
  <c r="M7" i="8" s="1"/>
  <c r="N6" i="8"/>
  <c r="L6" i="8"/>
  <c r="M6" i="8" s="1"/>
  <c r="N5" i="8"/>
  <c r="L5" i="8"/>
  <c r="M5" i="8" s="1"/>
  <c r="N4" i="8"/>
  <c r="L4" i="8"/>
  <c r="M4" i="8" s="1"/>
  <c r="N3" i="8"/>
  <c r="L3" i="8"/>
  <c r="M3" i="8" s="1"/>
  <c r="P31" i="8" l="1"/>
  <c r="O18" i="8"/>
  <c r="O20" i="8"/>
  <c r="O26" i="8"/>
  <c r="O4" i="8"/>
  <c r="O6" i="8"/>
  <c r="O8" i="8"/>
  <c r="O10" i="8"/>
  <c r="O14" i="8"/>
  <c r="O16" i="8"/>
  <c r="O28" i="8"/>
  <c r="O32" i="8"/>
  <c r="O19" i="8"/>
  <c r="O21" i="8"/>
  <c r="O25" i="8"/>
  <c r="Q25" i="8" s="1"/>
  <c r="V25" i="8" s="1"/>
  <c r="O27" i="8"/>
  <c r="O3" i="8"/>
  <c r="O5" i="8"/>
  <c r="O7" i="8"/>
  <c r="Q7" i="8" s="1"/>
  <c r="V7" i="8" s="1"/>
  <c r="O9" i="8"/>
  <c r="O15" i="8"/>
  <c r="O29" i="8"/>
  <c r="P7" i="8"/>
  <c r="R7" i="8" s="1"/>
  <c r="T31" i="8"/>
  <c r="D12" i="8"/>
  <c r="Y6" i="8" s="1"/>
  <c r="D11" i="8"/>
  <c r="Y3" i="8" s="1"/>
  <c r="P25" i="8"/>
  <c r="R25" i="8" s="1"/>
  <c r="U31" i="8"/>
  <c r="R31" i="8"/>
  <c r="M12" i="8"/>
  <c r="Y8" i="8" s="1"/>
  <c r="M11" i="8"/>
  <c r="Y5" i="8" s="1"/>
  <c r="M23" i="8"/>
  <c r="Z8" i="8" s="1"/>
  <c r="M22" i="8"/>
  <c r="Z5" i="8" s="1"/>
  <c r="M34" i="8"/>
  <c r="AA8" i="8" s="1"/>
  <c r="M33" i="8"/>
  <c r="AA5" i="8" s="1"/>
  <c r="N22" i="8"/>
  <c r="L22" i="8"/>
  <c r="N11" i="8"/>
  <c r="L36" i="8"/>
  <c r="N39" i="8"/>
  <c r="L39" i="8"/>
  <c r="L11" i="8"/>
  <c r="L40" i="8"/>
  <c r="L37" i="8"/>
  <c r="N33" i="8"/>
  <c r="N40" i="8"/>
  <c r="N37" i="8"/>
  <c r="N36" i="8"/>
  <c r="N35" i="8"/>
  <c r="L33" i="8"/>
  <c r="I2" i="3"/>
  <c r="I3" i="3"/>
  <c r="I4" i="3"/>
  <c r="I5" i="3"/>
  <c r="I6" i="3"/>
  <c r="I7" i="3"/>
  <c r="I8" i="3"/>
  <c r="I9" i="3"/>
  <c r="P9" i="8" l="1"/>
  <c r="U9" i="8" s="1"/>
  <c r="Q9" i="8"/>
  <c r="V9" i="8" s="1"/>
  <c r="P27" i="8"/>
  <c r="Q27" i="8"/>
  <c r="V27" i="8" s="1"/>
  <c r="P32" i="8"/>
  <c r="Q32" i="8"/>
  <c r="V32" i="8" s="1"/>
  <c r="P10" i="8"/>
  <c r="S10" i="8" s="1"/>
  <c r="Q10" i="8"/>
  <c r="V10" i="8" s="1"/>
  <c r="P26" i="8"/>
  <c r="Q26" i="8"/>
  <c r="V26" i="8" s="1"/>
  <c r="V33" i="8" s="1"/>
  <c r="P28" i="8"/>
  <c r="Q28" i="8"/>
  <c r="V28" i="8" s="1"/>
  <c r="P8" i="8"/>
  <c r="Q8" i="8"/>
  <c r="V8" i="8" s="1"/>
  <c r="P20" i="8"/>
  <c r="Q20" i="8"/>
  <c r="V20" i="8" s="1"/>
  <c r="P29" i="8"/>
  <c r="U29" i="8" s="1"/>
  <c r="Q29" i="8"/>
  <c r="V29" i="8" s="1"/>
  <c r="P5" i="8"/>
  <c r="S5" i="8" s="1"/>
  <c r="Q5" i="8"/>
  <c r="V5" i="8" s="1"/>
  <c r="P21" i="8"/>
  <c r="Q21" i="8"/>
  <c r="V21" i="8" s="1"/>
  <c r="P16" i="8"/>
  <c r="Q16" i="8"/>
  <c r="V16" i="8" s="1"/>
  <c r="P6" i="8"/>
  <c r="Q6" i="8"/>
  <c r="V6" i="8" s="1"/>
  <c r="P18" i="8"/>
  <c r="Q18" i="8"/>
  <c r="V18" i="8" s="1"/>
  <c r="P15" i="8"/>
  <c r="Q15" i="8"/>
  <c r="V15" i="8" s="1"/>
  <c r="P3" i="8"/>
  <c r="Q3" i="8"/>
  <c r="V3" i="8" s="1"/>
  <c r="P19" i="8"/>
  <c r="U19" i="8" s="1"/>
  <c r="Q19" i="8"/>
  <c r="V19" i="8" s="1"/>
  <c r="P14" i="8"/>
  <c r="Q14" i="8"/>
  <c r="V14" i="8" s="1"/>
  <c r="P4" i="8"/>
  <c r="Q4" i="8"/>
  <c r="V4" i="8" s="1"/>
  <c r="O33" i="8"/>
  <c r="AA4" i="8" s="1"/>
  <c r="AA14" i="8" s="1"/>
  <c r="T7" i="8"/>
  <c r="S7" i="8"/>
  <c r="S4" i="8"/>
  <c r="U4" i="8"/>
  <c r="T4" i="8"/>
  <c r="U10" i="8"/>
  <c r="T27" i="8"/>
  <c r="U27" i="8"/>
  <c r="S27" i="8"/>
  <c r="U21" i="8"/>
  <c r="T21" i="8"/>
  <c r="R21" i="8"/>
  <c r="S21" i="8"/>
  <c r="S15" i="8"/>
  <c r="R15" i="8"/>
  <c r="T15" i="8"/>
  <c r="U3" i="8"/>
  <c r="S3" i="8"/>
  <c r="S9" i="8"/>
  <c r="O34" i="8"/>
  <c r="AA7" i="8" s="1"/>
  <c r="O22" i="8"/>
  <c r="Z4" i="8" s="1"/>
  <c r="Z14" i="8" s="1"/>
  <c r="S31" i="8"/>
  <c r="T9" i="8"/>
  <c r="U7" i="8"/>
  <c r="T25" i="8"/>
  <c r="O11" i="8"/>
  <c r="Y4" i="8" s="1"/>
  <c r="R10" i="8"/>
  <c r="O12" i="8"/>
  <c r="Y7" i="8" s="1"/>
  <c r="T28" i="8"/>
  <c r="R28" i="8"/>
  <c r="S28" i="8"/>
  <c r="U28" i="8"/>
  <c r="S14" i="8"/>
  <c r="U14" i="8"/>
  <c r="R14" i="8"/>
  <c r="T14" i="8"/>
  <c r="S8" i="8"/>
  <c r="T8" i="8"/>
  <c r="R8" i="8"/>
  <c r="U8" i="8"/>
  <c r="U32" i="8"/>
  <c r="T32" i="8"/>
  <c r="R32" i="8"/>
  <c r="S32" i="8"/>
  <c r="T16" i="8"/>
  <c r="R16" i="8"/>
  <c r="S16" i="8"/>
  <c r="U16" i="8"/>
  <c r="R6" i="8"/>
  <c r="U6" i="8"/>
  <c r="P12" i="8"/>
  <c r="S6" i="8"/>
  <c r="T6" i="8"/>
  <c r="P11" i="8"/>
  <c r="O23" i="8"/>
  <c r="Z7" i="8" s="1"/>
  <c r="S29" i="8"/>
  <c r="R9" i="8"/>
  <c r="S25" i="8"/>
  <c r="T10" i="8"/>
  <c r="R4" i="8"/>
  <c r="U5" i="8"/>
  <c r="S19" i="8"/>
  <c r="R29" i="8"/>
  <c r="R5" i="8"/>
  <c r="P23" i="8"/>
  <c r="T29" i="8"/>
  <c r="U15" i="8"/>
  <c r="T5" i="8"/>
  <c r="T3" i="8"/>
  <c r="R27" i="8"/>
  <c r="R3" i="8"/>
  <c r="T19" i="8"/>
  <c r="U25" i="8"/>
  <c r="R19" i="8"/>
  <c r="P22" i="8"/>
  <c r="S26" i="8"/>
  <c r="U26" i="8"/>
  <c r="R26" i="8"/>
  <c r="T26" i="8"/>
  <c r="P34" i="8"/>
  <c r="U20" i="8"/>
  <c r="T20" i="8"/>
  <c r="R20" i="8"/>
  <c r="S20" i="8"/>
  <c r="T18" i="8"/>
  <c r="R18" i="8"/>
  <c r="S18" i="8"/>
  <c r="U18" i="8"/>
  <c r="P33" i="8"/>
  <c r="AK19" i="2"/>
  <c r="V23" i="8" l="1"/>
  <c r="V22" i="8"/>
  <c r="V34" i="8"/>
  <c r="V39" i="8"/>
  <c r="V38" i="8"/>
  <c r="V37" i="8"/>
  <c r="V12" i="8"/>
  <c r="V36" i="8"/>
  <c r="V11" i="8"/>
  <c r="S39" i="8"/>
  <c r="S38" i="8"/>
  <c r="T39" i="8"/>
  <c r="T38" i="8"/>
  <c r="U11" i="8"/>
  <c r="T33" i="8"/>
  <c r="S11" i="8"/>
  <c r="R11" i="8"/>
  <c r="S12" i="8"/>
  <c r="U33" i="8"/>
  <c r="U12" i="8"/>
  <c r="T12" i="8"/>
  <c r="U39" i="8"/>
  <c r="R22" i="8"/>
  <c r="S33" i="8"/>
  <c r="U38" i="8"/>
  <c r="U23" i="8"/>
  <c r="R33" i="8"/>
  <c r="T11" i="8"/>
  <c r="U34" i="8"/>
  <c r="S23" i="8"/>
  <c r="U36" i="8"/>
  <c r="S37" i="8"/>
  <c r="T22" i="8"/>
  <c r="T37" i="8"/>
  <c r="S34" i="8"/>
  <c r="T36" i="8"/>
  <c r="U22" i="8"/>
  <c r="U37" i="8"/>
  <c r="T34" i="8"/>
  <c r="S36" i="8"/>
  <c r="T23" i="8"/>
  <c r="S22" i="8"/>
  <c r="R36" i="8"/>
  <c r="Y14" i="8"/>
  <c r="W9" i="4"/>
  <c r="V2" i="4"/>
  <c r="V3" i="4"/>
  <c r="V4" i="4"/>
  <c r="V5" i="4"/>
  <c r="V6" i="4"/>
  <c r="V7" i="4"/>
  <c r="V8" i="4"/>
  <c r="V9" i="4"/>
  <c r="T2" i="4"/>
  <c r="T3" i="4"/>
  <c r="T4" i="4"/>
  <c r="T5" i="4"/>
  <c r="T6" i="4"/>
  <c r="T7" i="4"/>
  <c r="T8" i="4"/>
  <c r="T9" i="4"/>
  <c r="E34" i="1"/>
  <c r="G36" i="1" l="1"/>
  <c r="AJ35" i="1" l="1"/>
  <c r="AJ34" i="1"/>
  <c r="P12" i="4" l="1"/>
  <c r="P10" i="4" l="1"/>
  <c r="P8" i="4"/>
  <c r="R14" i="7" l="1"/>
  <c r="Q14" i="7"/>
  <c r="AG9" i="7"/>
  <c r="AF9" i="7"/>
  <c r="AG8" i="7"/>
  <c r="AF8" i="7"/>
  <c r="AG7" i="7"/>
  <c r="AF7" i="7"/>
  <c r="AG6" i="7"/>
  <c r="AF6" i="7"/>
  <c r="AG5" i="7"/>
  <c r="AF5" i="7"/>
  <c r="AG4" i="7"/>
  <c r="AF4" i="7"/>
  <c r="AG3" i="7"/>
  <c r="AF3" i="7"/>
  <c r="AG2" i="7"/>
  <c r="AG12" i="7" s="1"/>
  <c r="AF2" i="7"/>
  <c r="AF12" i="7" s="1"/>
  <c r="R12" i="7"/>
  <c r="R11" i="7"/>
  <c r="Q12" i="7"/>
  <c r="Q11" i="7"/>
  <c r="R3" i="7"/>
  <c r="R4" i="7"/>
  <c r="R5" i="7"/>
  <c r="R6" i="7"/>
  <c r="R7" i="7"/>
  <c r="R8" i="7"/>
  <c r="R9" i="7"/>
  <c r="R2" i="7"/>
  <c r="Q3" i="7"/>
  <c r="Q4" i="7"/>
  <c r="Q5" i="7"/>
  <c r="Q6" i="7"/>
  <c r="Q7" i="7"/>
  <c r="Q8" i="7"/>
  <c r="Q9" i="7"/>
  <c r="Q2" i="7"/>
  <c r="G19" i="4"/>
  <c r="G18" i="4"/>
  <c r="C19" i="4"/>
  <c r="D19" i="4"/>
  <c r="E19" i="4"/>
  <c r="E18" i="4"/>
  <c r="D18" i="4"/>
  <c r="C18" i="4"/>
  <c r="G15" i="4"/>
  <c r="G16" i="4"/>
  <c r="F15" i="4"/>
  <c r="F16" i="4"/>
  <c r="E15" i="4"/>
  <c r="E16" i="4"/>
  <c r="D15" i="4"/>
  <c r="D16" i="4"/>
  <c r="K34" i="1"/>
  <c r="K23" i="1"/>
  <c r="C15" i="4"/>
  <c r="C16" i="4"/>
  <c r="X37" i="1"/>
  <c r="W37" i="1"/>
  <c r="L15" i="4" l="1"/>
  <c r="K16" i="4"/>
  <c r="AF11" i="7"/>
  <c r="AG11" i="7"/>
  <c r="L16" i="4"/>
  <c r="K15" i="4"/>
  <c r="J15" i="4"/>
  <c r="J16" i="4"/>
  <c r="G22" i="4" l="1"/>
  <c r="G21" i="4"/>
  <c r="D23" i="4"/>
  <c r="D22" i="4"/>
  <c r="D21" i="4"/>
  <c r="Q12" i="1" l="1"/>
  <c r="P12" i="1"/>
  <c r="G10" i="4"/>
  <c r="G9" i="4"/>
  <c r="F10" i="4"/>
  <c r="F9" i="4"/>
  <c r="C10" i="4"/>
  <c r="C9" i="4"/>
  <c r="E13" i="4"/>
  <c r="E12" i="4"/>
  <c r="D13" i="4"/>
  <c r="D12" i="4"/>
  <c r="C13" i="4"/>
  <c r="C12" i="4"/>
  <c r="E7" i="4"/>
  <c r="E6" i="4"/>
  <c r="D7" i="4"/>
  <c r="D6" i="4"/>
  <c r="C7" i="4"/>
  <c r="C6" i="4"/>
  <c r="K12" i="1" l="1"/>
  <c r="K5" i="7"/>
  <c r="L5" i="7"/>
  <c r="M5" i="7"/>
  <c r="N5" i="7"/>
  <c r="Z3" i="7"/>
  <c r="AA3" i="7"/>
  <c r="AB3" i="7"/>
  <c r="AC3" i="7"/>
  <c r="K8" i="7"/>
  <c r="L8" i="7"/>
  <c r="M8" i="7"/>
  <c r="N8" i="7"/>
  <c r="Z5" i="7"/>
  <c r="AA5" i="7"/>
  <c r="AB5" i="7"/>
  <c r="AC5" i="7"/>
  <c r="K7" i="7"/>
  <c r="L7" i="7"/>
  <c r="M7" i="7"/>
  <c r="N7" i="7"/>
  <c r="Z6" i="7"/>
  <c r="AA6" i="7"/>
  <c r="AB6" i="7"/>
  <c r="AC6" i="7"/>
  <c r="K2" i="7"/>
  <c r="L2" i="7"/>
  <c r="M2" i="7"/>
  <c r="N2" i="7"/>
  <c r="Z2" i="7"/>
  <c r="AA2" i="7"/>
  <c r="AB2" i="7"/>
  <c r="AC2" i="7"/>
  <c r="K4" i="7"/>
  <c r="L4" i="7"/>
  <c r="M4" i="7"/>
  <c r="N4" i="7"/>
  <c r="Z4" i="7"/>
  <c r="AA4" i="7"/>
  <c r="AB4" i="7"/>
  <c r="AC4" i="7"/>
  <c r="K3" i="7"/>
  <c r="L3" i="7"/>
  <c r="M3" i="7"/>
  <c r="N3" i="7"/>
  <c r="Z9" i="7"/>
  <c r="AA9" i="7"/>
  <c r="AB9" i="7"/>
  <c r="AC9" i="7"/>
  <c r="K6" i="7"/>
  <c r="L6" i="7"/>
  <c r="M6" i="7"/>
  <c r="N6" i="7"/>
  <c r="Z8" i="7"/>
  <c r="AA8" i="7"/>
  <c r="AB8" i="7"/>
  <c r="AC8" i="7"/>
  <c r="K9" i="7"/>
  <c r="L9" i="7"/>
  <c r="M9" i="7"/>
  <c r="N9" i="7"/>
  <c r="Z7" i="7"/>
  <c r="AA7" i="7"/>
  <c r="AB7" i="7"/>
  <c r="AC7" i="7"/>
  <c r="G11" i="7"/>
  <c r="V11" i="7"/>
  <c r="G12" i="7"/>
  <c r="V12" i="7"/>
  <c r="A2" i="4"/>
  <c r="A3" i="4"/>
  <c r="C3" i="4"/>
  <c r="D3" i="4"/>
  <c r="E3" i="4"/>
  <c r="A4" i="4"/>
  <c r="C4" i="4"/>
  <c r="D4" i="4"/>
  <c r="E4" i="4"/>
  <c r="AO11" i="1"/>
  <c r="AO12" i="1"/>
  <c r="AM11" i="1"/>
  <c r="AM12" i="1"/>
  <c r="AK11" i="1"/>
  <c r="AK12" i="1"/>
  <c r="G34" i="1"/>
  <c r="G23" i="1"/>
  <c r="G12" i="1"/>
  <c r="S8" i="6"/>
  <c r="J5" i="5"/>
  <c r="P9" i="6" s="1"/>
  <c r="T1" i="6"/>
  <c r="U1" i="6"/>
  <c r="U6" i="6"/>
  <c r="T11" i="6"/>
  <c r="U11" i="6"/>
  <c r="Q19" i="6"/>
  <c r="U19" i="6"/>
  <c r="K3" i="5"/>
  <c r="U4" i="6" s="1"/>
  <c r="E27" i="6"/>
  <c r="D27" i="6"/>
  <c r="E26" i="6"/>
  <c r="D26" i="6"/>
  <c r="E25" i="6"/>
  <c r="D25" i="6"/>
  <c r="E24" i="6"/>
  <c r="D24" i="6"/>
  <c r="E22" i="6"/>
  <c r="D22" i="6"/>
  <c r="E21" i="6"/>
  <c r="D21" i="6"/>
  <c r="E20" i="6"/>
  <c r="D20" i="6"/>
  <c r="M19" i="6"/>
  <c r="K19" i="6"/>
  <c r="AE12" i="6" s="1"/>
  <c r="E19" i="6"/>
  <c r="D19" i="6"/>
  <c r="M18" i="6"/>
  <c r="K18" i="6"/>
  <c r="E18" i="6"/>
  <c r="D18" i="6"/>
  <c r="L17" i="6"/>
  <c r="K17" i="6"/>
  <c r="E17" i="6"/>
  <c r="D17" i="6"/>
  <c r="M16" i="6"/>
  <c r="K16" i="6"/>
  <c r="E16" i="6"/>
  <c r="D16" i="6"/>
  <c r="L15" i="6"/>
  <c r="K15" i="6"/>
  <c r="M14" i="6"/>
  <c r="K14" i="6"/>
  <c r="E14" i="6"/>
  <c r="D14" i="6"/>
  <c r="L13" i="6"/>
  <c r="K13" i="6"/>
  <c r="E13" i="6"/>
  <c r="D13" i="6"/>
  <c r="W12" i="6"/>
  <c r="E12" i="6"/>
  <c r="D12" i="6"/>
  <c r="AE11" i="6"/>
  <c r="AD11" i="6"/>
  <c r="O18" i="6" s="1"/>
  <c r="AC11" i="6"/>
  <c r="AB11" i="6"/>
  <c r="AA11" i="6"/>
  <c r="Z11" i="6"/>
  <c r="N17" i="6" s="1"/>
  <c r="Y11" i="6"/>
  <c r="X11" i="6"/>
  <c r="W11" i="6"/>
  <c r="E11" i="6"/>
  <c r="D11" i="6"/>
  <c r="AE10" i="6"/>
  <c r="AD10" i="6"/>
  <c r="O16" i="6" s="1"/>
  <c r="AC10" i="6"/>
  <c r="AB10" i="6"/>
  <c r="AA10" i="6"/>
  <c r="Z10" i="6"/>
  <c r="N15" i="6" s="1"/>
  <c r="Y10" i="6"/>
  <c r="X10" i="6"/>
  <c r="W10" i="6"/>
  <c r="E10" i="6"/>
  <c r="D10" i="6"/>
  <c r="AE9" i="6"/>
  <c r="AD9" i="6"/>
  <c r="O14" i="6" s="1"/>
  <c r="AC9" i="6"/>
  <c r="AB9" i="6"/>
  <c r="AA9" i="6"/>
  <c r="Z9" i="6"/>
  <c r="N13" i="6" s="1"/>
  <c r="Y9" i="6"/>
  <c r="X9" i="6"/>
  <c r="E9" i="6"/>
  <c r="D9" i="6"/>
  <c r="AE8" i="6"/>
  <c r="AD8" i="6"/>
  <c r="O12" i="6" s="1"/>
  <c r="AC8" i="6"/>
  <c r="AB8" i="6"/>
  <c r="AA8" i="6"/>
  <c r="Z8" i="6"/>
  <c r="N11" i="6" s="1"/>
  <c r="Y8" i="6"/>
  <c r="X8" i="6"/>
  <c r="E8" i="6"/>
  <c r="D8" i="6"/>
  <c r="AE7" i="6"/>
  <c r="AD7" i="6"/>
  <c r="O10" i="6" s="1"/>
  <c r="AC7" i="6"/>
  <c r="AB7" i="6"/>
  <c r="E7" i="6"/>
  <c r="D7" i="6"/>
  <c r="AA6" i="6"/>
  <c r="Z6" i="6"/>
  <c r="N9" i="6" s="1"/>
  <c r="Y6" i="6"/>
  <c r="X6" i="6"/>
  <c r="E6" i="6"/>
  <c r="D6" i="6"/>
  <c r="AE5" i="6"/>
  <c r="AD5" i="6"/>
  <c r="O8" i="6" s="1"/>
  <c r="AC5" i="6"/>
  <c r="AB5" i="6"/>
  <c r="AA5" i="6"/>
  <c r="Z5" i="6"/>
  <c r="N7" i="6" s="1"/>
  <c r="Y5" i="6"/>
  <c r="X5" i="6"/>
  <c r="E5" i="6"/>
  <c r="D5" i="6"/>
  <c r="AE4" i="6"/>
  <c r="AD4" i="6"/>
  <c r="O6" i="6" s="1"/>
  <c r="AC4" i="6"/>
  <c r="AB4" i="6"/>
  <c r="AA4" i="6"/>
  <c r="Z4" i="6"/>
  <c r="N5" i="6" s="1"/>
  <c r="Y4" i="6"/>
  <c r="X4" i="6"/>
  <c r="E4" i="6"/>
  <c r="D4" i="6"/>
  <c r="AE3" i="6"/>
  <c r="AD3" i="6"/>
  <c r="AC3" i="6"/>
  <c r="AB3" i="6"/>
  <c r="AA3" i="6"/>
  <c r="Z3" i="6"/>
  <c r="Y3" i="6"/>
  <c r="X3" i="6"/>
  <c r="E3" i="6"/>
  <c r="D3" i="6"/>
  <c r="E2" i="6"/>
  <c r="D2" i="6"/>
  <c r="E1" i="6"/>
  <c r="D1" i="6"/>
  <c r="AH26" i="5"/>
  <c r="AF14" i="5" s="1"/>
  <c r="AG26" i="5"/>
  <c r="AF8" i="5" s="1"/>
  <c r="AF26" i="5"/>
  <c r="AE26" i="5"/>
  <c r="AD26" i="5"/>
  <c r="AB26" i="5"/>
  <c r="Y14" i="5" s="1"/>
  <c r="AA26" i="5"/>
  <c r="Y8" i="5" s="1"/>
  <c r="Z26" i="5"/>
  <c r="Y26" i="5"/>
  <c r="AH25" i="5"/>
  <c r="AG14" i="5" s="1"/>
  <c r="AG25" i="5"/>
  <c r="AG8" i="5" s="1"/>
  <c r="AF25" i="5"/>
  <c r="AE25" i="5"/>
  <c r="AD25" i="5"/>
  <c r="AB25" i="5"/>
  <c r="V14" i="5" s="1"/>
  <c r="AA25" i="5"/>
  <c r="V8" i="5" s="1"/>
  <c r="Z25" i="5"/>
  <c r="Y25" i="5"/>
  <c r="AH24" i="5"/>
  <c r="AH14" i="5" s="1"/>
  <c r="AG24" i="5"/>
  <c r="AH8" i="5" s="1"/>
  <c r="AF24" i="5"/>
  <c r="AE24" i="5"/>
  <c r="AD24" i="5"/>
  <c r="AB24" i="5"/>
  <c r="S14" i="5" s="1"/>
  <c r="AA24" i="5"/>
  <c r="S8" i="5" s="1"/>
  <c r="Z24" i="5"/>
  <c r="Y24" i="5"/>
  <c r="AH23" i="5"/>
  <c r="AC14" i="5" s="1"/>
  <c r="AG23" i="5"/>
  <c r="AC8" i="5" s="1"/>
  <c r="AF23" i="5"/>
  <c r="AE23" i="5"/>
  <c r="AD23" i="5"/>
  <c r="AB23" i="5"/>
  <c r="T14" i="5" s="1"/>
  <c r="AA23" i="5"/>
  <c r="T8" i="5" s="1"/>
  <c r="Z23" i="5"/>
  <c r="Y23" i="5"/>
  <c r="AH22" i="5"/>
  <c r="AA14" i="5" s="1"/>
  <c r="AG22" i="5"/>
  <c r="AA8" i="5" s="1"/>
  <c r="AF22" i="5"/>
  <c r="AE22" i="5"/>
  <c r="AD22" i="5"/>
  <c r="AB22" i="5"/>
  <c r="R14" i="5" s="1"/>
  <c r="AA22" i="5"/>
  <c r="R8" i="5" s="1"/>
  <c r="Z22" i="5"/>
  <c r="Y22" i="5"/>
  <c r="AH21" i="5"/>
  <c r="AE14" i="5" s="1"/>
  <c r="AG21" i="5"/>
  <c r="AE8" i="5" s="1"/>
  <c r="AF21" i="5"/>
  <c r="AE21" i="5"/>
  <c r="AD21" i="5"/>
  <c r="AB21" i="5"/>
  <c r="W14" i="5" s="1"/>
  <c r="AA21" i="5"/>
  <c r="W8" i="5" s="1"/>
  <c r="Z21" i="5"/>
  <c r="Y21" i="5"/>
  <c r="AH20" i="5"/>
  <c r="AD14" i="5" s="1"/>
  <c r="AG20" i="5"/>
  <c r="AD8" i="5" s="1"/>
  <c r="AF20" i="5"/>
  <c r="AE20" i="5"/>
  <c r="AD20" i="5"/>
  <c r="AB20" i="5"/>
  <c r="X14" i="5" s="1"/>
  <c r="AA20" i="5"/>
  <c r="X8" i="5" s="1"/>
  <c r="Z20" i="5"/>
  <c r="Y20" i="5"/>
  <c r="M20" i="5"/>
  <c r="L20" i="5"/>
  <c r="K20" i="5"/>
  <c r="U21" i="6" s="1"/>
  <c r="J20" i="5"/>
  <c r="Q10" i="6" s="1"/>
  <c r="I20" i="5"/>
  <c r="H20" i="5"/>
  <c r="G20" i="5"/>
  <c r="F20" i="5"/>
  <c r="E20" i="5"/>
  <c r="D20" i="5"/>
  <c r="AH19" i="5"/>
  <c r="AB14" i="5" s="1"/>
  <c r="AG19" i="5"/>
  <c r="AB8" i="5" s="1"/>
  <c r="AF19" i="5"/>
  <c r="AE19" i="5"/>
  <c r="AD19" i="5"/>
  <c r="AB19" i="5"/>
  <c r="U14" i="5" s="1"/>
  <c r="AA19" i="5"/>
  <c r="U8" i="5" s="1"/>
  <c r="Z19" i="5"/>
  <c r="Y19" i="5"/>
  <c r="AH18" i="5"/>
  <c r="AG18" i="5"/>
  <c r="AF18" i="5"/>
  <c r="AE18" i="5"/>
  <c r="AD18" i="5"/>
  <c r="AB18" i="5"/>
  <c r="AA18" i="5"/>
  <c r="Z18" i="5"/>
  <c r="Y18" i="5"/>
  <c r="N17" i="5"/>
  <c r="M17" i="5"/>
  <c r="L17" i="5"/>
  <c r="K17" i="5"/>
  <c r="U18" i="6" s="1"/>
  <c r="J17" i="5"/>
  <c r="Q18" i="6" s="1"/>
  <c r="I17" i="5"/>
  <c r="AG12" i="5" s="1"/>
  <c r="H17" i="5"/>
  <c r="AG4" i="5" s="1"/>
  <c r="G17" i="5"/>
  <c r="AG11" i="5" s="1"/>
  <c r="F17" i="5"/>
  <c r="AG3" i="5" s="1"/>
  <c r="E17" i="5"/>
  <c r="AG13" i="5" s="1"/>
  <c r="D17" i="5"/>
  <c r="AG5" i="5" s="1"/>
  <c r="M16" i="5"/>
  <c r="L16" i="5"/>
  <c r="K16" i="5"/>
  <c r="U17" i="6" s="1"/>
  <c r="J16" i="5"/>
  <c r="Q16" i="6" s="1"/>
  <c r="I16" i="5"/>
  <c r="AF12" i="5" s="1"/>
  <c r="H16" i="5"/>
  <c r="AF4" i="5" s="1"/>
  <c r="G16" i="5"/>
  <c r="AF11" i="5" s="1"/>
  <c r="F16" i="5"/>
  <c r="AF3" i="5" s="1"/>
  <c r="E16" i="5"/>
  <c r="AF13" i="5" s="1"/>
  <c r="D16" i="5"/>
  <c r="AF5" i="5" s="1"/>
  <c r="N15" i="5"/>
  <c r="M15" i="5"/>
  <c r="L15" i="5"/>
  <c r="K15" i="5"/>
  <c r="U16" i="6" s="1"/>
  <c r="J15" i="5"/>
  <c r="Q14" i="6" s="1"/>
  <c r="I15" i="5"/>
  <c r="AE12" i="5" s="1"/>
  <c r="H15" i="5"/>
  <c r="AE4" i="5" s="1"/>
  <c r="G15" i="5"/>
  <c r="AE11" i="5" s="1"/>
  <c r="F15" i="5"/>
  <c r="AE3" i="5" s="1"/>
  <c r="E15" i="5"/>
  <c r="AE13" i="5" s="1"/>
  <c r="D15" i="5"/>
  <c r="AE5" i="5" s="1"/>
  <c r="M14" i="5"/>
  <c r="L14" i="5"/>
  <c r="K14" i="5"/>
  <c r="U15" i="6" s="1"/>
  <c r="J14" i="5"/>
  <c r="Q12" i="6" s="1"/>
  <c r="I14" i="5"/>
  <c r="AD12" i="5" s="1"/>
  <c r="H14" i="5"/>
  <c r="AD4" i="5" s="1"/>
  <c r="G14" i="5"/>
  <c r="AD11" i="5" s="1"/>
  <c r="F14" i="5"/>
  <c r="AD3" i="5" s="1"/>
  <c r="E14" i="5"/>
  <c r="AD13" i="5" s="1"/>
  <c r="D14" i="5"/>
  <c r="AD5" i="5" s="1"/>
  <c r="AH13" i="5"/>
  <c r="M13" i="5"/>
  <c r="L13" i="5"/>
  <c r="K13" i="5"/>
  <c r="U14" i="6" s="1"/>
  <c r="J13" i="5"/>
  <c r="Q8" i="6" s="1"/>
  <c r="I13" i="5"/>
  <c r="AC12" i="5" s="1"/>
  <c r="H13" i="5"/>
  <c r="AC4" i="5" s="1"/>
  <c r="G13" i="5"/>
  <c r="AC11" i="5" s="1"/>
  <c r="F13" i="5"/>
  <c r="AC3" i="5" s="1"/>
  <c r="E13" i="5"/>
  <c r="AC13" i="5" s="1"/>
  <c r="D13" i="5"/>
  <c r="AC5" i="5" s="1"/>
  <c r="AH12" i="5"/>
  <c r="M12" i="5"/>
  <c r="L12" i="5"/>
  <c r="K12" i="5"/>
  <c r="U13" i="6" s="1"/>
  <c r="J12" i="5"/>
  <c r="Q6" i="6" s="1"/>
  <c r="I12" i="5"/>
  <c r="AB12" i="5" s="1"/>
  <c r="H12" i="5"/>
  <c r="AB4" i="5" s="1"/>
  <c r="G12" i="5"/>
  <c r="AB11" i="5" s="1"/>
  <c r="F12" i="5"/>
  <c r="AB3" i="5" s="1"/>
  <c r="E12" i="5"/>
  <c r="AB13" i="5" s="1"/>
  <c r="D12" i="5"/>
  <c r="AB5" i="5" s="1"/>
  <c r="AH11" i="5"/>
  <c r="M11" i="5"/>
  <c r="L11" i="5"/>
  <c r="K11" i="5"/>
  <c r="U12" i="6" s="1"/>
  <c r="J11" i="5"/>
  <c r="Q4" i="6" s="1"/>
  <c r="I11" i="5"/>
  <c r="AA12" i="5" s="1"/>
  <c r="H11" i="5"/>
  <c r="AA4" i="5" s="1"/>
  <c r="G11" i="5"/>
  <c r="AA11" i="5" s="1"/>
  <c r="F11" i="5"/>
  <c r="AA3" i="5" s="1"/>
  <c r="E11" i="5"/>
  <c r="AA13" i="5" s="1"/>
  <c r="D11" i="5"/>
  <c r="AA5" i="5" s="1"/>
  <c r="N9" i="5"/>
  <c r="M9" i="5"/>
  <c r="L9" i="5"/>
  <c r="K9" i="5"/>
  <c r="U10" i="6" s="1"/>
  <c r="J9" i="5"/>
  <c r="P17" i="6" s="1"/>
  <c r="I9" i="5"/>
  <c r="Y12" i="5" s="1"/>
  <c r="H9" i="5"/>
  <c r="Y4" i="5" s="1"/>
  <c r="G9" i="5"/>
  <c r="Y11" i="5" s="1"/>
  <c r="F9" i="5"/>
  <c r="Y3" i="5" s="1"/>
  <c r="E9" i="5"/>
  <c r="Y13" i="5" s="1"/>
  <c r="D9" i="5"/>
  <c r="Y5" i="5" s="1"/>
  <c r="M8" i="5"/>
  <c r="L8" i="5"/>
  <c r="K8" i="5"/>
  <c r="U9" i="6" s="1"/>
  <c r="J8" i="5"/>
  <c r="P15" i="6" s="1"/>
  <c r="I8" i="5"/>
  <c r="X12" i="5" s="1"/>
  <c r="H8" i="5"/>
  <c r="X4" i="5" s="1"/>
  <c r="G8" i="5"/>
  <c r="X11" i="5" s="1"/>
  <c r="F8" i="5"/>
  <c r="X3" i="5" s="1"/>
  <c r="E8" i="5"/>
  <c r="X13" i="5" s="1"/>
  <c r="D8" i="5"/>
  <c r="X5" i="5" s="1"/>
  <c r="N7" i="5"/>
  <c r="M7" i="5"/>
  <c r="L7" i="5"/>
  <c r="K7" i="5"/>
  <c r="U8" i="6" s="1"/>
  <c r="J7" i="5"/>
  <c r="P13" i="6" s="1"/>
  <c r="I7" i="5"/>
  <c r="W12" i="5" s="1"/>
  <c r="H7" i="5"/>
  <c r="W4" i="5" s="1"/>
  <c r="G7" i="5"/>
  <c r="W11" i="5" s="1"/>
  <c r="F7" i="5"/>
  <c r="W3" i="5" s="1"/>
  <c r="E7" i="5"/>
  <c r="W13" i="5" s="1"/>
  <c r="D7" i="5"/>
  <c r="W5" i="5" s="1"/>
  <c r="B7" i="5"/>
  <c r="M6" i="5"/>
  <c r="L6" i="5"/>
  <c r="K6" i="5"/>
  <c r="U7" i="6" s="1"/>
  <c r="J6" i="5"/>
  <c r="P11" i="6" s="1"/>
  <c r="I6" i="5"/>
  <c r="V12" i="5" s="1"/>
  <c r="H6" i="5"/>
  <c r="V4" i="5" s="1"/>
  <c r="G6" i="5"/>
  <c r="V11" i="5" s="1"/>
  <c r="F6" i="5"/>
  <c r="V3" i="5" s="1"/>
  <c r="E6" i="5"/>
  <c r="V13" i="5" s="1"/>
  <c r="D6" i="5"/>
  <c r="V5" i="5" s="1"/>
  <c r="AH5" i="5"/>
  <c r="I5" i="5"/>
  <c r="U12" i="5" s="1"/>
  <c r="H5" i="5"/>
  <c r="U4" i="5" s="1"/>
  <c r="G5" i="5"/>
  <c r="U11" i="5" s="1"/>
  <c r="F5" i="5"/>
  <c r="U3" i="5" s="1"/>
  <c r="E5" i="5"/>
  <c r="U13" i="5" s="1"/>
  <c r="D5" i="5"/>
  <c r="U5" i="5" s="1"/>
  <c r="B5" i="5"/>
  <c r="AH4" i="5"/>
  <c r="M4" i="5"/>
  <c r="L4" i="5"/>
  <c r="K4" i="5"/>
  <c r="U5" i="6" s="1"/>
  <c r="J4" i="5"/>
  <c r="P7" i="6" s="1"/>
  <c r="I4" i="5"/>
  <c r="T12" i="5" s="1"/>
  <c r="H4" i="5"/>
  <c r="T4" i="5" s="1"/>
  <c r="G4" i="5"/>
  <c r="T11" i="5" s="1"/>
  <c r="F4" i="5"/>
  <c r="T3" i="5" s="1"/>
  <c r="E4" i="5"/>
  <c r="T13" i="5" s="1"/>
  <c r="D4" i="5"/>
  <c r="T5" i="5" s="1"/>
  <c r="AH3" i="5"/>
  <c r="M3" i="5"/>
  <c r="L3" i="5"/>
  <c r="J3" i="5"/>
  <c r="P5" i="6" s="1"/>
  <c r="I3" i="5"/>
  <c r="S12" i="5" s="1"/>
  <c r="H3" i="5"/>
  <c r="S4" i="5" s="1"/>
  <c r="G3" i="5"/>
  <c r="S11" i="5" s="1"/>
  <c r="F3" i="5"/>
  <c r="S3" i="5" s="1"/>
  <c r="E3" i="5"/>
  <c r="S13" i="5" s="1"/>
  <c r="D3" i="5"/>
  <c r="S5" i="5" s="1"/>
  <c r="M2" i="5"/>
  <c r="L2" i="5"/>
  <c r="K2" i="5"/>
  <c r="U3" i="6" s="1"/>
  <c r="J2" i="5"/>
  <c r="P3" i="6" s="1"/>
  <c r="I2" i="5"/>
  <c r="R12" i="5" s="1"/>
  <c r="H2" i="5"/>
  <c r="G2" i="5"/>
  <c r="R11" i="5" s="1"/>
  <c r="F2" i="5"/>
  <c r="R3" i="5" s="1"/>
  <c r="E2" i="5"/>
  <c r="R13" i="5" s="1"/>
  <c r="D2" i="5"/>
  <c r="R5" i="5" s="1"/>
  <c r="AB12" i="6" l="1"/>
  <c r="AB13" i="6" s="1"/>
  <c r="AC12" i="6"/>
  <c r="AC13" i="6" s="1"/>
  <c r="AE7" i="7"/>
  <c r="AD7" i="7"/>
  <c r="AE8" i="7"/>
  <c r="AD8" i="7"/>
  <c r="AE9" i="7"/>
  <c r="AD9" i="7"/>
  <c r="AE4" i="7"/>
  <c r="AD4" i="7"/>
  <c r="AE2" i="7"/>
  <c r="AD2" i="7"/>
  <c r="G15" i="7"/>
  <c r="AE6" i="7"/>
  <c r="AD6" i="7"/>
  <c r="AE5" i="7"/>
  <c r="AD5" i="7"/>
  <c r="AE3" i="7"/>
  <c r="AD3" i="7"/>
  <c r="P9" i="7"/>
  <c r="O9" i="7"/>
  <c r="P6" i="7"/>
  <c r="O6" i="7"/>
  <c r="P3" i="7"/>
  <c r="O3" i="7"/>
  <c r="P4" i="7"/>
  <c r="O4" i="7"/>
  <c r="P2" i="7"/>
  <c r="O2" i="7"/>
  <c r="P7" i="7"/>
  <c r="O7" i="7"/>
  <c r="P8" i="7"/>
  <c r="O8" i="7"/>
  <c r="P5" i="7"/>
  <c r="O5" i="7"/>
  <c r="G4" i="4"/>
  <c r="N3" i="6"/>
  <c r="N20" i="6" s="1"/>
  <c r="Z12" i="6"/>
  <c r="Z13" i="6" s="1"/>
  <c r="O4" i="6"/>
  <c r="O20" i="6" s="1"/>
  <c r="AD12" i="6"/>
  <c r="AD13" i="6" s="1"/>
  <c r="F4" i="4"/>
  <c r="F3" i="4"/>
  <c r="X12" i="6"/>
  <c r="X13" i="6" s="1"/>
  <c r="G3" i="4"/>
  <c r="H19" i="5"/>
  <c r="Y12" i="6"/>
  <c r="Y13" i="6" s="1"/>
  <c r="R4" i="5"/>
  <c r="X15" i="7"/>
  <c r="AI3" i="5"/>
  <c r="AI4" i="5"/>
  <c r="F19" i="5"/>
  <c r="P12" i="7" l="1"/>
  <c r="F7" i="4" s="1"/>
  <c r="P11" i="7"/>
  <c r="F6" i="4" s="1"/>
  <c r="G16" i="7"/>
  <c r="AE11" i="7"/>
  <c r="G6" i="4" s="1"/>
  <c r="AE12" i="7"/>
  <c r="G7" i="4" s="1"/>
  <c r="AO8" i="1" l="1"/>
  <c r="AM8" i="1"/>
  <c r="AK8" i="1"/>
  <c r="AO3" i="1"/>
  <c r="Y32" i="1" l="1"/>
  <c r="Y31" i="1"/>
  <c r="Y30" i="1"/>
  <c r="Y29" i="1"/>
  <c r="Y28" i="1"/>
  <c r="Y27" i="1"/>
  <c r="Y26" i="1"/>
  <c r="Y25" i="1"/>
  <c r="Y33" i="1" s="1"/>
  <c r="Y21" i="1"/>
  <c r="Y20" i="1"/>
  <c r="Y19" i="1"/>
  <c r="Y18" i="1"/>
  <c r="Y17" i="1"/>
  <c r="Y16" i="1"/>
  <c r="Y15" i="1"/>
  <c r="Y14" i="1"/>
  <c r="Y22" i="1" s="1"/>
  <c r="AM3" i="1" s="1"/>
  <c r="Y4" i="1"/>
  <c r="Y5" i="1"/>
  <c r="Y6" i="1"/>
  <c r="Y7" i="1"/>
  <c r="Y8" i="1"/>
  <c r="Y9" i="1"/>
  <c r="Y10" i="1"/>
  <c r="Y3" i="1"/>
  <c r="Y11" i="1" l="1"/>
  <c r="AK3" i="1" s="1"/>
  <c r="X33" i="1"/>
  <c r="W33" i="1"/>
  <c r="V33" i="1"/>
  <c r="V26" i="1"/>
  <c r="W26" i="1"/>
  <c r="X26" i="1"/>
  <c r="V27" i="1"/>
  <c r="W27" i="1"/>
  <c r="X27" i="1"/>
  <c r="V28" i="1"/>
  <c r="W28" i="1"/>
  <c r="X28" i="1"/>
  <c r="V29" i="1"/>
  <c r="W29" i="1"/>
  <c r="X29" i="1"/>
  <c r="V30" i="1"/>
  <c r="W30" i="1"/>
  <c r="X30" i="1"/>
  <c r="V31" i="1"/>
  <c r="W31" i="1"/>
  <c r="X31" i="1"/>
  <c r="V32" i="1"/>
  <c r="W32" i="1"/>
  <c r="X32" i="1"/>
  <c r="X25" i="1"/>
  <c r="W25" i="1"/>
  <c r="V25" i="1"/>
  <c r="V15" i="1"/>
  <c r="V22" i="1" s="1"/>
  <c r="W15" i="1"/>
  <c r="X15" i="1"/>
  <c r="X22" i="1" s="1"/>
  <c r="V16" i="1"/>
  <c r="W16" i="1"/>
  <c r="W22" i="1" s="1"/>
  <c r="X16" i="1"/>
  <c r="V17" i="1"/>
  <c r="W17" i="1"/>
  <c r="X17" i="1"/>
  <c r="V18" i="1"/>
  <c r="W18" i="1"/>
  <c r="X18" i="1"/>
  <c r="V19" i="1"/>
  <c r="W19" i="1"/>
  <c r="X19" i="1"/>
  <c r="V20" i="1"/>
  <c r="W20" i="1"/>
  <c r="X20" i="1"/>
  <c r="V21" i="1"/>
  <c r="W21" i="1"/>
  <c r="X21" i="1"/>
  <c r="X14" i="1"/>
  <c r="W14" i="1"/>
  <c r="V14" i="1"/>
  <c r="V4" i="1"/>
  <c r="W4" i="1"/>
  <c r="X4" i="1"/>
  <c r="V5" i="1"/>
  <c r="W5" i="1"/>
  <c r="X5" i="1"/>
  <c r="V6" i="1"/>
  <c r="W6" i="1"/>
  <c r="X6" i="1"/>
  <c r="V7" i="1"/>
  <c r="W7" i="1"/>
  <c r="X7" i="1"/>
  <c r="V8" i="1"/>
  <c r="W8" i="1"/>
  <c r="X8" i="1"/>
  <c r="V9" i="1"/>
  <c r="W9" i="1"/>
  <c r="X9" i="1"/>
  <c r="V10" i="1"/>
  <c r="W10" i="1"/>
  <c r="X10" i="1"/>
  <c r="X3" i="1"/>
  <c r="W3" i="1"/>
  <c r="V3" i="1"/>
  <c r="V36" i="1" l="1"/>
  <c r="X36" i="1"/>
  <c r="W36" i="1"/>
  <c r="V11" i="1"/>
  <c r="X11" i="1"/>
  <c r="W11" i="1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" i="3"/>
  <c r="O2" i="3"/>
  <c r="N3" i="3"/>
  <c r="O3" i="3"/>
  <c r="N4" i="3"/>
  <c r="O4" i="3"/>
  <c r="N5" i="3"/>
  <c r="O5" i="3"/>
  <c r="N6" i="3"/>
  <c r="O6" i="3"/>
  <c r="N7" i="3"/>
  <c r="O7" i="3"/>
  <c r="N8" i="3"/>
  <c r="O8" i="3"/>
  <c r="N9" i="3"/>
  <c r="O9" i="3"/>
  <c r="P40" i="3"/>
  <c r="O40" i="3"/>
  <c r="N40" i="3"/>
  <c r="P39" i="3"/>
  <c r="O39" i="3"/>
  <c r="N39" i="3"/>
  <c r="L36" i="3"/>
  <c r="L35" i="3"/>
  <c r="M34" i="3"/>
  <c r="L34" i="3"/>
  <c r="M29" i="3"/>
  <c r="L29" i="3"/>
  <c r="K29" i="3"/>
  <c r="J29" i="3"/>
  <c r="I29" i="3"/>
  <c r="H29" i="3"/>
  <c r="T29" i="3" s="1"/>
  <c r="G29" i="3"/>
  <c r="F29" i="3"/>
  <c r="M28" i="3"/>
  <c r="L28" i="3"/>
  <c r="K28" i="3"/>
  <c r="J28" i="3"/>
  <c r="G28" i="3"/>
  <c r="F28" i="3"/>
  <c r="L40" i="3" s="1"/>
  <c r="M27" i="3"/>
  <c r="L27" i="3"/>
  <c r="K27" i="3"/>
  <c r="J27" i="3"/>
  <c r="G27" i="3"/>
  <c r="F27" i="3"/>
  <c r="M26" i="3"/>
  <c r="L26" i="3"/>
  <c r="K26" i="3"/>
  <c r="J26" i="3"/>
  <c r="I26" i="3"/>
  <c r="H26" i="3"/>
  <c r="T26" i="3" s="1"/>
  <c r="G26" i="3"/>
  <c r="F26" i="3"/>
  <c r="M25" i="3"/>
  <c r="L25" i="3"/>
  <c r="K25" i="3"/>
  <c r="J25" i="3"/>
  <c r="I25" i="3"/>
  <c r="H25" i="3"/>
  <c r="T25" i="3" s="1"/>
  <c r="G25" i="3"/>
  <c r="F25" i="3"/>
  <c r="M24" i="3"/>
  <c r="L24" i="3"/>
  <c r="K24" i="3"/>
  <c r="J24" i="3"/>
  <c r="I24" i="3"/>
  <c r="H24" i="3"/>
  <c r="T24" i="3" s="1"/>
  <c r="G24" i="3"/>
  <c r="F24" i="3"/>
  <c r="M23" i="3"/>
  <c r="L23" i="3"/>
  <c r="K23" i="3"/>
  <c r="J23" i="3"/>
  <c r="I23" i="3"/>
  <c r="H23" i="3"/>
  <c r="T23" i="3" s="1"/>
  <c r="G23" i="3"/>
  <c r="F23" i="3"/>
  <c r="M22" i="3"/>
  <c r="L22" i="3"/>
  <c r="K22" i="3"/>
  <c r="J22" i="3"/>
  <c r="I22" i="3"/>
  <c r="H22" i="3"/>
  <c r="T22" i="3" s="1"/>
  <c r="G22" i="3"/>
  <c r="F22" i="3"/>
  <c r="AJ20" i="3"/>
  <c r="AI20" i="3"/>
  <c r="AH20" i="3"/>
  <c r="AG20" i="3"/>
  <c r="J36" i="3" s="1"/>
  <c r="AJ19" i="3"/>
  <c r="AI19" i="3"/>
  <c r="AH19" i="3"/>
  <c r="AG19" i="3"/>
  <c r="M19" i="3"/>
  <c r="L19" i="3"/>
  <c r="K19" i="3"/>
  <c r="J19" i="3"/>
  <c r="AJ18" i="3"/>
  <c r="AI18" i="3"/>
  <c r="AH18" i="3"/>
  <c r="AG18" i="3"/>
  <c r="M18" i="3"/>
  <c r="L18" i="3"/>
  <c r="K18" i="3"/>
  <c r="J18" i="3"/>
  <c r="AJ17" i="3"/>
  <c r="AI17" i="3"/>
  <c r="AH17" i="3"/>
  <c r="AG17" i="3"/>
  <c r="M17" i="3"/>
  <c r="L17" i="3"/>
  <c r="K17" i="3"/>
  <c r="J17" i="3"/>
  <c r="AJ16" i="3"/>
  <c r="AI16" i="3"/>
  <c r="AH16" i="3"/>
  <c r="AG16" i="3"/>
  <c r="F40" i="3" s="1"/>
  <c r="M16" i="3"/>
  <c r="L16" i="3"/>
  <c r="K16" i="3"/>
  <c r="J16" i="3"/>
  <c r="AJ15" i="3"/>
  <c r="AI15" i="3"/>
  <c r="AH15" i="3"/>
  <c r="AG15" i="3"/>
  <c r="M15" i="3"/>
  <c r="L15" i="3"/>
  <c r="K15" i="3"/>
  <c r="J15" i="3"/>
  <c r="AJ14" i="3"/>
  <c r="AI14" i="3"/>
  <c r="AH14" i="3"/>
  <c r="AG14" i="3"/>
  <c r="M14" i="3"/>
  <c r="L14" i="3"/>
  <c r="K14" i="3"/>
  <c r="J14" i="3"/>
  <c r="AJ13" i="3"/>
  <c r="AI13" i="3"/>
  <c r="AH13" i="3"/>
  <c r="AG13" i="3"/>
  <c r="M13" i="3"/>
  <c r="L13" i="3"/>
  <c r="K13" i="3"/>
  <c r="J13" i="3"/>
  <c r="AI12" i="3"/>
  <c r="AH12" i="3"/>
  <c r="AG12" i="3"/>
  <c r="M12" i="3"/>
  <c r="L12" i="3"/>
  <c r="K12" i="3"/>
  <c r="J12" i="3"/>
  <c r="AJ8" i="3"/>
  <c r="AI8" i="3"/>
  <c r="AH8" i="3"/>
  <c r="AG8" i="3"/>
  <c r="AJ7" i="3"/>
  <c r="AI7" i="3"/>
  <c r="AH7" i="3"/>
  <c r="AG7" i="3"/>
  <c r="AJ6" i="3"/>
  <c r="AI6" i="3"/>
  <c r="AH6" i="3"/>
  <c r="AG6" i="3"/>
  <c r="F39" i="3" s="1"/>
  <c r="AJ5" i="3"/>
  <c r="AI5" i="3"/>
  <c r="AH5" i="3"/>
  <c r="AG5" i="3"/>
  <c r="AJ4" i="3"/>
  <c r="AI4" i="3"/>
  <c r="AH4" i="3"/>
  <c r="AG4" i="3"/>
  <c r="AJ3" i="3"/>
  <c r="AI3" i="3"/>
  <c r="AH3" i="3"/>
  <c r="AG3" i="3"/>
  <c r="G39" i="3" s="1"/>
  <c r="C3" i="3"/>
  <c r="AI2" i="3"/>
  <c r="AH2" i="3"/>
  <c r="AG2" i="3"/>
  <c r="M1" i="3"/>
  <c r="L1" i="3"/>
  <c r="M36" i="3" l="1"/>
  <c r="P43" i="3"/>
  <c r="G40" i="3"/>
  <c r="L20" i="3"/>
  <c r="AG21" i="3"/>
  <c r="E40" i="3" s="1"/>
  <c r="R22" i="3"/>
  <c r="R23" i="3"/>
  <c r="G30" i="3"/>
  <c r="P26" i="3"/>
  <c r="S26" i="3" s="1"/>
  <c r="R26" i="3"/>
  <c r="M35" i="3"/>
  <c r="M20" i="3"/>
  <c r="AI21" i="3"/>
  <c r="Q17" i="3"/>
  <c r="P23" i="3"/>
  <c r="S23" i="3" s="1"/>
  <c r="Q23" i="3"/>
  <c r="R24" i="3"/>
  <c r="Q27" i="3"/>
  <c r="P29" i="3"/>
  <c r="S29" i="3" s="1"/>
  <c r="P42" i="3"/>
  <c r="Q16" i="3"/>
  <c r="Q19" i="3"/>
  <c r="AJ9" i="3"/>
  <c r="AH21" i="3"/>
  <c r="Q14" i="3"/>
  <c r="R25" i="3"/>
  <c r="Q25" i="3"/>
  <c r="P25" i="3"/>
  <c r="S25" i="3" s="1"/>
  <c r="F30" i="3"/>
  <c r="AG22" i="3"/>
  <c r="AG9" i="3"/>
  <c r="E39" i="3" s="1"/>
  <c r="G42" i="3" s="1"/>
  <c r="M30" i="3"/>
  <c r="L30" i="3"/>
  <c r="O42" i="3"/>
  <c r="AH9" i="3"/>
  <c r="J20" i="3"/>
  <c r="Q18" i="3"/>
  <c r="Q26" i="3"/>
  <c r="Q28" i="3"/>
  <c r="J30" i="3"/>
  <c r="O43" i="3"/>
  <c r="AI9" i="3"/>
  <c r="Q12" i="3"/>
  <c r="Q13" i="3"/>
  <c r="AJ21" i="3"/>
  <c r="Q15" i="3"/>
  <c r="K20" i="3"/>
  <c r="P22" i="3"/>
  <c r="S22" i="3" s="1"/>
  <c r="Q22" i="3"/>
  <c r="P24" i="3"/>
  <c r="S24" i="3" s="1"/>
  <c r="Q24" i="3"/>
  <c r="R29" i="3"/>
  <c r="Q29" i="3"/>
  <c r="K30" i="3"/>
  <c r="G43" i="3" l="1"/>
  <c r="F43" i="3"/>
  <c r="F42" i="3"/>
  <c r="AH22" i="2" l="1"/>
  <c r="AG22" i="2"/>
  <c r="AF22" i="2"/>
  <c r="N22" i="2"/>
  <c r="AE22" i="2" s="1"/>
  <c r="M22" i="2"/>
  <c r="AC22" i="2" s="1"/>
  <c r="L22" i="2"/>
  <c r="K22" i="2"/>
  <c r="J22" i="2"/>
  <c r="V22" i="2" s="1"/>
  <c r="I22" i="2"/>
  <c r="T22" i="2" s="1"/>
  <c r="H22" i="2"/>
  <c r="Y22" i="2" s="1"/>
  <c r="G22" i="2"/>
  <c r="W22" i="2" s="1"/>
  <c r="F22" i="2"/>
  <c r="AB22" i="2" s="1"/>
  <c r="E22" i="2"/>
  <c r="Z22" i="2" s="1"/>
  <c r="AH19" i="2"/>
  <c r="AF19" i="2"/>
  <c r="AE19" i="2"/>
  <c r="AC19" i="2"/>
  <c r="AB19" i="2"/>
  <c r="Z19" i="2"/>
  <c r="Y19" i="2"/>
  <c r="W19" i="2"/>
  <c r="V19" i="2"/>
  <c r="T19" i="2"/>
  <c r="AH18" i="2"/>
  <c r="AG18" i="2"/>
  <c r="AF18" i="2"/>
  <c r="O18" i="2"/>
  <c r="N18" i="2"/>
  <c r="AE18" i="2" s="1"/>
  <c r="M18" i="2"/>
  <c r="AC18" i="2" s="1"/>
  <c r="L18" i="2"/>
  <c r="K18" i="2"/>
  <c r="J18" i="2"/>
  <c r="V18" i="2" s="1"/>
  <c r="I18" i="2"/>
  <c r="T18" i="2" s="1"/>
  <c r="H18" i="2"/>
  <c r="Y18" i="2" s="1"/>
  <c r="G18" i="2"/>
  <c r="W18" i="2" s="1"/>
  <c r="F18" i="2"/>
  <c r="AB18" i="2" s="1"/>
  <c r="E18" i="2"/>
  <c r="Z18" i="2" s="1"/>
  <c r="W8" i="4" s="1"/>
  <c r="AH17" i="2"/>
  <c r="AG17" i="2"/>
  <c r="AF17" i="2"/>
  <c r="N17" i="2"/>
  <c r="AE17" i="2" s="1"/>
  <c r="M17" i="2"/>
  <c r="AC17" i="2" s="1"/>
  <c r="L17" i="2"/>
  <c r="K17" i="2"/>
  <c r="J17" i="2"/>
  <c r="V17" i="2" s="1"/>
  <c r="I17" i="2"/>
  <c r="T17" i="2" s="1"/>
  <c r="H17" i="2"/>
  <c r="Y17" i="2" s="1"/>
  <c r="G17" i="2"/>
  <c r="W17" i="2" s="1"/>
  <c r="F17" i="2"/>
  <c r="AB17" i="2" s="1"/>
  <c r="E17" i="2"/>
  <c r="Z17" i="2" s="1"/>
  <c r="W7" i="4" s="1"/>
  <c r="AH16" i="2"/>
  <c r="AG16" i="2"/>
  <c r="AF16" i="2"/>
  <c r="O16" i="2"/>
  <c r="N16" i="2"/>
  <c r="AE16" i="2" s="1"/>
  <c r="M16" i="2"/>
  <c r="AC16" i="2" s="1"/>
  <c r="L16" i="2"/>
  <c r="K16" i="2"/>
  <c r="J16" i="2"/>
  <c r="V16" i="2" s="1"/>
  <c r="I16" i="2"/>
  <c r="T16" i="2" s="1"/>
  <c r="H16" i="2"/>
  <c r="Y16" i="2" s="1"/>
  <c r="G16" i="2"/>
  <c r="W16" i="2" s="1"/>
  <c r="F16" i="2"/>
  <c r="AB16" i="2" s="1"/>
  <c r="E16" i="2"/>
  <c r="Z16" i="2" s="1"/>
  <c r="W6" i="4" s="1"/>
  <c r="AH15" i="2"/>
  <c r="AG15" i="2"/>
  <c r="AF15" i="2"/>
  <c r="N15" i="2"/>
  <c r="AE15" i="2" s="1"/>
  <c r="M15" i="2"/>
  <c r="AC15" i="2" s="1"/>
  <c r="L15" i="2"/>
  <c r="K15" i="2"/>
  <c r="J15" i="2"/>
  <c r="V15" i="2" s="1"/>
  <c r="I15" i="2"/>
  <c r="T15" i="2" s="1"/>
  <c r="H15" i="2"/>
  <c r="Y15" i="2" s="1"/>
  <c r="G15" i="2"/>
  <c r="W15" i="2" s="1"/>
  <c r="F15" i="2"/>
  <c r="AB15" i="2" s="1"/>
  <c r="E15" i="2"/>
  <c r="Z15" i="2" s="1"/>
  <c r="W5" i="4" s="1"/>
  <c r="AH14" i="2"/>
  <c r="AG14" i="2"/>
  <c r="AF14" i="2"/>
  <c r="N14" i="2"/>
  <c r="AE14" i="2" s="1"/>
  <c r="M14" i="2"/>
  <c r="AC14" i="2" s="1"/>
  <c r="L14" i="2"/>
  <c r="K14" i="2"/>
  <c r="J14" i="2"/>
  <c r="V14" i="2" s="1"/>
  <c r="I14" i="2"/>
  <c r="T14" i="2" s="1"/>
  <c r="H14" i="2"/>
  <c r="Y14" i="2" s="1"/>
  <c r="G14" i="2"/>
  <c r="W14" i="2" s="1"/>
  <c r="F14" i="2"/>
  <c r="AB14" i="2" s="1"/>
  <c r="E14" i="2"/>
  <c r="Z14" i="2" s="1"/>
  <c r="W4" i="4" s="1"/>
  <c r="AH13" i="2"/>
  <c r="AG13" i="2"/>
  <c r="AF13" i="2"/>
  <c r="N13" i="2"/>
  <c r="AE13" i="2" s="1"/>
  <c r="M13" i="2"/>
  <c r="AC13" i="2" s="1"/>
  <c r="L13" i="2"/>
  <c r="K13" i="2"/>
  <c r="J13" i="2"/>
  <c r="V13" i="2" s="1"/>
  <c r="I13" i="2"/>
  <c r="T13" i="2" s="1"/>
  <c r="H13" i="2"/>
  <c r="Y13" i="2" s="1"/>
  <c r="G13" i="2"/>
  <c r="W13" i="2" s="1"/>
  <c r="F13" i="2"/>
  <c r="AB13" i="2" s="1"/>
  <c r="E13" i="2"/>
  <c r="Z13" i="2" s="1"/>
  <c r="W3" i="4" s="1"/>
  <c r="AH12" i="2"/>
  <c r="AG12" i="2"/>
  <c r="AF12" i="2"/>
  <c r="M12" i="2"/>
  <c r="AC12" i="2" s="1"/>
  <c r="L12" i="2"/>
  <c r="K12" i="2"/>
  <c r="J12" i="2"/>
  <c r="V12" i="2" s="1"/>
  <c r="I12" i="2"/>
  <c r="T12" i="2" s="1"/>
  <c r="H12" i="2"/>
  <c r="Y12" i="2" s="1"/>
  <c r="G12" i="2"/>
  <c r="W12" i="2" s="1"/>
  <c r="F12" i="2"/>
  <c r="AB12" i="2" s="1"/>
  <c r="E12" i="2"/>
  <c r="Z12" i="2" s="1"/>
  <c r="W2" i="4" s="1"/>
  <c r="AH9" i="2"/>
  <c r="AG9" i="2"/>
  <c r="AF9" i="2"/>
  <c r="O9" i="2"/>
  <c r="N9" i="2"/>
  <c r="AE9" i="2" s="1"/>
  <c r="M9" i="2"/>
  <c r="AC9" i="2" s="1"/>
  <c r="L9" i="2"/>
  <c r="K9" i="2"/>
  <c r="J9" i="2"/>
  <c r="V9" i="2" s="1"/>
  <c r="I9" i="2"/>
  <c r="T9" i="2" s="1"/>
  <c r="H9" i="2"/>
  <c r="Y9" i="2" s="1"/>
  <c r="G9" i="2"/>
  <c r="W9" i="2" s="1"/>
  <c r="F9" i="2"/>
  <c r="AB9" i="2" s="1"/>
  <c r="E9" i="2"/>
  <c r="Z9" i="2" s="1"/>
  <c r="U9" i="4" s="1"/>
  <c r="AH8" i="2"/>
  <c r="AG8" i="2"/>
  <c r="AF8" i="2"/>
  <c r="N8" i="2"/>
  <c r="AE8" i="2" s="1"/>
  <c r="M8" i="2"/>
  <c r="AC8" i="2" s="1"/>
  <c r="L8" i="2"/>
  <c r="K8" i="2"/>
  <c r="J8" i="2"/>
  <c r="V8" i="2" s="1"/>
  <c r="I8" i="2"/>
  <c r="T8" i="2" s="1"/>
  <c r="H8" i="2"/>
  <c r="Y8" i="2" s="1"/>
  <c r="G8" i="2"/>
  <c r="W8" i="2" s="1"/>
  <c r="F8" i="2"/>
  <c r="AB8" i="2" s="1"/>
  <c r="E8" i="2"/>
  <c r="Z8" i="2" s="1"/>
  <c r="U8" i="4" s="1"/>
  <c r="AH7" i="2"/>
  <c r="AG7" i="2"/>
  <c r="AF7" i="2"/>
  <c r="O7" i="2"/>
  <c r="N7" i="2"/>
  <c r="AE7" i="2" s="1"/>
  <c r="M7" i="2"/>
  <c r="AC7" i="2" s="1"/>
  <c r="L7" i="2"/>
  <c r="K7" i="2"/>
  <c r="J7" i="2"/>
  <c r="V7" i="2" s="1"/>
  <c r="I7" i="2"/>
  <c r="T7" i="2" s="1"/>
  <c r="H7" i="2"/>
  <c r="Y7" i="2" s="1"/>
  <c r="G7" i="2"/>
  <c r="W7" i="2" s="1"/>
  <c r="F7" i="2"/>
  <c r="AB7" i="2" s="1"/>
  <c r="E7" i="2"/>
  <c r="Z7" i="2" s="1"/>
  <c r="U7" i="4" s="1"/>
  <c r="C7" i="2"/>
  <c r="S7" i="2" s="1"/>
  <c r="AH6" i="2"/>
  <c r="AG6" i="2"/>
  <c r="AF6" i="2"/>
  <c r="N6" i="2"/>
  <c r="AE6" i="2" s="1"/>
  <c r="M6" i="2"/>
  <c r="AC6" i="2" s="1"/>
  <c r="L6" i="2"/>
  <c r="K6" i="2"/>
  <c r="J6" i="2"/>
  <c r="V6" i="2" s="1"/>
  <c r="I6" i="2"/>
  <c r="T6" i="2" s="1"/>
  <c r="H6" i="2"/>
  <c r="Y6" i="2" s="1"/>
  <c r="G6" i="2"/>
  <c r="W6" i="2" s="1"/>
  <c r="F6" i="2"/>
  <c r="AB6" i="2" s="1"/>
  <c r="E6" i="2"/>
  <c r="Z6" i="2" s="1"/>
  <c r="U6" i="4" s="1"/>
  <c r="AH5" i="2"/>
  <c r="AG5" i="2"/>
  <c r="AF5" i="2"/>
  <c r="AC5" i="2"/>
  <c r="J5" i="2"/>
  <c r="V5" i="2" s="1"/>
  <c r="I5" i="2"/>
  <c r="T5" i="2" s="1"/>
  <c r="H5" i="2"/>
  <c r="Y5" i="2" s="1"/>
  <c r="G5" i="2"/>
  <c r="F5" i="2"/>
  <c r="AB5" i="2" s="1"/>
  <c r="E5" i="2"/>
  <c r="Z5" i="2" s="1"/>
  <c r="U5" i="4" s="1"/>
  <c r="C5" i="2"/>
  <c r="S5" i="2" s="1"/>
  <c r="AH4" i="2"/>
  <c r="AG4" i="2"/>
  <c r="AF4" i="2"/>
  <c r="N4" i="2"/>
  <c r="AE4" i="2" s="1"/>
  <c r="M4" i="2"/>
  <c r="AC4" i="2" s="1"/>
  <c r="L4" i="2"/>
  <c r="K4" i="2"/>
  <c r="J4" i="2"/>
  <c r="V4" i="2" s="1"/>
  <c r="I4" i="2"/>
  <c r="T4" i="2" s="1"/>
  <c r="H4" i="2"/>
  <c r="Y4" i="2" s="1"/>
  <c r="G4" i="2"/>
  <c r="W4" i="2" s="1"/>
  <c r="F4" i="2"/>
  <c r="AB4" i="2" s="1"/>
  <c r="E4" i="2"/>
  <c r="Z4" i="2" s="1"/>
  <c r="U4" i="4" s="1"/>
  <c r="AH3" i="2"/>
  <c r="AG3" i="2"/>
  <c r="AF3" i="2"/>
  <c r="N3" i="2"/>
  <c r="AE3" i="2" s="1"/>
  <c r="M3" i="2"/>
  <c r="AC3" i="2" s="1"/>
  <c r="L3" i="2"/>
  <c r="K3" i="2"/>
  <c r="J3" i="2"/>
  <c r="V3" i="2" s="1"/>
  <c r="I3" i="2"/>
  <c r="T3" i="2" s="1"/>
  <c r="H3" i="2"/>
  <c r="Y3" i="2" s="1"/>
  <c r="G3" i="2"/>
  <c r="W3" i="2" s="1"/>
  <c r="F3" i="2"/>
  <c r="AB3" i="2" s="1"/>
  <c r="E3" i="2"/>
  <c r="Z3" i="2" s="1"/>
  <c r="U3" i="4" s="1"/>
  <c r="AH2" i="2"/>
  <c r="AG2" i="2"/>
  <c r="AF2" i="2"/>
  <c r="M2" i="2"/>
  <c r="AC2" i="2" s="1"/>
  <c r="L2" i="2"/>
  <c r="K2" i="2"/>
  <c r="J2" i="2"/>
  <c r="V2" i="2" s="1"/>
  <c r="I2" i="2"/>
  <c r="T2" i="2" s="1"/>
  <c r="H2" i="2"/>
  <c r="Y2" i="2" s="1"/>
  <c r="G2" i="2"/>
  <c r="W2" i="2" s="1"/>
  <c r="F2" i="2"/>
  <c r="AB2" i="2" s="1"/>
  <c r="E2" i="2"/>
  <c r="Z2" i="2" s="1"/>
  <c r="U2" i="4" s="1"/>
  <c r="AK5" i="2" l="1"/>
  <c r="AK7" i="2"/>
  <c r="AK2" i="2"/>
  <c r="AK3" i="2"/>
  <c r="AK4" i="2"/>
  <c r="AK6" i="2"/>
  <c r="AK8" i="2"/>
  <c r="AK9" i="2"/>
  <c r="AK13" i="2"/>
  <c r="AK16" i="2"/>
  <c r="AK14" i="2"/>
  <c r="AK17" i="2"/>
  <c r="AK12" i="2"/>
  <c r="AK15" i="2"/>
  <c r="AK18" i="2"/>
  <c r="T10" i="2"/>
  <c r="V10" i="2"/>
  <c r="V20" i="2"/>
  <c r="T20" i="2"/>
  <c r="AJ10" i="2"/>
  <c r="AH10" i="2"/>
  <c r="AJ20" i="2"/>
  <c r="AH20" i="2"/>
  <c r="AB10" i="2"/>
  <c r="Z10" i="2"/>
  <c r="Z20" i="2"/>
  <c r="AB20" i="2"/>
  <c r="F13" i="4"/>
  <c r="F12" i="4"/>
  <c r="G13" i="4"/>
  <c r="G12" i="4"/>
  <c r="H12" i="4" s="1"/>
  <c r="W5" i="2"/>
  <c r="W10" i="2" s="1"/>
  <c r="K5" i="2"/>
  <c r="K10" i="2" s="1"/>
  <c r="W20" i="2"/>
  <c r="Y20" i="2"/>
  <c r="L20" i="2"/>
  <c r="K20" i="2"/>
  <c r="D39" i="1"/>
  <c r="E39" i="1"/>
  <c r="F39" i="1"/>
  <c r="G39" i="1"/>
  <c r="H39" i="1"/>
  <c r="I39" i="1"/>
  <c r="J39" i="1"/>
  <c r="K39" i="1"/>
  <c r="L39" i="1"/>
  <c r="M39" i="1"/>
  <c r="N39" i="1"/>
  <c r="O39" i="1"/>
  <c r="R39" i="1"/>
  <c r="D40" i="1"/>
  <c r="E40" i="1"/>
  <c r="F40" i="1"/>
  <c r="G40" i="1"/>
  <c r="H40" i="1"/>
  <c r="I40" i="1"/>
  <c r="J40" i="1"/>
  <c r="K40" i="1"/>
  <c r="L40" i="1"/>
  <c r="M40" i="1"/>
  <c r="N40" i="1"/>
  <c r="O40" i="1"/>
  <c r="R40" i="1"/>
  <c r="C40" i="1"/>
  <c r="C39" i="1"/>
  <c r="D36" i="1"/>
  <c r="E36" i="1"/>
  <c r="F36" i="1"/>
  <c r="H36" i="1"/>
  <c r="I36" i="1"/>
  <c r="J36" i="1"/>
  <c r="K36" i="1"/>
  <c r="L36" i="1"/>
  <c r="M36" i="1"/>
  <c r="N36" i="1"/>
  <c r="O36" i="1"/>
  <c r="R36" i="1"/>
  <c r="D37" i="1"/>
  <c r="E37" i="1"/>
  <c r="F37" i="1"/>
  <c r="G37" i="1"/>
  <c r="H37" i="1"/>
  <c r="I37" i="1"/>
  <c r="J37" i="1"/>
  <c r="K37" i="1"/>
  <c r="L37" i="1"/>
  <c r="M37" i="1"/>
  <c r="N37" i="1"/>
  <c r="O37" i="1"/>
  <c r="R37" i="1"/>
  <c r="C37" i="1"/>
  <c r="C36" i="1"/>
  <c r="C22" i="1"/>
  <c r="C11" i="1"/>
  <c r="S33" i="1"/>
  <c r="O33" i="1"/>
  <c r="M33" i="1"/>
  <c r="K33" i="1"/>
  <c r="I33" i="1"/>
  <c r="G33" i="1"/>
  <c r="E33" i="1"/>
  <c r="C33" i="1"/>
  <c r="U32" i="1"/>
  <c r="T32" i="1"/>
  <c r="AA32" i="1" s="1"/>
  <c r="T31" i="1"/>
  <c r="AA31" i="1" s="1"/>
  <c r="T30" i="1"/>
  <c r="AA30" i="1" s="1"/>
  <c r="BI29" i="1"/>
  <c r="U29" i="1"/>
  <c r="T29" i="1"/>
  <c r="AA29" i="1" s="1"/>
  <c r="U28" i="1"/>
  <c r="T28" i="1"/>
  <c r="AA28" i="1" s="1"/>
  <c r="BD27" i="1"/>
  <c r="U27" i="1"/>
  <c r="T27" i="1"/>
  <c r="AA27" i="1" s="1"/>
  <c r="U26" i="1"/>
  <c r="T26" i="1"/>
  <c r="AA26" i="1" s="1"/>
  <c r="U25" i="1"/>
  <c r="T25" i="1"/>
  <c r="O22" i="1"/>
  <c r="M22" i="1"/>
  <c r="K22" i="1"/>
  <c r="I22" i="1"/>
  <c r="G22" i="1"/>
  <c r="E22" i="1"/>
  <c r="Q17" i="1"/>
  <c r="P17" i="1"/>
  <c r="S11" i="1"/>
  <c r="R11" i="1"/>
  <c r="Q11" i="1"/>
  <c r="P11" i="1"/>
  <c r="O11" i="1"/>
  <c r="M11" i="1"/>
  <c r="K11" i="1"/>
  <c r="I11" i="1"/>
  <c r="G11" i="1"/>
  <c r="E11" i="1"/>
  <c r="AA25" i="1" l="1"/>
  <c r="AH33" i="1"/>
  <c r="AG33" i="1"/>
  <c r="AD26" i="1"/>
  <c r="Z26" i="1"/>
  <c r="AD32" i="1"/>
  <c r="Z32" i="1"/>
  <c r="AD25" i="1"/>
  <c r="Z25" i="1"/>
  <c r="AD29" i="1"/>
  <c r="Z29" i="1"/>
  <c r="AD28" i="1"/>
  <c r="Z28" i="1"/>
  <c r="AD27" i="1"/>
  <c r="Z27" i="1"/>
  <c r="AL10" i="2"/>
  <c r="AK10" i="2"/>
  <c r="AL20" i="2"/>
  <c r="AK20" i="2"/>
  <c r="L10" i="2"/>
  <c r="AE31" i="1"/>
  <c r="AE26" i="1"/>
  <c r="AE32" i="1"/>
  <c r="AE29" i="1"/>
  <c r="AE28" i="1"/>
  <c r="AE25" i="1"/>
  <c r="AE27" i="1"/>
  <c r="AE30" i="1"/>
  <c r="AB25" i="1"/>
  <c r="AC25" i="1" s="1"/>
  <c r="AB27" i="1"/>
  <c r="AC27" i="1" s="1"/>
  <c r="AB29" i="1"/>
  <c r="AC29" i="1" s="1"/>
  <c r="AB26" i="1"/>
  <c r="AC26" i="1" s="1"/>
  <c r="AB32" i="1"/>
  <c r="AC32" i="1" s="1"/>
  <c r="AB28" i="1"/>
  <c r="AC28" i="1" s="1"/>
  <c r="Y10" i="2"/>
  <c r="P22" i="1"/>
  <c r="D9" i="4" s="1"/>
  <c r="Q22" i="1"/>
  <c r="D10" i="4" s="1"/>
  <c r="Q36" i="1"/>
  <c r="Q40" i="1"/>
  <c r="P36" i="1"/>
  <c r="P40" i="1"/>
  <c r="Q37" i="1"/>
  <c r="Q39" i="1"/>
  <c r="P37" i="1"/>
  <c r="P39" i="1"/>
  <c r="U35" i="1"/>
  <c r="T33" i="1"/>
  <c r="S17" i="1"/>
  <c r="AA33" i="1" l="1"/>
  <c r="AO5" i="1" s="1"/>
  <c r="Q33" i="1"/>
  <c r="E10" i="4" s="1"/>
  <c r="P33" i="1"/>
  <c r="E9" i="4" s="1"/>
  <c r="S40" i="1"/>
  <c r="S36" i="1"/>
  <c r="S39" i="1"/>
  <c r="S37" i="1"/>
  <c r="S22" i="1"/>
  <c r="K7" i="3" l="1"/>
  <c r="M8" i="3"/>
  <c r="M5" i="3"/>
  <c r="K4" i="3"/>
  <c r="K8" i="3"/>
  <c r="M2" i="3"/>
  <c r="M6" i="3"/>
  <c r="J3" i="3"/>
  <c r="K5" i="3"/>
  <c r="K9" i="3"/>
  <c r="M4" i="3"/>
  <c r="M9" i="3"/>
  <c r="J2" i="3"/>
  <c r="K6" i="3"/>
  <c r="K2" i="3"/>
  <c r="M3" i="3"/>
  <c r="M7" i="3"/>
  <c r="G15" i="3" l="1"/>
  <c r="G12" i="3"/>
  <c r="G18" i="3"/>
  <c r="H19" i="3"/>
  <c r="U21" i="1"/>
  <c r="H12" i="3"/>
  <c r="T12" i="3" s="1"/>
  <c r="U14" i="1"/>
  <c r="H17" i="3"/>
  <c r="U19" i="1"/>
  <c r="F15" i="3"/>
  <c r="T17" i="1"/>
  <c r="AA17" i="1" s="1"/>
  <c r="F19" i="3"/>
  <c r="T21" i="1"/>
  <c r="AA21" i="1" s="1"/>
  <c r="G17" i="3"/>
  <c r="F16" i="3"/>
  <c r="T18" i="1"/>
  <c r="AA18" i="1" s="1"/>
  <c r="I14" i="3"/>
  <c r="I19" i="3"/>
  <c r="I16" i="3"/>
  <c r="I13" i="3"/>
  <c r="H14" i="3"/>
  <c r="U16" i="1"/>
  <c r="I18" i="3"/>
  <c r="F12" i="3"/>
  <c r="T14" i="1"/>
  <c r="F13" i="3"/>
  <c r="T15" i="1"/>
  <c r="AA15" i="1" s="1"/>
  <c r="G14" i="3"/>
  <c r="F18" i="3"/>
  <c r="T20" i="1"/>
  <c r="AA20" i="1" s="1"/>
  <c r="I12" i="3"/>
  <c r="I17" i="3"/>
  <c r="H16" i="3"/>
  <c r="T16" i="3" s="1"/>
  <c r="U18" i="1"/>
  <c r="L5" i="3"/>
  <c r="L6" i="3"/>
  <c r="L9" i="3"/>
  <c r="L7" i="3"/>
  <c r="L8" i="3"/>
  <c r="L3" i="3"/>
  <c r="Q3" i="3" s="1"/>
  <c r="L4" i="3"/>
  <c r="L2" i="3"/>
  <c r="G8" i="3"/>
  <c r="G7" i="3"/>
  <c r="T9" i="1"/>
  <c r="AA9" i="1" s="1"/>
  <c r="U5" i="1"/>
  <c r="G3" i="3"/>
  <c r="T6" i="1"/>
  <c r="AA6" i="1" s="1"/>
  <c r="G2" i="3"/>
  <c r="T8" i="1"/>
  <c r="AA8" i="1" s="1"/>
  <c r="U9" i="1"/>
  <c r="T5" i="1"/>
  <c r="AA5" i="1" s="1"/>
  <c r="G9" i="3"/>
  <c r="U8" i="1"/>
  <c r="G6" i="3"/>
  <c r="T10" i="1"/>
  <c r="AA10" i="1" s="1"/>
  <c r="T7" i="1"/>
  <c r="AA7" i="1" s="1"/>
  <c r="U3" i="1"/>
  <c r="AA14" i="1" l="1"/>
  <c r="AD9" i="1"/>
  <c r="Z9" i="1"/>
  <c r="AD14" i="1"/>
  <c r="Z14" i="1"/>
  <c r="AD3" i="1"/>
  <c r="Z3" i="1"/>
  <c r="AD8" i="1"/>
  <c r="Z8" i="1"/>
  <c r="AD5" i="1"/>
  <c r="Z5" i="1"/>
  <c r="AD18" i="1"/>
  <c r="Z18" i="1"/>
  <c r="AD16" i="1"/>
  <c r="Z16" i="1"/>
  <c r="AD19" i="1"/>
  <c r="Z19" i="1"/>
  <c r="AD21" i="1"/>
  <c r="Z21" i="1"/>
  <c r="AE5" i="1"/>
  <c r="AE18" i="1"/>
  <c r="AE15" i="1"/>
  <c r="AE20" i="1"/>
  <c r="AE10" i="1"/>
  <c r="AE6" i="1"/>
  <c r="AE17" i="1"/>
  <c r="AE8" i="1"/>
  <c r="AE7" i="1"/>
  <c r="AE9" i="1"/>
  <c r="AE14" i="1"/>
  <c r="AE21" i="1"/>
  <c r="AB9" i="1"/>
  <c r="AC9" i="1" s="1"/>
  <c r="AB14" i="1"/>
  <c r="AC14" i="1" s="1"/>
  <c r="AB8" i="1"/>
  <c r="AC8" i="1" s="1"/>
  <c r="AB5" i="1"/>
  <c r="AC5" i="1" s="1"/>
  <c r="AB18" i="1"/>
  <c r="AC18" i="1" s="1"/>
  <c r="AB21" i="1"/>
  <c r="AC21" i="1" s="1"/>
  <c r="R14" i="3"/>
  <c r="T14" i="3"/>
  <c r="R17" i="3"/>
  <c r="T17" i="3"/>
  <c r="R19" i="3"/>
  <c r="T19" i="3"/>
  <c r="P19" i="3"/>
  <c r="S19" i="3" s="1"/>
  <c r="H18" i="3"/>
  <c r="U20" i="1"/>
  <c r="R12" i="3"/>
  <c r="G19" i="3"/>
  <c r="F17" i="3"/>
  <c r="P17" i="3" s="1"/>
  <c r="S17" i="3" s="1"/>
  <c r="T19" i="1"/>
  <c r="AA19" i="1" s="1"/>
  <c r="M40" i="3"/>
  <c r="P16" i="3"/>
  <c r="S16" i="3" s="1"/>
  <c r="G16" i="3"/>
  <c r="G13" i="3"/>
  <c r="H13" i="3"/>
  <c r="U15" i="1"/>
  <c r="AG22" i="1" s="1"/>
  <c r="J40" i="3"/>
  <c r="R16" i="3"/>
  <c r="P12" i="3"/>
  <c r="S12" i="3" s="1"/>
  <c r="J4" i="3"/>
  <c r="M10" i="3"/>
  <c r="L10" i="3"/>
  <c r="Q2" i="3"/>
  <c r="J5" i="3"/>
  <c r="Q5" i="3" s="1"/>
  <c r="J9" i="3"/>
  <c r="Q9" i="3" s="1"/>
  <c r="J8" i="3"/>
  <c r="Q8" i="3" s="1"/>
  <c r="J7" i="3"/>
  <c r="Q7" i="3" s="1"/>
  <c r="J6" i="3"/>
  <c r="Q6" i="3" s="1"/>
  <c r="G5" i="3"/>
  <c r="F6" i="3"/>
  <c r="F7" i="3"/>
  <c r="F5" i="3"/>
  <c r="F8" i="3"/>
  <c r="U7" i="1"/>
  <c r="T3" i="1"/>
  <c r="H2" i="3"/>
  <c r="F4" i="3"/>
  <c r="H4" i="3"/>
  <c r="U4" i="1"/>
  <c r="AG11" i="1" s="1"/>
  <c r="T4" i="1"/>
  <c r="AA4" i="1" s="1"/>
  <c r="U10" i="1"/>
  <c r="F9" i="3"/>
  <c r="U6" i="1"/>
  <c r="G4" i="3"/>
  <c r="H7" i="3"/>
  <c r="T7" i="3" s="1"/>
  <c r="H8" i="3"/>
  <c r="T8" i="3" s="1"/>
  <c r="AA3" i="1" l="1"/>
  <c r="AA11" i="1" s="1"/>
  <c r="AK5" i="1" s="1"/>
  <c r="AH11" i="1"/>
  <c r="AD15" i="1"/>
  <c r="Z15" i="1"/>
  <c r="AD10" i="1"/>
  <c r="Z10" i="1"/>
  <c r="AD6" i="1"/>
  <c r="Z6" i="1"/>
  <c r="AD4" i="1"/>
  <c r="Z4" i="1"/>
  <c r="AD7" i="1"/>
  <c r="Z7" i="1"/>
  <c r="AD20" i="1"/>
  <c r="Z20" i="1"/>
  <c r="T2" i="3"/>
  <c r="T4" i="3"/>
  <c r="AE19" i="1"/>
  <c r="AE4" i="1"/>
  <c r="AE3" i="1"/>
  <c r="AB19" i="1"/>
  <c r="AC19" i="1" s="1"/>
  <c r="AB6" i="1"/>
  <c r="AC6" i="1" s="1"/>
  <c r="AB4" i="1"/>
  <c r="AC4" i="1" s="1"/>
  <c r="AB7" i="1"/>
  <c r="AC7" i="1" s="1"/>
  <c r="AB20" i="1"/>
  <c r="AC20" i="1" s="1"/>
  <c r="AB10" i="1"/>
  <c r="AC10" i="1" s="1"/>
  <c r="AB3" i="1"/>
  <c r="AC3" i="1" s="1"/>
  <c r="AB15" i="1"/>
  <c r="AC15" i="1" s="1"/>
  <c r="R18" i="3"/>
  <c r="T18" i="3"/>
  <c r="P18" i="3"/>
  <c r="S18" i="3" s="1"/>
  <c r="R13" i="3"/>
  <c r="T13" i="3"/>
  <c r="P13" i="3"/>
  <c r="S13" i="3" s="1"/>
  <c r="I20" i="3"/>
  <c r="U22" i="1"/>
  <c r="F14" i="3"/>
  <c r="T16" i="1"/>
  <c r="H20" i="3"/>
  <c r="Q4" i="3"/>
  <c r="K10" i="3"/>
  <c r="J34" i="3"/>
  <c r="K36" i="3" s="1"/>
  <c r="K34" i="3"/>
  <c r="J35" i="3"/>
  <c r="J10" i="3"/>
  <c r="P8" i="3"/>
  <c r="S8" i="3" s="1"/>
  <c r="R2" i="3"/>
  <c r="P7" i="3"/>
  <c r="S7" i="3" s="1"/>
  <c r="L39" i="3"/>
  <c r="R4" i="3"/>
  <c r="M39" i="3"/>
  <c r="P4" i="3"/>
  <c r="S4" i="3" s="1"/>
  <c r="F2" i="3"/>
  <c r="H3" i="3"/>
  <c r="H5" i="3"/>
  <c r="U11" i="1"/>
  <c r="F3" i="3"/>
  <c r="T11" i="1"/>
  <c r="R8" i="3"/>
  <c r="I39" i="3"/>
  <c r="R7" i="3"/>
  <c r="H9" i="3"/>
  <c r="T9" i="3" s="1"/>
  <c r="H6" i="3"/>
  <c r="T6" i="3" s="1"/>
  <c r="AA16" i="1" l="1"/>
  <c r="AA22" i="1" s="1"/>
  <c r="AM5" i="1" s="1"/>
  <c r="AH22" i="1"/>
  <c r="T3" i="3"/>
  <c r="T5" i="3"/>
  <c r="AB16" i="1"/>
  <c r="AC16" i="1" s="1"/>
  <c r="AE16" i="1"/>
  <c r="AE34" i="1" s="1"/>
  <c r="Z22" i="1"/>
  <c r="AM4" i="1" s="1"/>
  <c r="Z11" i="1"/>
  <c r="AK4" i="1" s="1"/>
  <c r="AK14" i="1" s="1"/>
  <c r="T22" i="1"/>
  <c r="T39" i="1"/>
  <c r="T37" i="1"/>
  <c r="T36" i="1"/>
  <c r="T40" i="1"/>
  <c r="P14" i="3"/>
  <c r="S14" i="3" s="1"/>
  <c r="S20" i="3" s="1"/>
  <c r="K40" i="3"/>
  <c r="G20" i="3"/>
  <c r="F20" i="3"/>
  <c r="K35" i="3"/>
  <c r="P3" i="3"/>
  <c r="S3" i="3" s="1"/>
  <c r="R9" i="3"/>
  <c r="J39" i="3"/>
  <c r="R5" i="3"/>
  <c r="P9" i="3"/>
  <c r="S9" i="3" s="1"/>
  <c r="P5" i="3"/>
  <c r="S5" i="3" s="1"/>
  <c r="R6" i="3"/>
  <c r="P6" i="3"/>
  <c r="S6" i="3" s="1"/>
  <c r="I32" i="3"/>
  <c r="H32" i="3"/>
  <c r="R3" i="3"/>
  <c r="P2" i="3"/>
  <c r="S2" i="3" s="1"/>
  <c r="F10" i="3"/>
  <c r="K39" i="3" s="1"/>
  <c r="M42" i="3" s="1"/>
  <c r="F36" i="3"/>
  <c r="G10" i="3"/>
  <c r="F34" i="3"/>
  <c r="G34" i="3"/>
  <c r="F35" i="3"/>
  <c r="H10" i="3"/>
  <c r="H39" i="3" s="1"/>
  <c r="I42" i="3" s="1"/>
  <c r="AE35" i="1" l="1"/>
  <c r="AE36" i="1"/>
  <c r="AM14" i="1"/>
  <c r="AE33" i="1"/>
  <c r="S10" i="3"/>
  <c r="M43" i="3"/>
  <c r="L43" i="3"/>
  <c r="J42" i="3"/>
  <c r="G35" i="3"/>
  <c r="G36" i="3"/>
  <c r="L42" i="3"/>
  <c r="H28" i="3" l="1"/>
  <c r="AB31" i="1"/>
  <c r="AD31" i="1" l="1"/>
  <c r="AD36" i="1" s="1"/>
  <c r="Z31" i="1"/>
  <c r="Z33" i="1" s="1"/>
  <c r="AO4" i="1" s="1"/>
  <c r="AO14" i="1" s="1"/>
  <c r="AC31" i="1"/>
  <c r="AC36" i="1" s="1"/>
  <c r="I40" i="3"/>
  <c r="T28" i="3"/>
  <c r="R28" i="3"/>
  <c r="P28" i="3"/>
  <c r="S28" i="3" s="1"/>
  <c r="I30" i="3"/>
  <c r="H30" i="3"/>
  <c r="H40" i="3"/>
  <c r="H36" i="3"/>
  <c r="H31" i="3"/>
  <c r="H35" i="3"/>
  <c r="I34" i="3"/>
  <c r="H34" i="3"/>
  <c r="I31" i="3"/>
  <c r="U33" i="1"/>
  <c r="U37" i="1"/>
  <c r="U39" i="1"/>
  <c r="U36" i="1"/>
  <c r="U40" i="1"/>
  <c r="AD34" i="1" l="1"/>
  <c r="AD33" i="1"/>
  <c r="AD35" i="1"/>
  <c r="AC33" i="1"/>
  <c r="AC35" i="1"/>
  <c r="AC34" i="1"/>
  <c r="S30" i="3"/>
  <c r="S32" i="3"/>
  <c r="S31" i="3"/>
  <c r="I36" i="3"/>
  <c r="I35" i="3"/>
  <c r="I43" i="3"/>
  <c r="J43" i="3"/>
  <c r="I28" i="3" l="1"/>
</calcChain>
</file>

<file path=xl/sharedStrings.xml><?xml version="1.0" encoding="utf-8"?>
<sst xmlns="http://schemas.openxmlformats.org/spreadsheetml/2006/main" count="654" uniqueCount="281">
  <si>
    <t>Sample</t>
  </si>
  <si>
    <t>Temp (°C)</t>
  </si>
  <si>
    <t>DO (mg/l)</t>
  </si>
  <si>
    <t>pH</t>
  </si>
  <si>
    <t>SS (mg/l)</t>
  </si>
  <si>
    <t>HEM (mg/l)</t>
  </si>
  <si>
    <t>Acid value (mgKOH/g)</t>
  </si>
  <si>
    <t>Acidity (wt% as oleic acid)</t>
  </si>
  <si>
    <t>sCOD (mg/l)</t>
  </si>
  <si>
    <t>tCOD (mg/l)</t>
  </si>
  <si>
    <t>NH4 (mg/l)</t>
  </si>
  <si>
    <t>TN (mg/l)</t>
  </si>
  <si>
    <t>PO4-P (mg/l)</t>
  </si>
  <si>
    <t>TP (mg/l)</t>
  </si>
  <si>
    <t>Surfactants (mg/l)</t>
  </si>
  <si>
    <t>Protein (μg/ml)</t>
  </si>
  <si>
    <t>Carbo-hydrate (mg/l)</t>
  </si>
  <si>
    <t>∑anionic/nonionic surfactants (mg/l)</t>
  </si>
  <si>
    <t>carbs</t>
  </si>
  <si>
    <t>HEM</t>
  </si>
  <si>
    <t>Anionic (mg/l MBAS)</t>
  </si>
  <si>
    <t>Nonionic (mg/l Triton X-100)</t>
  </si>
  <si>
    <t>Cationic (mg/l CTAB)</t>
  </si>
  <si>
    <t>Column1</t>
  </si>
  <si>
    <t>SC SINK</t>
  </si>
  <si>
    <t>wed 26/03/2014</t>
  </si>
  <si>
    <t>thurs 27/03/2014</t>
  </si>
  <si>
    <t>Mean</t>
  </si>
  <si>
    <t>fri 28/3/14</t>
  </si>
  <si>
    <t>Standard Error</t>
  </si>
  <si>
    <t>mon 31/3/14</t>
  </si>
  <si>
    <t>Median</t>
  </si>
  <si>
    <t>thurs 3/4/14</t>
  </si>
  <si>
    <t>Mode</t>
  </si>
  <si>
    <t>fri 4/4/14</t>
  </si>
  <si>
    <t>Standard Deviation</t>
  </si>
  <si>
    <t>tues 8/4/14</t>
  </si>
  <si>
    <t>Sample Variance</t>
  </si>
  <si>
    <t>wed 9/4/14</t>
  </si>
  <si>
    <t>Kurtosis</t>
  </si>
  <si>
    <t>Skewness</t>
  </si>
  <si>
    <t>CSA</t>
  </si>
  <si>
    <t>Tues 8/4/14</t>
  </si>
  <si>
    <t>Range</t>
  </si>
  <si>
    <t>Thurs 10/4/14</t>
  </si>
  <si>
    <t>Minimum</t>
  </si>
  <si>
    <t>Fri 11/4/14</t>
  </si>
  <si>
    <t>Maximum</t>
  </si>
  <si>
    <t>Mon 14/4/14</t>
  </si>
  <si>
    <t>Sum</t>
  </si>
  <si>
    <t>Tues 29/4/14</t>
  </si>
  <si>
    <t>Count</t>
  </si>
  <si>
    <t>Wed 30/4/14</t>
  </si>
  <si>
    <t>Largest(1)</t>
  </si>
  <si>
    <t>Thurs 1/5/14</t>
  </si>
  <si>
    <t>Smallest(1)</t>
  </si>
  <si>
    <t>Fri 2/5/14</t>
  </si>
  <si>
    <t>CP</t>
  </si>
  <si>
    <t>wed 12/03/14</t>
  </si>
  <si>
    <t>fri 14/3/14</t>
  </si>
  <si>
    <t>mon 17/3/14</t>
  </si>
  <si>
    <t>90% percentile</t>
  </si>
  <si>
    <t>tues 18/3/14</t>
  </si>
  <si>
    <t>mon 24/3/18</t>
  </si>
  <si>
    <t>mon 14/4/14</t>
  </si>
  <si>
    <t>tues 6/5/14</t>
  </si>
  <si>
    <t>wed 7/5/14</t>
  </si>
  <si>
    <t>MEAN (TOTAL)</t>
  </si>
  <si>
    <t>MEANS</t>
  </si>
  <si>
    <t>(WITHOUT OUTLIER)</t>
  </si>
  <si>
    <t>STANDARD DEVIATION</t>
  </si>
  <si>
    <t>MAX</t>
  </si>
  <si>
    <t>MIN</t>
  </si>
  <si>
    <t>SINK</t>
  </si>
  <si>
    <t>MIXED PRERINSE</t>
  </si>
  <si>
    <t>SINK &amp;</t>
  </si>
  <si>
    <t>DISHWASHER</t>
  </si>
  <si>
    <t>Gerber/SPE FOG comparison (mg/l)</t>
  </si>
  <si>
    <t>Sample souce</t>
  </si>
  <si>
    <t>Sampling date</t>
  </si>
  <si>
    <t>Label</t>
  </si>
  <si>
    <t>Gerber tot</t>
  </si>
  <si>
    <t>SD</t>
  </si>
  <si>
    <t>gerber emuls</t>
  </si>
  <si>
    <t>sd</t>
  </si>
  <si>
    <t>gerber free</t>
  </si>
  <si>
    <t>Gerber emuls/tot (%)</t>
  </si>
  <si>
    <t>SPE</t>
  </si>
  <si>
    <t>FOG state ambient</t>
  </si>
  <si>
    <t xml:space="preserve">Free FOG </t>
  </si>
  <si>
    <t>Emulsified FOG</t>
  </si>
  <si>
    <t>Total FOG</t>
  </si>
  <si>
    <t>OD 660nm</t>
  </si>
  <si>
    <r>
      <rPr>
        <sz val="11"/>
        <color theme="1"/>
        <rFont val="Calibri"/>
        <family val="2"/>
      </rPr>
      <t>∑</t>
    </r>
    <r>
      <rPr>
        <sz val="9.8000000000000007"/>
        <color theme="1"/>
        <rFont val="Arial"/>
        <family val="2"/>
      </rPr>
      <t xml:space="preserve"> surfactants</t>
    </r>
  </si>
  <si>
    <t>PH</t>
  </si>
  <si>
    <t>Sink 1</t>
  </si>
  <si>
    <t>±</t>
  </si>
  <si>
    <t>solid</t>
  </si>
  <si>
    <t>red oil</t>
  </si>
  <si>
    <t>EMULSIFIED ESTIMATED</t>
  </si>
  <si>
    <t>NA</t>
  </si>
  <si>
    <t>1D</t>
  </si>
  <si>
    <t>6D</t>
  </si>
  <si>
    <t>DW</t>
  </si>
  <si>
    <t>DW 1</t>
  </si>
  <si>
    <t>liquid</t>
  </si>
  <si>
    <t>semi solid</t>
  </si>
  <si>
    <t>8D</t>
  </si>
  <si>
    <t>orange solid</t>
  </si>
  <si>
    <t>PROTEIN</t>
  </si>
  <si>
    <t>CARBS</t>
  </si>
  <si>
    <t>HEM/COD</t>
  </si>
  <si>
    <t>HEM/carbs</t>
  </si>
  <si>
    <t>FROM COLAB</t>
  </si>
  <si>
    <t>carbon wt% maltose</t>
  </si>
  <si>
    <t>proxy mixed carbs</t>
  </si>
  <si>
    <t>DISHWASHER ONLY</t>
  </si>
  <si>
    <t>incl colab</t>
  </si>
  <si>
    <t>Protein</t>
  </si>
  <si>
    <t>Carbohydrate</t>
  </si>
  <si>
    <t>FOG</t>
  </si>
  <si>
    <t>Surfactants</t>
  </si>
  <si>
    <t>grand mean</t>
  </si>
  <si>
    <t>max</t>
  </si>
  <si>
    <t>min</t>
  </si>
  <si>
    <t>mean</t>
  </si>
  <si>
    <t>Sink</t>
  </si>
  <si>
    <t>Dishwasher</t>
  </si>
  <si>
    <t>ranges (error bars)</t>
  </si>
  <si>
    <t>pos</t>
  </si>
  <si>
    <t>neg</t>
  </si>
  <si>
    <t>sink</t>
  </si>
  <si>
    <t>dw</t>
  </si>
  <si>
    <t>BINS</t>
  </si>
  <si>
    <t>CODth equivs</t>
  </si>
  <si>
    <t>CODsol</t>
  </si>
  <si>
    <t>CODth/COD (%)</t>
  </si>
  <si>
    <t>carbs/CODtot (%)</t>
  </si>
  <si>
    <t>COD:</t>
  </si>
  <si>
    <t>N:</t>
  </si>
  <si>
    <t>P</t>
  </si>
  <si>
    <t>FOG CODth/COD (%)</t>
  </si>
  <si>
    <t>CARBS CODth/COD (%)</t>
  </si>
  <si>
    <t>Prot CODth/COD (%)</t>
  </si>
  <si>
    <t>blank 1</t>
  </si>
  <si>
    <t>blank 2</t>
  </si>
  <si>
    <t>COD</t>
  </si>
  <si>
    <t>ME</t>
  </si>
  <si>
    <t>comparison</t>
  </si>
  <si>
    <t>A</t>
  </si>
  <si>
    <t>B</t>
  </si>
  <si>
    <t>C</t>
  </si>
  <si>
    <t>D</t>
  </si>
  <si>
    <t>E</t>
  </si>
  <si>
    <t>F</t>
  </si>
  <si>
    <t>G</t>
  </si>
  <si>
    <t>H</t>
  </si>
  <si>
    <t>Emulsified</t>
  </si>
  <si>
    <t>Free</t>
  </si>
  <si>
    <t>Total</t>
  </si>
  <si>
    <t xml:space="preserve"> </t>
  </si>
  <si>
    <t>SD emuls</t>
  </si>
  <si>
    <t>SD free</t>
  </si>
  <si>
    <t>SD TOT</t>
  </si>
  <si>
    <t>SD COD</t>
  </si>
  <si>
    <t xml:space="preserve">COMPLETELY </t>
  </si>
  <si>
    <t>sds</t>
  </si>
  <si>
    <t>OD</t>
  </si>
  <si>
    <t>emulsified oil (mg/l)</t>
  </si>
  <si>
    <t>tot surfs</t>
  </si>
  <si>
    <t>dishwasher</t>
  </si>
  <si>
    <t>foamability in Bartsch test increases with protein concnetration (up to 0.4% ncas; 1% WPC wt%)</t>
  </si>
  <si>
    <t>EMULS ONLY</t>
  </si>
  <si>
    <t>dishwash</t>
  </si>
  <si>
    <t>anionic</t>
  </si>
  <si>
    <t>nonionic</t>
  </si>
  <si>
    <t>total</t>
  </si>
  <si>
    <t>but is trongly affected by ph re.iep and salt concnetration</t>
  </si>
  <si>
    <t>NO DILution ABS</t>
  </si>
  <si>
    <t>(marinova)</t>
  </si>
  <si>
    <t>bartsch method 10ml solution in 100ml graduated cylinder, shake 10 times, measure foam vloume</t>
  </si>
  <si>
    <t>correlation might tail off after ~ 0.1mM SDS (~30mg/l)</t>
  </si>
  <si>
    <t>&gt; Gerber</t>
  </si>
  <si>
    <t>(petkova)</t>
  </si>
  <si>
    <t>Est.</t>
  </si>
  <si>
    <t>might be low - lost on centrifuge</t>
  </si>
  <si>
    <t>Charlotte</t>
  </si>
  <si>
    <t>CORRELATION TOT SURFS V EMULS FRACTION</t>
  </si>
  <si>
    <t>total FOG</t>
  </si>
  <si>
    <t>MEAN</t>
  </si>
  <si>
    <t>cod/emuls</t>
  </si>
  <si>
    <t>f</t>
  </si>
  <si>
    <t>h</t>
  </si>
  <si>
    <t>g</t>
  </si>
  <si>
    <t>e</t>
  </si>
  <si>
    <t>b</t>
  </si>
  <si>
    <t>high</t>
  </si>
  <si>
    <t>c</t>
  </si>
  <si>
    <t>a</t>
  </si>
  <si>
    <t>LOW</t>
  </si>
  <si>
    <t>low</t>
  </si>
  <si>
    <t>d</t>
  </si>
  <si>
    <t>HIGH</t>
  </si>
  <si>
    <t>FOG emulsified</t>
  </si>
  <si>
    <t>Fcam CF</t>
  </si>
  <si>
    <t>Fcam all</t>
  </si>
  <si>
    <t>COD D/W</t>
  </si>
  <si>
    <t>COD sink</t>
  </si>
  <si>
    <t>FOGCODth/CODt (%)</t>
  </si>
  <si>
    <t>SINK1</t>
  </si>
  <si>
    <t>sink 2</t>
  </si>
  <si>
    <t>DW2</t>
  </si>
  <si>
    <t>Surfactants: anionic</t>
  </si>
  <si>
    <t>Ph</t>
  </si>
  <si>
    <t>SUBSURFACE SAMPLE</t>
  </si>
  <si>
    <t>= EMULSIFIED  FOG</t>
  </si>
  <si>
    <t>FOGemuls CODth/COD %</t>
  </si>
  <si>
    <t>emulsified</t>
  </si>
  <si>
    <t>COD 1106</t>
  </si>
  <si>
    <t>TN 3.84</t>
  </si>
  <si>
    <t>TP 9.77</t>
  </si>
  <si>
    <t>chung &amp; young</t>
  </si>
  <si>
    <t>FOGemuls CODth mg/l</t>
  </si>
  <si>
    <t xml:space="preserve">correl COD/EMULS </t>
  </si>
  <si>
    <t>Correl COD/emuls FOG COD</t>
  </si>
  <si>
    <t>TN</t>
  </si>
  <si>
    <t>TP</t>
  </si>
  <si>
    <t>SINK2</t>
  </si>
  <si>
    <t>COD:N</t>
  </si>
  <si>
    <t>:P</t>
  </si>
  <si>
    <t>GRAND MEAN</t>
  </si>
  <si>
    <t>inorganic N/TN</t>
  </si>
  <si>
    <t>SHON</t>
  </si>
  <si>
    <t>CHUNG &amp; YOUNG</t>
  </si>
  <si>
    <t>C:N</t>
  </si>
  <si>
    <t>FOG:carbs</t>
  </si>
  <si>
    <t>FOG:protein</t>
  </si>
  <si>
    <t>range</t>
  </si>
  <si>
    <t>253-1067</t>
  </si>
  <si>
    <t>112-494</t>
  </si>
  <si>
    <t>237-2023</t>
  </si>
  <si>
    <t>199-477</t>
  </si>
  <si>
    <t>92-850</t>
  </si>
  <si>
    <t>sink1</t>
  </si>
  <si>
    <t>sink2</t>
  </si>
  <si>
    <t>DW1</t>
  </si>
  <si>
    <t>TOTAL FOG</t>
  </si>
  <si>
    <t>Variance</t>
  </si>
  <si>
    <t>Observations</t>
  </si>
  <si>
    <t>df</t>
  </si>
  <si>
    <t>t-Test: Two-Sample Assuming Unequal Variances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</si>
  <si>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</si>
  <si>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</si>
  <si>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</si>
  <si>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</si>
  <si>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</si>
  <si>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</si>
  <si>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SINK 1 V SINK 2</t>
  </si>
  <si>
    <t>DW1 V DW2</t>
  </si>
  <si>
    <t>SINK 1 V DW1</t>
  </si>
  <si>
    <t>SINK2 V DW2</t>
  </si>
  <si>
    <t>free %</t>
  </si>
  <si>
    <t>COD %</t>
  </si>
  <si>
    <t>EST CARBON TOC (mgC/l)</t>
  </si>
  <si>
    <t>HEM CARBON (mg/l)</t>
  </si>
  <si>
    <t>Carbs CARBON (mg/l)</t>
  </si>
  <si>
    <t>Protein CARBON (mg/l)</t>
  </si>
  <si>
    <t>Calculated Tot Carbon (mg/l)</t>
  </si>
  <si>
    <t>Carbon (%):</t>
  </si>
  <si>
    <t>N (%):</t>
  </si>
  <si>
    <t>P (%)</t>
  </si>
  <si>
    <t>CARBON %</t>
  </si>
  <si>
    <t>FOG/COD</t>
  </si>
  <si>
    <t>CORREL</t>
  </si>
  <si>
    <t>CARBS/COD</t>
  </si>
  <si>
    <t>PROT/COD</t>
  </si>
  <si>
    <t>TN/COD</t>
  </si>
  <si>
    <t>C:N (prot)</t>
  </si>
  <si>
    <t>C:N (TN)</t>
  </si>
  <si>
    <t>Carb tot from TN</t>
  </si>
  <si>
    <t>TN CARBON as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</si>
</sst>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[$-409]d/mmm;@"/>
    <numFmt numFmtId="167" formatCode="0.000"/>
    <numFmt numFmtId="168" formatCode="0.000000000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9.8000000000000007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17" fillId="0" borderId="0"/>
  </cellStyleXfs>
  <cellXfs count="186">
    <xf numFmtId="0" fontId="0" fillId="0" borderId="0" xfId="0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5" fillId="0" borderId="0" xfId="0" applyFont="1"/>
    <xf numFmtId="0" fontId="0" fillId="2" borderId="0" xfId="0" applyFill="1"/>
    <xf numFmtId="1" fontId="0" fillId="0" borderId="0" xfId="0" applyNumberFormat="1"/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horizontal="centerContinuous"/>
    </xf>
    <xf numFmtId="0" fontId="5" fillId="0" borderId="0" xfId="0" applyFont="1" applyAlignment="1">
      <alignment horizontal="center" vertical="top" wrapText="1"/>
    </xf>
    <xf numFmtId="164" fontId="0" fillId="0" borderId="0" xfId="0" applyNumberFormat="1"/>
    <xf numFmtId="164" fontId="0" fillId="2" borderId="0" xfId="0" applyNumberFormat="1" applyFill="1"/>
    <xf numFmtId="1" fontId="0" fillId="2" borderId="0" xfId="0" applyNumberFormat="1" applyFill="1"/>
    <xf numFmtId="0" fontId="0" fillId="0" borderId="0" xfId="0" applyFill="1" applyBorder="1" applyAlignment="1"/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164" fontId="8" fillId="0" borderId="0" xfId="0" applyNumberFormat="1" applyFont="1"/>
    <xf numFmtId="0" fontId="8" fillId="0" borderId="0" xfId="0" applyFont="1"/>
    <xf numFmtId="0" fontId="9" fillId="0" borderId="0" xfId="0" applyFont="1"/>
    <xf numFmtId="164" fontId="9" fillId="2" borderId="0" xfId="0" applyNumberFormat="1" applyFont="1" applyFill="1"/>
    <xf numFmtId="164" fontId="9" fillId="0" borderId="0" xfId="0" applyNumberFormat="1" applyFont="1"/>
    <xf numFmtId="1" fontId="8" fillId="2" borderId="0" xfId="0" applyNumberFormat="1" applyFont="1" applyFill="1"/>
    <xf numFmtId="1" fontId="9" fillId="2" borderId="0" xfId="0" applyNumberFormat="1" applyFont="1" applyFill="1"/>
    <xf numFmtId="1" fontId="9" fillId="0" borderId="0" xfId="0" applyNumberFormat="1" applyFont="1"/>
    <xf numFmtId="0" fontId="0" fillId="0" borderId="2" xfId="0" applyFill="1" applyBorder="1" applyAlignment="1"/>
    <xf numFmtId="164" fontId="8" fillId="2" borderId="0" xfId="0" applyNumberFormat="1" applyFont="1" applyFill="1"/>
    <xf numFmtId="0" fontId="0" fillId="0" borderId="0" xfId="0" applyFont="1"/>
    <xf numFmtId="0" fontId="0" fillId="0" borderId="0" xfId="0" applyFont="1" applyAlignment="1">
      <alignment wrapText="1"/>
    </xf>
    <xf numFmtId="9" fontId="8" fillId="0" borderId="0" xfId="0" applyNumberFormat="1" applyFont="1"/>
    <xf numFmtId="2" fontId="9" fillId="0" borderId="0" xfId="0" applyNumberFormat="1" applyFont="1"/>
    <xf numFmtId="1" fontId="8" fillId="0" borderId="0" xfId="0" applyNumberFormat="1" applyFont="1"/>
    <xf numFmtId="0" fontId="10" fillId="0" borderId="0" xfId="0" applyFont="1"/>
    <xf numFmtId="1" fontId="0" fillId="3" borderId="0" xfId="0" applyNumberFormat="1" applyFill="1"/>
    <xf numFmtId="1" fontId="10" fillId="2" borderId="0" xfId="0" applyNumberFormat="1" applyFont="1" applyFill="1"/>
    <xf numFmtId="2" fontId="10" fillId="0" borderId="0" xfId="0" applyNumberFormat="1" applyFont="1"/>
    <xf numFmtId="164" fontId="10" fillId="0" borderId="0" xfId="0" applyNumberFormat="1" applyFont="1"/>
    <xf numFmtId="164" fontId="10" fillId="2" borderId="0" xfId="0" applyNumberFormat="1" applyFont="1" applyFill="1"/>
    <xf numFmtId="1" fontId="10" fillId="0" borderId="0" xfId="0" applyNumberFormat="1" applyFont="1"/>
    <xf numFmtId="0" fontId="10" fillId="2" borderId="0" xfId="0" applyFont="1" applyFill="1"/>
    <xf numFmtId="0" fontId="10" fillId="3" borderId="0" xfId="0" applyFont="1" applyFill="1"/>
    <xf numFmtId="2" fontId="0" fillId="0" borderId="0" xfId="0" applyNumberFormat="1"/>
    <xf numFmtId="0" fontId="5" fillId="0" borderId="0" xfId="0" applyFont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1" fillId="0" borderId="0" xfId="0" applyFont="1"/>
    <xf numFmtId="0" fontId="12" fillId="0" borderId="0" xfId="0" applyFont="1"/>
    <xf numFmtId="164" fontId="11" fillId="0" borderId="0" xfId="0" applyNumberFormat="1" applyFont="1"/>
    <xf numFmtId="1" fontId="13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" fontId="11" fillId="0" borderId="0" xfId="0" applyNumberFormat="1" applyFont="1"/>
    <xf numFmtId="164" fontId="11" fillId="2" borderId="0" xfId="0" applyNumberFormat="1" applyFont="1" applyFill="1"/>
    <xf numFmtId="164" fontId="13" fillId="2" borderId="0" xfId="0" applyNumberFormat="1" applyFont="1" applyFill="1"/>
    <xf numFmtId="0" fontId="10" fillId="0" borderId="0" xfId="0" applyFont="1" applyFill="1"/>
    <xf numFmtId="0" fontId="5" fillId="0" borderId="0" xfId="0" applyFont="1" applyAlignment="1">
      <alignment horizontal="center" vertical="top" wrapText="1"/>
    </xf>
    <xf numFmtId="0" fontId="14" fillId="0" borderId="0" xfId="1" applyFont="1" applyAlignment="1">
      <alignment vertical="top" wrapText="1"/>
    </xf>
    <xf numFmtId="0" fontId="4" fillId="0" borderId="0" xfId="1" applyAlignment="1">
      <alignment vertical="top" wrapText="1"/>
    </xf>
    <xf numFmtId="0" fontId="4" fillId="0" borderId="0" xfId="1" applyAlignment="1">
      <alignment vertical="top"/>
    </xf>
    <xf numFmtId="0" fontId="4" fillId="0" borderId="0" xfId="1"/>
    <xf numFmtId="0" fontId="4" fillId="0" borderId="0" xfId="1" quotePrefix="1" applyAlignment="1">
      <alignment vertical="top"/>
    </xf>
    <xf numFmtId="16" fontId="4" fillId="0" borderId="0" xfId="1" applyNumberFormat="1" applyAlignment="1">
      <alignment vertical="top"/>
    </xf>
    <xf numFmtId="0" fontId="4" fillId="0" borderId="0" xfId="1" applyAlignment="1">
      <alignment horizontal="center" vertical="top"/>
    </xf>
    <xf numFmtId="1" fontId="4" fillId="0" borderId="0" xfId="1" applyNumberFormat="1" applyAlignment="1">
      <alignment vertical="top"/>
    </xf>
    <xf numFmtId="1" fontId="4" fillId="0" borderId="0" xfId="1" applyNumberFormat="1" applyAlignment="1">
      <alignment vertical="top" wrapText="1"/>
    </xf>
    <xf numFmtId="1" fontId="4" fillId="0" borderId="0" xfId="1" applyNumberFormat="1"/>
    <xf numFmtId="0" fontId="7" fillId="0" borderId="0" xfId="1" applyFont="1" applyAlignment="1">
      <alignment horizontal="center"/>
    </xf>
    <xf numFmtId="1" fontId="4" fillId="0" borderId="0" xfId="1" applyNumberFormat="1" applyAlignment="1">
      <alignment horizontal="left"/>
    </xf>
    <xf numFmtId="165" fontId="4" fillId="0" borderId="0" xfId="1" applyNumberFormat="1"/>
    <xf numFmtId="1" fontId="4" fillId="0" borderId="0" xfId="1" applyNumberFormat="1" applyAlignment="1">
      <alignment horizontal="center"/>
    </xf>
    <xf numFmtId="14" fontId="4" fillId="0" borderId="0" xfId="1" applyNumberFormat="1"/>
    <xf numFmtId="16" fontId="4" fillId="0" borderId="0" xfId="1" applyNumberFormat="1"/>
    <xf numFmtId="164" fontId="4" fillId="0" borderId="0" xfId="1" applyNumberFormat="1"/>
    <xf numFmtId="0" fontId="7" fillId="0" borderId="0" xfId="1" applyFont="1"/>
    <xf numFmtId="166" fontId="4" fillId="4" borderId="0" xfId="1" applyNumberFormat="1" applyFill="1"/>
    <xf numFmtId="0" fontId="4" fillId="4" borderId="0" xfId="1" applyNumberFormat="1" applyFill="1" applyAlignment="1">
      <alignment horizontal="center" vertical="top"/>
    </xf>
    <xf numFmtId="1" fontId="4" fillId="4" borderId="0" xfId="1" applyNumberFormat="1" applyFill="1"/>
    <xf numFmtId="0" fontId="4" fillId="4" borderId="0" xfId="1" applyFill="1"/>
    <xf numFmtId="0" fontId="4" fillId="4" borderId="0" xfId="1" applyFill="1" applyAlignment="1">
      <alignment horizontal="left" indent="1"/>
    </xf>
    <xf numFmtId="0" fontId="4" fillId="0" borderId="0" xfId="1" applyNumberFormat="1" applyAlignment="1">
      <alignment horizontal="center" vertical="top"/>
    </xf>
    <xf numFmtId="0" fontId="4" fillId="0" borderId="0" xfId="1" applyAlignment="1">
      <alignment horizontal="center"/>
    </xf>
    <xf numFmtId="14" fontId="4" fillId="5" borderId="0" xfId="1" applyNumberFormat="1" applyFill="1"/>
    <xf numFmtId="1" fontId="4" fillId="0" borderId="0" xfId="1" applyNumberFormat="1" applyAlignment="1">
      <alignment horizontal="center" vertical="center"/>
    </xf>
    <xf numFmtId="16" fontId="0" fillId="0" borderId="0" xfId="0" applyNumberFormat="1" applyAlignment="1">
      <alignment vertical="top"/>
    </xf>
    <xf numFmtId="1" fontId="0" fillId="6" borderId="0" xfId="0" applyNumberFormat="1" applyFill="1"/>
    <xf numFmtId="0" fontId="0" fillId="6" borderId="0" xfId="0" applyFill="1"/>
    <xf numFmtId="16" fontId="0" fillId="0" borderId="0" xfId="0" applyNumberFormat="1"/>
    <xf numFmtId="14" fontId="0" fillId="5" borderId="0" xfId="0" applyNumberFormat="1" applyFill="1"/>
    <xf numFmtId="0" fontId="16" fillId="0" borderId="0" xfId="0" applyFont="1"/>
    <xf numFmtId="1" fontId="0" fillId="0" borderId="0" xfId="0" applyNumberFormat="1" applyFont="1"/>
    <xf numFmtId="0" fontId="0" fillId="0" borderId="0" xfId="0" applyAlignment="1">
      <alignment horizontal="right" wrapText="1"/>
    </xf>
    <xf numFmtId="0" fontId="6" fillId="0" borderId="1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4" fillId="0" borderId="0" xfId="1" applyAlignment="1">
      <alignment horizontal="center" vertical="top"/>
    </xf>
    <xf numFmtId="1" fontId="4" fillId="0" borderId="0" xfId="1" applyNumberForma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1" fontId="10" fillId="3" borderId="0" xfId="0" applyNumberFormat="1" applyFont="1" applyFill="1"/>
    <xf numFmtId="2" fontId="11" fillId="0" borderId="0" xfId="0" applyNumberFormat="1" applyFont="1"/>
    <xf numFmtId="164" fontId="0" fillId="0" borderId="0" xfId="0" applyNumberFormat="1" applyAlignment="1">
      <alignment horizontal="center" wrapText="1"/>
    </xf>
    <xf numFmtId="0" fontId="3" fillId="0" borderId="0" xfId="2" applyAlignment="1">
      <alignment vertical="top"/>
    </xf>
    <xf numFmtId="0" fontId="14" fillId="0" borderId="0" xfId="2" applyFont="1"/>
    <xf numFmtId="0" fontId="3" fillId="0" borderId="0" xfId="2"/>
    <xf numFmtId="0" fontId="3" fillId="0" borderId="0" xfId="2" applyAlignment="1">
      <alignment vertical="top" wrapText="1"/>
    </xf>
    <xf numFmtId="16" fontId="3" fillId="0" borderId="0" xfId="2" applyNumberFormat="1" applyAlignment="1">
      <alignment vertical="top"/>
    </xf>
    <xf numFmtId="1" fontId="3" fillId="0" borderId="0" xfId="2" applyNumberFormat="1" applyAlignment="1">
      <alignment vertical="top"/>
    </xf>
    <xf numFmtId="1" fontId="3" fillId="0" borderId="0" xfId="2" applyNumberFormat="1" applyAlignment="1">
      <alignment vertical="top" wrapText="1"/>
    </xf>
    <xf numFmtId="16" fontId="3" fillId="0" borderId="0" xfId="2" applyNumberFormat="1" applyAlignment="1">
      <alignment vertical="top" wrapText="1"/>
    </xf>
    <xf numFmtId="16" fontId="3" fillId="0" borderId="0" xfId="2" applyNumberFormat="1" applyAlignment="1">
      <alignment horizontal="center"/>
    </xf>
    <xf numFmtId="16" fontId="3" fillId="0" borderId="0" xfId="2" applyNumberFormat="1"/>
    <xf numFmtId="1" fontId="3" fillId="0" borderId="0" xfId="2" applyNumberFormat="1" applyAlignment="1">
      <alignment horizontal="center"/>
    </xf>
    <xf numFmtId="1" fontId="3" fillId="0" borderId="0" xfId="2" applyNumberFormat="1"/>
    <xf numFmtId="164" fontId="3" fillId="0" borderId="0" xfId="2" applyNumberFormat="1"/>
    <xf numFmtId="14" fontId="3" fillId="0" borderId="0" xfId="2" applyNumberFormat="1"/>
    <xf numFmtId="1" fontId="19" fillId="0" borderId="0" xfId="2" applyNumberFormat="1" applyFont="1"/>
    <xf numFmtId="1" fontId="18" fillId="0" borderId="0" xfId="2" applyNumberFormat="1" applyFont="1"/>
    <xf numFmtId="14" fontId="3" fillId="4" borderId="0" xfId="2" applyNumberFormat="1" applyFill="1"/>
    <xf numFmtId="0" fontId="3" fillId="4" borderId="0" xfId="2" applyNumberFormat="1" applyFill="1"/>
    <xf numFmtId="1" fontId="3" fillId="4" borderId="0" xfId="2" applyNumberFormat="1" applyFill="1"/>
    <xf numFmtId="0" fontId="3" fillId="4" borderId="0" xfId="2" applyFill="1"/>
    <xf numFmtId="0" fontId="3" fillId="0" borderId="0" xfId="2" applyNumberFormat="1"/>
    <xf numFmtId="14" fontId="3" fillId="5" borderId="0" xfId="2" applyNumberFormat="1" applyFill="1"/>
    <xf numFmtId="0" fontId="17" fillId="0" borderId="0" xfId="3"/>
    <xf numFmtId="0" fontId="17" fillId="0" borderId="0" xfId="3" applyAlignment="1">
      <alignment wrapText="1"/>
    </xf>
    <xf numFmtId="165" fontId="17" fillId="0" borderId="0" xfId="3" applyNumberFormat="1"/>
    <xf numFmtId="14" fontId="17" fillId="0" borderId="0" xfId="3" applyNumberFormat="1"/>
    <xf numFmtId="1" fontId="17" fillId="0" borderId="0" xfId="3" applyNumberFormat="1"/>
    <xf numFmtId="14" fontId="17" fillId="5" borderId="0" xfId="3" applyNumberFormat="1" applyFill="1"/>
    <xf numFmtId="1" fontId="17" fillId="5" borderId="0" xfId="3" applyNumberFormat="1" applyFill="1"/>
    <xf numFmtId="164" fontId="17" fillId="0" borderId="0" xfId="3" applyNumberFormat="1"/>
    <xf numFmtId="0" fontId="0" fillId="0" borderId="0" xfId="3" applyFont="1"/>
    <xf numFmtId="1" fontId="17" fillId="7" borderId="0" xfId="3" applyNumberFormat="1" applyFill="1"/>
    <xf numFmtId="0" fontId="17" fillId="7" borderId="0" xfId="3" applyFill="1"/>
    <xf numFmtId="0" fontId="8" fillId="0" borderId="0" xfId="3" applyFont="1"/>
    <xf numFmtId="1" fontId="8" fillId="0" borderId="0" xfId="3" applyNumberFormat="1" applyFont="1"/>
    <xf numFmtId="167" fontId="8" fillId="0" borderId="0" xfId="3" applyNumberFormat="1" applyFont="1"/>
    <xf numFmtId="168" fontId="17" fillId="0" borderId="0" xfId="3" applyNumberFormat="1"/>
    <xf numFmtId="2" fontId="3" fillId="0" borderId="0" xfId="2" applyNumberFormat="1"/>
    <xf numFmtId="0" fontId="3" fillId="0" borderId="0" xfId="2" applyAlignment="1">
      <alignment horizontal="center" vertical="center"/>
    </xf>
    <xf numFmtId="0" fontId="3" fillId="0" borderId="0" xfId="2" applyAlignment="1">
      <alignment horizontal="center"/>
    </xf>
    <xf numFmtId="14" fontId="18" fillId="0" borderId="0" xfId="2" applyNumberFormat="1" applyFont="1"/>
    <xf numFmtId="1" fontId="3" fillId="7" borderId="0" xfId="2" applyNumberFormat="1" applyFill="1"/>
    <xf numFmtId="0" fontId="3" fillId="0" borderId="0" xfId="2" applyAlignment="1">
      <alignment wrapText="1"/>
    </xf>
    <xf numFmtId="1" fontId="3" fillId="8" borderId="0" xfId="2" applyNumberFormat="1" applyFill="1"/>
    <xf numFmtId="1" fontId="18" fillId="0" borderId="0" xfId="1" applyNumberFormat="1" applyFont="1"/>
    <xf numFmtId="0" fontId="20" fillId="0" borderId="0" xfId="1" applyFont="1" applyAlignment="1">
      <alignment horizontal="center"/>
    </xf>
    <xf numFmtId="0" fontId="19" fillId="0" borderId="0" xfId="2" applyFont="1"/>
    <xf numFmtId="0" fontId="3" fillId="0" borderId="0" xfId="2" quotePrefix="1"/>
    <xf numFmtId="0" fontId="0" fillId="0" borderId="0" xfId="0" applyAlignment="1">
      <alignment vertical="center"/>
    </xf>
    <xf numFmtId="2" fontId="13" fillId="0" borderId="0" xfId="0" applyNumberFormat="1" applyFont="1"/>
    <xf numFmtId="167" fontId="4" fillId="0" borderId="0" xfId="1" applyNumberFormat="1"/>
    <xf numFmtId="167" fontId="18" fillId="0" borderId="0" xfId="1" applyNumberFormat="1" applyFont="1"/>
    <xf numFmtId="165" fontId="18" fillId="0" borderId="0" xfId="1" applyNumberFormat="1" applyFont="1"/>
    <xf numFmtId="164" fontId="8" fillId="0" borderId="0" xfId="3" applyNumberFormat="1" applyFont="1"/>
    <xf numFmtId="0" fontId="2" fillId="0" borderId="0" xfId="2" applyFont="1" applyAlignment="1">
      <alignment wrapText="1"/>
    </xf>
    <xf numFmtId="0" fontId="2" fillId="0" borderId="0" xfId="2" applyFont="1"/>
    <xf numFmtId="2" fontId="8" fillId="0" borderId="0" xfId="0" applyNumberFormat="1" applyFont="1"/>
    <xf numFmtId="164" fontId="3" fillId="8" borderId="0" xfId="2" applyNumberFormat="1" applyFill="1"/>
    <xf numFmtId="2" fontId="3" fillId="8" borderId="0" xfId="2" applyNumberFormat="1" applyFill="1"/>
    <xf numFmtId="164" fontId="18" fillId="0" borderId="0" xfId="2" applyNumberFormat="1" applyFont="1"/>
    <xf numFmtId="2" fontId="18" fillId="0" borderId="0" xfId="2" applyNumberFormat="1" applyFont="1"/>
    <xf numFmtId="0" fontId="18" fillId="0" borderId="0" xfId="2" applyFont="1"/>
    <xf numFmtId="164" fontId="12" fillId="0" borderId="0" xfId="0" applyNumberFormat="1" applyFont="1"/>
    <xf numFmtId="2" fontId="10" fillId="2" borderId="0" xfId="0" applyNumberFormat="1" applyFont="1" applyFill="1"/>
    <xf numFmtId="0" fontId="8" fillId="0" borderId="0" xfId="0" applyFont="1" applyFill="1" applyBorder="1" applyAlignment="1"/>
    <xf numFmtId="14" fontId="1" fillId="0" borderId="0" xfId="1" applyNumberFormat="1" applyFont="1"/>
    <xf numFmtId="0" fontId="1" fillId="0" borderId="0" xfId="1" applyFont="1"/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2" fontId="9" fillId="0" borderId="0" xfId="0" applyNumberFormat="1" applyFont="1" applyFill="1"/>
    <xf numFmtId="1" fontId="9" fillId="0" borderId="0" xfId="0" applyNumberFormat="1" applyFont="1" applyFill="1"/>
    <xf numFmtId="0" fontId="5" fillId="6" borderId="0" xfId="0" applyFont="1" applyFill="1" applyAlignment="1">
      <alignment wrapText="1"/>
    </xf>
    <xf numFmtId="0" fontId="21" fillId="0" borderId="0" xfId="0" applyFont="1"/>
    <xf numFmtId="2" fontId="21" fillId="0" borderId="0" xfId="0" applyNumberFormat="1" applyFont="1"/>
    <xf numFmtId="0" fontId="3" fillId="0" borderId="0" xfId="2" applyAlignment="1">
      <alignment horizontal="center" vertical="center"/>
    </xf>
    <xf numFmtId="14" fontId="3" fillId="0" borderId="0" xfId="2" applyNumberFormat="1" applyAlignment="1">
      <alignment horizontal="center"/>
    </xf>
    <xf numFmtId="0" fontId="3" fillId="0" borderId="0" xfId="2" applyAlignment="1">
      <alignment horizontal="center"/>
    </xf>
    <xf numFmtId="0" fontId="4" fillId="0" borderId="0" xfId="1" applyAlignment="1">
      <alignment horizontal="center" vertical="top"/>
    </xf>
    <xf numFmtId="1" fontId="4" fillId="0" borderId="0" xfId="1" applyNumberFormat="1" applyAlignment="1">
      <alignment horizontal="center"/>
    </xf>
    <xf numFmtId="0" fontId="4" fillId="0" borderId="0" xfId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0" xfId="3" applyAlignment="1">
      <alignment horizont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'colab graphs'!$Q$3</c:f>
              <c:strCache>
                <c:ptCount val="1"/>
                <c:pt idx="0">
                  <c:v>Emulsified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pattFill prst="wdDnDiag">
                <a:fgClr>
                  <a:srgbClr val="0070C0"/>
                </a:fgClr>
                <a:bgClr>
                  <a:schemeClr val="bg1"/>
                </a:bgClr>
              </a:pattFill>
              <a:ln w="6350">
                <a:noFill/>
              </a:ln>
            </c:spPr>
          </c:dPt>
          <c:errBars>
            <c:errBarType val="both"/>
            <c:errValType val="cust"/>
            <c:noEndCap val="0"/>
            <c:plus>
              <c:numRef>
                <c:f>'colab graphs'!$G$2:$G$18</c:f>
                <c:numCache>
                  <c:formatCode>General</c:formatCode>
                  <c:ptCount val="17"/>
                  <c:pt idx="0">
                    <c:v>55.782909255421906</c:v>
                  </c:pt>
                  <c:pt idx="1">
                    <c:v>9.556726673229754</c:v>
                  </c:pt>
                  <c:pt idx="2">
                    <c:v>39.110395214533732</c:v>
                  </c:pt>
                  <c:pt idx="3">
                    <c:v>118.4906471989828</c:v>
                  </c:pt>
                  <c:pt idx="4">
                    <c:v>39.017161155297288</c:v>
                  </c:pt>
                  <c:pt idx="5">
                    <c:v>78.773741544263146</c:v>
                  </c:pt>
                  <c:pt idx="6">
                    <c:v>100.97210493703192</c:v>
                  </c:pt>
                  <c:pt idx="7">
                    <c:v>59.962791754027648</c:v>
                  </c:pt>
                  <c:pt idx="9">
                    <c:v>9.0433068901926887</c:v>
                  </c:pt>
                  <c:pt idx="10">
                    <c:v>21.96495447621518</c:v>
                  </c:pt>
                  <c:pt idx="11">
                    <c:v>1.3893155937300372</c:v>
                  </c:pt>
                  <c:pt idx="12">
                    <c:v>15.698862996956752</c:v>
                  </c:pt>
                  <c:pt idx="13">
                    <c:v>35.733313492503882</c:v>
                  </c:pt>
                  <c:pt idx="14">
                    <c:v>21.387975506468027</c:v>
                  </c:pt>
                  <c:pt idx="15">
                    <c:v>38.232860316950337</c:v>
                  </c:pt>
                  <c:pt idx="16">
                    <c:v>33.820420059603933</c:v>
                  </c:pt>
                </c:numCache>
              </c:numRef>
            </c:plus>
            <c:minus>
              <c:numRef>
                <c:f>'colab graphs'!$G$2:$G$18</c:f>
                <c:numCache>
                  <c:formatCode>General</c:formatCode>
                  <c:ptCount val="17"/>
                  <c:pt idx="0">
                    <c:v>55.782909255421906</c:v>
                  </c:pt>
                  <c:pt idx="1">
                    <c:v>9.556726673229754</c:v>
                  </c:pt>
                  <c:pt idx="2">
                    <c:v>39.110395214533732</c:v>
                  </c:pt>
                  <c:pt idx="3">
                    <c:v>118.4906471989828</c:v>
                  </c:pt>
                  <c:pt idx="4">
                    <c:v>39.017161155297288</c:v>
                  </c:pt>
                  <c:pt idx="5">
                    <c:v>78.773741544263146</c:v>
                  </c:pt>
                  <c:pt idx="6">
                    <c:v>100.97210493703192</c:v>
                  </c:pt>
                  <c:pt idx="7">
                    <c:v>59.962791754027648</c:v>
                  </c:pt>
                  <c:pt idx="9">
                    <c:v>9.0433068901926887</c:v>
                  </c:pt>
                  <c:pt idx="10">
                    <c:v>21.96495447621518</c:v>
                  </c:pt>
                  <c:pt idx="11">
                    <c:v>1.3893155937300372</c:v>
                  </c:pt>
                  <c:pt idx="12">
                    <c:v>15.698862996956752</c:v>
                  </c:pt>
                  <c:pt idx="13">
                    <c:v>35.733313492503882</c:v>
                  </c:pt>
                  <c:pt idx="14">
                    <c:v>21.387975506468027</c:v>
                  </c:pt>
                  <c:pt idx="15">
                    <c:v>38.232860316950337</c:v>
                  </c:pt>
                  <c:pt idx="16">
                    <c:v>33.820420059603933</c:v>
                  </c:pt>
                </c:numCache>
              </c:numRef>
            </c:minus>
          </c:errBars>
          <c:cat>
            <c:strRef>
              <c:f>'colab graphs'!$C$2:$C$18</c:f>
              <c:strCache>
                <c:ptCount val="17"/>
                <c:pt idx="0">
                  <c:v>Sink 1</c:v>
                </c:pt>
                <c:pt idx="1">
                  <c:v>3</c:v>
                </c:pt>
                <c:pt idx="2">
                  <c:v>8</c:v>
                </c:pt>
                <c:pt idx="3">
                  <c:v>10</c:v>
                </c:pt>
                <c:pt idx="4">
                  <c:v>17</c:v>
                </c:pt>
                <c:pt idx="5">
                  <c:v>24</c:v>
                </c:pt>
                <c:pt idx="6">
                  <c:v>1D</c:v>
                </c:pt>
                <c:pt idx="7">
                  <c:v>6D</c:v>
                </c:pt>
                <c:pt idx="9">
                  <c:v>DW 1</c:v>
                </c:pt>
                <c:pt idx="10">
                  <c:v>3</c:v>
                </c:pt>
                <c:pt idx="11">
                  <c:v>8</c:v>
                </c:pt>
                <c:pt idx="12">
                  <c:v>17</c:v>
                </c:pt>
                <c:pt idx="13">
                  <c:v>24</c:v>
                </c:pt>
                <c:pt idx="14">
                  <c:v>1D</c:v>
                </c:pt>
                <c:pt idx="15">
                  <c:v>6D</c:v>
                </c:pt>
                <c:pt idx="16">
                  <c:v>8D</c:v>
                </c:pt>
              </c:strCache>
            </c:strRef>
          </c:cat>
          <c:val>
            <c:numRef>
              <c:f>'colab graphs'!$F$2:$F$18</c:f>
              <c:numCache>
                <c:formatCode>0</c:formatCode>
                <c:ptCount val="17"/>
                <c:pt idx="0">
                  <c:v>336.83224626043102</c:v>
                </c:pt>
                <c:pt idx="1">
                  <c:v>154.94496338916895</c:v>
                </c:pt>
                <c:pt idx="2">
                  <c:v>193.68607219043011</c:v>
                </c:pt>
                <c:pt idx="3">
                  <c:v>538.47679141523884</c:v>
                </c:pt>
                <c:pt idx="4">
                  <c:v>123.78170564082023</c:v>
                </c:pt>
                <c:pt idx="5">
                  <c:v>453.87826274511417</c:v>
                </c:pt>
                <c:pt idx="6">
                  <c:v>439.62678936318827</c:v>
                </c:pt>
                <c:pt idx="7">
                  <c:v>232.7874503450027</c:v>
                </c:pt>
                <c:pt idx="9">
                  <c:v>216.98456968945399</c:v>
                </c:pt>
                <c:pt idx="10">
                  <c:v>379.97279565601769</c:v>
                </c:pt>
                <c:pt idx="11">
                  <c:v>233.04861030686553</c:v>
                </c:pt>
                <c:pt idx="12">
                  <c:v>371.20823337130167</c:v>
                </c:pt>
                <c:pt idx="13">
                  <c:v>432.45618031081762</c:v>
                </c:pt>
                <c:pt idx="14">
                  <c:v>221.82882710793339</c:v>
                </c:pt>
                <c:pt idx="15">
                  <c:v>198.69345205122252</c:v>
                </c:pt>
                <c:pt idx="16">
                  <c:v>271.56945736134321</c:v>
                </c:pt>
              </c:numCache>
            </c:numRef>
          </c:val>
        </c:ser>
        <c:ser>
          <c:idx val="1"/>
          <c:order val="1"/>
          <c:tx>
            <c:strRef>
              <c:f>'colab graphs'!$Q$4</c:f>
              <c:strCache>
                <c:ptCount val="1"/>
                <c:pt idx="0">
                  <c:v>Free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'colab graphs'!$I$2:$I$18</c:f>
                <c:numCache>
                  <c:formatCode>General</c:formatCode>
                  <c:ptCount val="17"/>
                  <c:pt idx="0">
                    <c:v>68.947388217606743</c:v>
                  </c:pt>
                  <c:pt idx="1">
                    <c:v>23.167559151832222</c:v>
                  </c:pt>
                  <c:pt idx="2">
                    <c:v>254.81729558164071</c:v>
                  </c:pt>
                  <c:pt idx="3">
                    <c:v>395.0249610855667</c:v>
                  </c:pt>
                  <c:pt idx="4">
                    <c:v>142.52477667881573</c:v>
                  </c:pt>
                  <c:pt idx="5">
                    <c:v>462.24941313011402</c:v>
                  </c:pt>
                  <c:pt idx="6">
                    <c:v>372.87132336633232</c:v>
                  </c:pt>
                  <c:pt idx="7">
                    <c:v>344.08393056147321</c:v>
                  </c:pt>
                  <c:pt idx="9">
                    <c:v>54.694488823726545</c:v>
                  </c:pt>
                  <c:pt idx="10">
                    <c:v>0</c:v>
                  </c:pt>
                  <c:pt idx="11">
                    <c:v>66.319219242075008</c:v>
                  </c:pt>
                  <c:pt idx="12">
                    <c:v>0</c:v>
                  </c:pt>
                  <c:pt idx="13">
                    <c:v>30.766436483841307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'colab graphs'!$I$2:$I$18</c:f>
                <c:numCache>
                  <c:formatCode>General</c:formatCode>
                  <c:ptCount val="17"/>
                  <c:pt idx="0">
                    <c:v>68.947388217606743</c:v>
                  </c:pt>
                  <c:pt idx="1">
                    <c:v>23.167559151832222</c:v>
                  </c:pt>
                  <c:pt idx="2">
                    <c:v>254.81729558164071</c:v>
                  </c:pt>
                  <c:pt idx="3">
                    <c:v>395.0249610855667</c:v>
                  </c:pt>
                  <c:pt idx="4">
                    <c:v>142.52477667881573</c:v>
                  </c:pt>
                  <c:pt idx="5">
                    <c:v>462.24941313011402</c:v>
                  </c:pt>
                  <c:pt idx="6">
                    <c:v>372.87132336633232</c:v>
                  </c:pt>
                  <c:pt idx="7">
                    <c:v>344.08393056147321</c:v>
                  </c:pt>
                  <c:pt idx="9">
                    <c:v>54.694488823726545</c:v>
                  </c:pt>
                  <c:pt idx="10">
                    <c:v>0</c:v>
                  </c:pt>
                  <c:pt idx="11">
                    <c:v>66.319219242075008</c:v>
                  </c:pt>
                  <c:pt idx="12">
                    <c:v>0</c:v>
                  </c:pt>
                  <c:pt idx="13">
                    <c:v>30.766436483841307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</c:errBars>
          <c:cat>
            <c:strRef>
              <c:f>'colab graphs'!$C$2:$C$18</c:f>
              <c:strCache>
                <c:ptCount val="17"/>
                <c:pt idx="0">
                  <c:v>Sink 1</c:v>
                </c:pt>
                <c:pt idx="1">
                  <c:v>3</c:v>
                </c:pt>
                <c:pt idx="2">
                  <c:v>8</c:v>
                </c:pt>
                <c:pt idx="3">
                  <c:v>10</c:v>
                </c:pt>
                <c:pt idx="4">
                  <c:v>17</c:v>
                </c:pt>
                <c:pt idx="5">
                  <c:v>24</c:v>
                </c:pt>
                <c:pt idx="6">
                  <c:v>1D</c:v>
                </c:pt>
                <c:pt idx="7">
                  <c:v>6D</c:v>
                </c:pt>
                <c:pt idx="9">
                  <c:v>DW 1</c:v>
                </c:pt>
                <c:pt idx="10">
                  <c:v>3</c:v>
                </c:pt>
                <c:pt idx="11">
                  <c:v>8</c:v>
                </c:pt>
                <c:pt idx="12">
                  <c:v>17</c:v>
                </c:pt>
                <c:pt idx="13">
                  <c:v>24</c:v>
                </c:pt>
                <c:pt idx="14">
                  <c:v>1D</c:v>
                </c:pt>
                <c:pt idx="15">
                  <c:v>6D</c:v>
                </c:pt>
                <c:pt idx="16">
                  <c:v>8D</c:v>
                </c:pt>
              </c:strCache>
            </c:strRef>
          </c:cat>
          <c:val>
            <c:numRef>
              <c:f>'colab graphs'!$H$2:$H$18</c:f>
              <c:numCache>
                <c:formatCode>0</c:formatCode>
                <c:ptCount val="17"/>
                <c:pt idx="0">
                  <c:v>221.0819308810353</c:v>
                </c:pt>
                <c:pt idx="1">
                  <c:v>82.539492903488807</c:v>
                </c:pt>
                <c:pt idx="2">
                  <c:v>351.74034448499924</c:v>
                </c:pt>
                <c:pt idx="3">
                  <c:v>462.23465587007604</c:v>
                </c:pt>
                <c:pt idx="4">
                  <c:v>275.17435461608017</c:v>
                </c:pt>
                <c:pt idx="5">
                  <c:v>1568.6830934249799</c:v>
                </c:pt>
                <c:pt idx="6">
                  <c:v>875.51096940238074</c:v>
                </c:pt>
                <c:pt idx="7">
                  <c:v>724.09428347026028</c:v>
                </c:pt>
                <c:pt idx="9">
                  <c:v>61.400434162739366</c:v>
                </c:pt>
                <c:pt idx="10">
                  <c:v>0</c:v>
                </c:pt>
                <c:pt idx="11">
                  <c:v>73.060320488691545</c:v>
                </c:pt>
                <c:pt idx="12">
                  <c:v>0</c:v>
                </c:pt>
                <c:pt idx="13">
                  <c:v>44.186603427737438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119466120"/>
        <c:axId val="140944552"/>
      </c:barChart>
      <c:barChart>
        <c:barDir val="col"/>
        <c:grouping val="clustered"/>
        <c:varyColors val="0"/>
        <c:ser>
          <c:idx val="2"/>
          <c:order val="2"/>
          <c:tx>
            <c:strRef>
              <c:f>'colab graphs'!$Q$6</c:f>
              <c:strCache>
                <c:ptCount val="1"/>
                <c:pt idx="0">
                  <c:v>blank 1</c:v>
                </c:pt>
              </c:strCache>
            </c:strRef>
          </c:tx>
          <c:invertIfNegative val="0"/>
          <c:val>
            <c:numRef>
              <c:f>'colab graphs'!$S$6:$AC$6</c:f>
              <c:numCache>
                <c:formatCode>General</c:formatCode>
                <c:ptCount val="11"/>
              </c:numCache>
            </c:numRef>
          </c:val>
        </c:ser>
        <c:ser>
          <c:idx val="3"/>
          <c:order val="3"/>
          <c:tx>
            <c:strRef>
              <c:f>'colab graphs'!$Q$7</c:f>
              <c:strCache>
                <c:ptCount val="1"/>
                <c:pt idx="0">
                  <c:v>blank 2</c:v>
                </c:pt>
              </c:strCache>
            </c:strRef>
          </c:tx>
          <c:invertIfNegative val="0"/>
          <c:val>
            <c:numRef>
              <c:f>'colab graphs'!$S$7:$AC$7</c:f>
              <c:numCache>
                <c:formatCode>General</c:formatCode>
                <c:ptCount val="1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45336"/>
        <c:axId val="140944944"/>
      </c:barChart>
      <c:catAx>
        <c:axId val="119466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944552"/>
        <c:crosses val="autoZero"/>
        <c:auto val="1"/>
        <c:lblAlgn val="ctr"/>
        <c:lblOffset val="100"/>
        <c:tickLblSkip val="1"/>
        <c:noMultiLvlLbl val="0"/>
      </c:catAx>
      <c:valAx>
        <c:axId val="140944552"/>
        <c:scaling>
          <c:orientation val="minMax"/>
          <c:max val="3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FOG (mg/l)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19466120"/>
        <c:crosses val="autoZero"/>
        <c:crossBetween val="between"/>
      </c:valAx>
      <c:valAx>
        <c:axId val="140944944"/>
        <c:scaling>
          <c:orientation val="minMax"/>
          <c:max val="9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40945336"/>
        <c:crosses val="max"/>
        <c:crossBetween val="between"/>
      </c:valAx>
      <c:catAx>
        <c:axId val="140945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40944944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2"/>
        <c:delete val="1"/>
      </c:legendEntry>
      <c:legendEntry>
        <c:idx val="3"/>
        <c:delete val="1"/>
      </c:legendEntry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CODt</a:t>
            </a:r>
            <a:r>
              <a:rPr lang="en-GB" baseline="0"/>
              <a:t> v TOCth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134580052493438"/>
                  <c:y val="-1.893518518518520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('C to N'!$P$3:$P$10,'C to N'!$P$14:$P$21,'C to N'!$P$25:$P$30,'C to N'!$P$32)</c:f>
              <c:numCache>
                <c:formatCode>0</c:formatCode>
                <c:ptCount val="23"/>
                <c:pt idx="0">
                  <c:v>621.20192307692309</c:v>
                </c:pt>
                <c:pt idx="1">
                  <c:v>1314.0295897435899</c:v>
                </c:pt>
                <c:pt idx="2">
                  <c:v>440.35402564102571</c:v>
                </c:pt>
                <c:pt idx="3">
                  <c:v>561.79806122448986</c:v>
                </c:pt>
                <c:pt idx="4">
                  <c:v>1139.2105986394558</c:v>
                </c:pt>
                <c:pt idx="5">
                  <c:v>1012.5119625850341</c:v>
                </c:pt>
                <c:pt idx="6">
                  <c:v>522.19419718309859</c:v>
                </c:pt>
                <c:pt idx="7">
                  <c:v>718.35726760563387</c:v>
                </c:pt>
                <c:pt idx="8">
                  <c:v>402.9096478873239</c:v>
                </c:pt>
                <c:pt idx="9">
                  <c:v>750.9955915492958</c:v>
                </c:pt>
                <c:pt idx="10">
                  <c:v>493.5690046948356</c:v>
                </c:pt>
                <c:pt idx="12">
                  <c:v>381.26759090909093</c:v>
                </c:pt>
                <c:pt idx="13">
                  <c:v>758.80487121212127</c:v>
                </c:pt>
                <c:pt idx="14">
                  <c:v>525.5274393939394</c:v>
                </c:pt>
                <c:pt idx="15">
                  <c:v>777.78602272727289</c:v>
                </c:pt>
                <c:pt idx="16">
                  <c:v>1114.7693333333334</c:v>
                </c:pt>
                <c:pt idx="17">
                  <c:v>997.40074822695033</c:v>
                </c:pt>
                <c:pt idx="18">
                  <c:v>817.79243971631195</c:v>
                </c:pt>
                <c:pt idx="19">
                  <c:v>1182.7328971631205</c:v>
                </c:pt>
                <c:pt idx="20">
                  <c:v>1298.1510641025641</c:v>
                </c:pt>
                <c:pt idx="22">
                  <c:v>781.81539393939397</c:v>
                </c:pt>
              </c:numCache>
            </c:numRef>
          </c:xVal>
          <c:yVal>
            <c:numRef>
              <c:f>('C to N'!$F$3:$F$10,'C to N'!$F$14:$F$21,'C to N'!$F$25:$F$30,'C to N'!$F$32)</c:f>
              <c:numCache>
                <c:formatCode>0</c:formatCode>
                <c:ptCount val="23"/>
                <c:pt idx="0" formatCode="General">
                  <c:v>1981.6666666666667</c:v>
                </c:pt>
                <c:pt idx="1">
                  <c:v>5363.333333333333</c:v>
                </c:pt>
                <c:pt idx="2">
                  <c:v>1553.3333333333333</c:v>
                </c:pt>
                <c:pt idx="3">
                  <c:v>2466.6666666666665</c:v>
                </c:pt>
                <c:pt idx="4">
                  <c:v>3798.3333333333335</c:v>
                </c:pt>
                <c:pt idx="5">
                  <c:v>4078.3333333333335</c:v>
                </c:pt>
                <c:pt idx="6">
                  <c:v>1481.6666666666667</c:v>
                </c:pt>
                <c:pt idx="7">
                  <c:v>2368.3333333333335</c:v>
                </c:pt>
                <c:pt idx="8">
                  <c:v>2130</c:v>
                </c:pt>
                <c:pt idx="9">
                  <c:v>3846.6666666666665</c:v>
                </c:pt>
                <c:pt idx="10">
                  <c:v>2581.6666666666665</c:v>
                </c:pt>
                <c:pt idx="11">
                  <c:v>2358</c:v>
                </c:pt>
                <c:pt idx="12">
                  <c:v>1250</c:v>
                </c:pt>
                <c:pt idx="13">
                  <c:v>3240</c:v>
                </c:pt>
                <c:pt idx="14">
                  <c:v>2463.3333333333335</c:v>
                </c:pt>
                <c:pt idx="15">
                  <c:v>3350</c:v>
                </c:pt>
                <c:pt idx="16">
                  <c:v>4470</c:v>
                </c:pt>
                <c:pt idx="17">
                  <c:v>3840</c:v>
                </c:pt>
                <c:pt idx="18">
                  <c:v>4080</c:v>
                </c:pt>
                <c:pt idx="19">
                  <c:v>3761.6666666666665</c:v>
                </c:pt>
                <c:pt idx="20">
                  <c:v>5305</c:v>
                </c:pt>
                <c:pt idx="21">
                  <c:v>3484</c:v>
                </c:pt>
                <c:pt idx="22">
                  <c:v>2305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566592"/>
        <c:axId val="141245008"/>
      </c:scatterChart>
      <c:valAx>
        <c:axId val="141566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TOCth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45008"/>
        <c:crosses val="autoZero"/>
        <c:crossBetween val="midCat"/>
      </c:valAx>
      <c:valAx>
        <c:axId val="1412450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CODt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66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CODt</a:t>
            </a:r>
            <a:r>
              <a:rPr lang="en-GB" baseline="0"/>
              <a:t> v TOCth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134580052493438"/>
                  <c:y val="-1.893518518518520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('C to N'!$P$3:$P$10,'C to N'!$P$14:$P$21,'C to N'!$P$25:$P$30,'C to N'!$P$32)</c:f>
              <c:numCache>
                <c:formatCode>0</c:formatCode>
                <c:ptCount val="23"/>
                <c:pt idx="0">
                  <c:v>621.20192307692309</c:v>
                </c:pt>
                <c:pt idx="1">
                  <c:v>1314.0295897435899</c:v>
                </c:pt>
                <c:pt idx="2">
                  <c:v>440.35402564102571</c:v>
                </c:pt>
                <c:pt idx="3">
                  <c:v>561.79806122448986</c:v>
                </c:pt>
                <c:pt idx="4">
                  <c:v>1139.2105986394558</c:v>
                </c:pt>
                <c:pt idx="5">
                  <c:v>1012.5119625850341</c:v>
                </c:pt>
                <c:pt idx="6">
                  <c:v>522.19419718309859</c:v>
                </c:pt>
                <c:pt idx="7">
                  <c:v>718.35726760563387</c:v>
                </c:pt>
                <c:pt idx="8">
                  <c:v>402.9096478873239</c:v>
                </c:pt>
                <c:pt idx="9">
                  <c:v>750.9955915492958</c:v>
                </c:pt>
                <c:pt idx="10">
                  <c:v>493.5690046948356</c:v>
                </c:pt>
                <c:pt idx="12">
                  <c:v>381.26759090909093</c:v>
                </c:pt>
                <c:pt idx="13">
                  <c:v>758.80487121212127</c:v>
                </c:pt>
                <c:pt idx="14">
                  <c:v>525.5274393939394</c:v>
                </c:pt>
                <c:pt idx="15">
                  <c:v>777.78602272727289</c:v>
                </c:pt>
                <c:pt idx="16">
                  <c:v>1114.7693333333334</c:v>
                </c:pt>
                <c:pt idx="17">
                  <c:v>997.40074822695033</c:v>
                </c:pt>
                <c:pt idx="18">
                  <c:v>817.79243971631195</c:v>
                </c:pt>
                <c:pt idx="19">
                  <c:v>1182.7328971631205</c:v>
                </c:pt>
                <c:pt idx="20">
                  <c:v>1298.1510641025641</c:v>
                </c:pt>
                <c:pt idx="22">
                  <c:v>781.81539393939397</c:v>
                </c:pt>
              </c:numCache>
            </c:numRef>
          </c:xVal>
          <c:yVal>
            <c:numRef>
              <c:f>('C to N'!$F$3:$F$10,'C to N'!$F$14:$F$21,'C to N'!$F$25:$F$30,'C to N'!$F$32)</c:f>
              <c:numCache>
                <c:formatCode>0</c:formatCode>
                <c:ptCount val="23"/>
                <c:pt idx="0" formatCode="General">
                  <c:v>1981.6666666666667</c:v>
                </c:pt>
                <c:pt idx="1">
                  <c:v>5363.333333333333</c:v>
                </c:pt>
                <c:pt idx="2">
                  <c:v>1553.3333333333333</c:v>
                </c:pt>
                <c:pt idx="3">
                  <c:v>2466.6666666666665</c:v>
                </c:pt>
                <c:pt idx="4">
                  <c:v>3798.3333333333335</c:v>
                </c:pt>
                <c:pt idx="5">
                  <c:v>4078.3333333333335</c:v>
                </c:pt>
                <c:pt idx="6">
                  <c:v>1481.6666666666667</c:v>
                </c:pt>
                <c:pt idx="7">
                  <c:v>2368.3333333333335</c:v>
                </c:pt>
                <c:pt idx="8">
                  <c:v>2130</c:v>
                </c:pt>
                <c:pt idx="9">
                  <c:v>3846.6666666666665</c:v>
                </c:pt>
                <c:pt idx="10">
                  <c:v>2581.6666666666665</c:v>
                </c:pt>
                <c:pt idx="11">
                  <c:v>2358</c:v>
                </c:pt>
                <c:pt idx="12">
                  <c:v>1250</c:v>
                </c:pt>
                <c:pt idx="13">
                  <c:v>3240</c:v>
                </c:pt>
                <c:pt idx="14">
                  <c:v>2463.3333333333335</c:v>
                </c:pt>
                <c:pt idx="15">
                  <c:v>3350</c:v>
                </c:pt>
                <c:pt idx="16">
                  <c:v>4470</c:v>
                </c:pt>
                <c:pt idx="17">
                  <c:v>3840</c:v>
                </c:pt>
                <c:pt idx="18">
                  <c:v>4080</c:v>
                </c:pt>
                <c:pt idx="19">
                  <c:v>3761.6666666666665</c:v>
                </c:pt>
                <c:pt idx="20">
                  <c:v>5305</c:v>
                </c:pt>
                <c:pt idx="21">
                  <c:v>3484</c:v>
                </c:pt>
                <c:pt idx="22">
                  <c:v>2305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595768"/>
        <c:axId val="141595376"/>
      </c:scatterChart>
      <c:valAx>
        <c:axId val="141595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TOCth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95376"/>
        <c:crosses val="autoZero"/>
        <c:crossBetween val="midCat"/>
      </c:valAx>
      <c:valAx>
        <c:axId val="1415953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CODt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95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3114391951006121E-2"/>
                  <c:y val="-5.475721784776902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('C to N'!$F$3:$F$10,'C to N'!$F$14:$F$21,'C to N'!$F$25:$F$30,'C to N'!$F$32)</c:f>
              <c:numCache>
                <c:formatCode>0</c:formatCode>
                <c:ptCount val="23"/>
                <c:pt idx="0" formatCode="General">
                  <c:v>1981.6666666666667</c:v>
                </c:pt>
                <c:pt idx="1">
                  <c:v>5363.333333333333</c:v>
                </c:pt>
                <c:pt idx="2">
                  <c:v>1553.3333333333333</c:v>
                </c:pt>
                <c:pt idx="3">
                  <c:v>2466.6666666666665</c:v>
                </c:pt>
                <c:pt idx="4">
                  <c:v>3798.3333333333335</c:v>
                </c:pt>
                <c:pt idx="5">
                  <c:v>4078.3333333333335</c:v>
                </c:pt>
                <c:pt idx="6">
                  <c:v>1481.6666666666667</c:v>
                </c:pt>
                <c:pt idx="7">
                  <c:v>2368.3333333333335</c:v>
                </c:pt>
                <c:pt idx="8">
                  <c:v>2130</c:v>
                </c:pt>
                <c:pt idx="9">
                  <c:v>3846.6666666666665</c:v>
                </c:pt>
                <c:pt idx="10">
                  <c:v>2581.6666666666665</c:v>
                </c:pt>
                <c:pt idx="11">
                  <c:v>2358</c:v>
                </c:pt>
                <c:pt idx="12">
                  <c:v>1250</c:v>
                </c:pt>
                <c:pt idx="13">
                  <c:v>3240</c:v>
                </c:pt>
                <c:pt idx="14">
                  <c:v>2463.3333333333335</c:v>
                </c:pt>
                <c:pt idx="15">
                  <c:v>3350</c:v>
                </c:pt>
                <c:pt idx="16">
                  <c:v>4470</c:v>
                </c:pt>
                <c:pt idx="17">
                  <c:v>3840</c:v>
                </c:pt>
                <c:pt idx="18">
                  <c:v>4080</c:v>
                </c:pt>
                <c:pt idx="19">
                  <c:v>3761.6666666666665</c:v>
                </c:pt>
                <c:pt idx="20">
                  <c:v>5305</c:v>
                </c:pt>
                <c:pt idx="21">
                  <c:v>3484</c:v>
                </c:pt>
                <c:pt idx="22">
                  <c:v>2305</c:v>
                </c:pt>
              </c:numCache>
            </c:numRef>
          </c:xVal>
          <c:yVal>
            <c:numRef>
              <c:f>('C to N'!$P$3:$P$10,'C to N'!$P$14:$P$21,'C to N'!$P$25:$P$30,'C to N'!$P$32)</c:f>
              <c:numCache>
                <c:formatCode>0</c:formatCode>
                <c:ptCount val="23"/>
                <c:pt idx="0">
                  <c:v>621.20192307692309</c:v>
                </c:pt>
                <c:pt idx="1">
                  <c:v>1314.0295897435899</c:v>
                </c:pt>
                <c:pt idx="2">
                  <c:v>440.35402564102571</c:v>
                </c:pt>
                <c:pt idx="3">
                  <c:v>561.79806122448986</c:v>
                </c:pt>
                <c:pt idx="4">
                  <c:v>1139.2105986394558</c:v>
                </c:pt>
                <c:pt idx="5">
                  <c:v>1012.5119625850341</c:v>
                </c:pt>
                <c:pt idx="6">
                  <c:v>522.19419718309859</c:v>
                </c:pt>
                <c:pt idx="7">
                  <c:v>718.35726760563387</c:v>
                </c:pt>
                <c:pt idx="8">
                  <c:v>402.9096478873239</c:v>
                </c:pt>
                <c:pt idx="9">
                  <c:v>750.9955915492958</c:v>
                </c:pt>
                <c:pt idx="10">
                  <c:v>493.5690046948356</c:v>
                </c:pt>
                <c:pt idx="12">
                  <c:v>381.26759090909093</c:v>
                </c:pt>
                <c:pt idx="13">
                  <c:v>758.80487121212127</c:v>
                </c:pt>
                <c:pt idx="14">
                  <c:v>525.5274393939394</c:v>
                </c:pt>
                <c:pt idx="15">
                  <c:v>777.78602272727289</c:v>
                </c:pt>
                <c:pt idx="16">
                  <c:v>1114.7693333333334</c:v>
                </c:pt>
                <c:pt idx="17">
                  <c:v>997.40074822695033</c:v>
                </c:pt>
                <c:pt idx="18">
                  <c:v>817.79243971631195</c:v>
                </c:pt>
                <c:pt idx="19">
                  <c:v>1182.7328971631205</c:v>
                </c:pt>
                <c:pt idx="20">
                  <c:v>1298.1510641025641</c:v>
                </c:pt>
                <c:pt idx="22">
                  <c:v>781.81539393939397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395144"/>
        <c:axId val="236395536"/>
      </c:scatterChart>
      <c:valAx>
        <c:axId val="236395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CODt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395536"/>
        <c:crosses val="autoZero"/>
        <c:crossBetween val="midCat"/>
      </c:valAx>
      <c:valAx>
        <c:axId val="2363955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TOCth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395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'Original dataset'!$AJ$3</c:f>
              <c:strCache>
                <c:ptCount val="1"/>
                <c:pt idx="0">
                  <c:v>FOG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'Original dataset'!$AK$2:$AO$2</c15:sqref>
                  </c15:fullRef>
                </c:ext>
              </c:extLst>
              <c:f>('Original dataset'!$AK$2,'Original dataset'!$AM$2,'Original dataset'!$AO$2)</c:f>
              <c:strCache>
                <c:ptCount val="3"/>
                <c:pt idx="0">
                  <c:v>SINK</c:v>
                </c:pt>
                <c:pt idx="1">
                  <c:v>ME</c:v>
                </c:pt>
                <c:pt idx="2">
                  <c:v>DW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'Original dataset'!$AK$3:$AO$3</c15:sqref>
                  </c15:fullRef>
                </c:ext>
              </c:extLst>
              <c:f>('Original dataset'!$AK$3,'Original dataset'!$AM$3,'Original dataset'!$AO$3)</c:f>
              <c:numCache>
                <c:formatCode>General</c:formatCode>
                <c:ptCount val="3"/>
                <c:pt idx="0" formatCode="0">
                  <c:v>67.12735028567738</c:v>
                </c:pt>
                <c:pt idx="1" formatCode="0">
                  <c:v>31.657806132330816</c:v>
                </c:pt>
                <c:pt idx="2" formatCode="0">
                  <c:v>27.135783520415529</c:v>
                </c:pt>
              </c:numCache>
            </c:numRef>
          </c:val>
        </c:ser>
        <c:ser>
          <c:idx val="1"/>
          <c:order val="1"/>
          <c:tx>
            <c:strRef>
              <c:f>'Original dataset'!$AJ$4</c:f>
              <c:strCache>
                <c:ptCount val="1"/>
                <c:pt idx="0">
                  <c:v>Carbohydrate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'Original dataset'!$AK$2:$AO$2</c15:sqref>
                  </c15:fullRef>
                </c:ext>
              </c:extLst>
              <c:f>('Original dataset'!$AK$2,'Original dataset'!$AM$2,'Original dataset'!$AO$2)</c:f>
              <c:strCache>
                <c:ptCount val="3"/>
                <c:pt idx="0">
                  <c:v>SINK</c:v>
                </c:pt>
                <c:pt idx="1">
                  <c:v>ME</c:v>
                </c:pt>
                <c:pt idx="2">
                  <c:v>DW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'Original dataset'!$AK$4:$AO$4</c15:sqref>
                  </c15:fullRef>
                </c:ext>
              </c:extLst>
              <c:f>('Original dataset'!$AK$4,'Original dataset'!$AM$4,'Original dataset'!$AO$4)</c:f>
              <c:numCache>
                <c:formatCode>General</c:formatCode>
                <c:ptCount val="3"/>
                <c:pt idx="0" formatCode="0">
                  <c:v>20.516908763310742</c:v>
                </c:pt>
                <c:pt idx="1" formatCode="0">
                  <c:v>25.224679998323502</c:v>
                </c:pt>
                <c:pt idx="2" formatCode="0">
                  <c:v>39.283082616118023</c:v>
                </c:pt>
              </c:numCache>
            </c:numRef>
          </c:val>
        </c:ser>
        <c:ser>
          <c:idx val="2"/>
          <c:order val="2"/>
          <c:tx>
            <c:strRef>
              <c:f>'Original dataset'!$AJ$5</c:f>
              <c:strCache>
                <c:ptCount val="1"/>
                <c:pt idx="0">
                  <c:v>Protein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'Original dataset'!$AK$2:$AO$2</c15:sqref>
                  </c15:fullRef>
                </c:ext>
              </c:extLst>
              <c:f>('Original dataset'!$AK$2,'Original dataset'!$AM$2,'Original dataset'!$AO$2)</c:f>
              <c:strCache>
                <c:ptCount val="3"/>
                <c:pt idx="0">
                  <c:v>SINK</c:v>
                </c:pt>
                <c:pt idx="1">
                  <c:v>ME</c:v>
                </c:pt>
                <c:pt idx="2">
                  <c:v>DW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'Original dataset'!$AK$5:$AO$5</c15:sqref>
                  </c15:fullRef>
                </c:ext>
              </c:extLst>
              <c:f>('Original dataset'!$AK$5,'Original dataset'!$AM$5,'Original dataset'!$AO$5)</c:f>
              <c:numCache>
                <c:formatCode>General</c:formatCode>
                <c:ptCount val="3"/>
                <c:pt idx="0" formatCode="0.0">
                  <c:v>6.3581832694715086</c:v>
                </c:pt>
                <c:pt idx="1" formatCode="0.0">
                  <c:v>13.0607779363111</c:v>
                </c:pt>
                <c:pt idx="2" formatCode="0.0">
                  <c:v>16.35749441669557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100"/>
        <c:axId val="236396320"/>
        <c:axId val="236396712"/>
      </c:barChart>
      <c:catAx>
        <c:axId val="23639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396712"/>
        <c:crosses val="autoZero"/>
        <c:auto val="1"/>
        <c:lblAlgn val="ctr"/>
        <c:lblOffset val="100"/>
        <c:noMultiLvlLbl val="0"/>
      </c:catAx>
      <c:valAx>
        <c:axId val="2363967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39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Sink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8694098485399788"/>
                  <c:y val="-0.202523636217253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'Original dataset'!$K$3:$K$10</c:f>
              <c:numCache>
                <c:formatCode>0</c:formatCode>
                <c:ptCount val="8"/>
                <c:pt idx="0" formatCode="General">
                  <c:v>1981.6666666666667</c:v>
                </c:pt>
                <c:pt idx="1">
                  <c:v>5363.333333333333</c:v>
                </c:pt>
                <c:pt idx="2">
                  <c:v>1553.3333333333333</c:v>
                </c:pt>
                <c:pt idx="3">
                  <c:v>2466.6666666666665</c:v>
                </c:pt>
                <c:pt idx="4">
                  <c:v>3798.3333333333335</c:v>
                </c:pt>
                <c:pt idx="5">
                  <c:v>4078.3333333333335</c:v>
                </c:pt>
                <c:pt idx="6">
                  <c:v>1481.6666666666667</c:v>
                </c:pt>
                <c:pt idx="7">
                  <c:v>2368.3333333333335</c:v>
                </c:pt>
              </c:numCache>
            </c:numRef>
          </c:xVal>
          <c:yVal>
            <c:numRef>
              <c:f>'Original dataset'!$AB$3:$AB$10</c:f>
              <c:numCache>
                <c:formatCode>0</c:formatCode>
                <c:ptCount val="8"/>
                <c:pt idx="0">
                  <c:v>612.34884615384624</c:v>
                </c:pt>
                <c:pt idx="1">
                  <c:v>1289.1055128205128</c:v>
                </c:pt>
                <c:pt idx="2">
                  <c:v>427.023717948718</c:v>
                </c:pt>
                <c:pt idx="3">
                  <c:v>555.21357142857141</c:v>
                </c:pt>
                <c:pt idx="4">
                  <c:v>1120.4454761904763</c:v>
                </c:pt>
                <c:pt idx="5">
                  <c:v>987.36809523809529</c:v>
                </c:pt>
                <c:pt idx="6">
                  <c:v>512.88826760563381</c:v>
                </c:pt>
                <c:pt idx="7">
                  <c:v>709.7965774647887</c:v>
                </c:pt>
              </c:numCache>
            </c:numRef>
          </c:yVal>
          <c:smooth val="0"/>
        </c:ser>
        <c:ser>
          <c:idx val="1"/>
          <c:order val="1"/>
          <c:tx>
            <c:v>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5899801286165625"/>
                  <c:y val="-0.144302880260853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'Original dataset'!$K$14:$K$21</c:f>
              <c:numCache>
                <c:formatCode>0</c:formatCode>
                <c:ptCount val="8"/>
                <c:pt idx="0">
                  <c:v>2130</c:v>
                </c:pt>
                <c:pt idx="1">
                  <c:v>3846.6666666666665</c:v>
                </c:pt>
                <c:pt idx="2">
                  <c:v>2581.6666666666665</c:v>
                </c:pt>
                <c:pt idx="3">
                  <c:v>2358</c:v>
                </c:pt>
                <c:pt idx="4">
                  <c:v>1250</c:v>
                </c:pt>
                <c:pt idx="5">
                  <c:v>3240</c:v>
                </c:pt>
                <c:pt idx="6">
                  <c:v>2463.3333333333335</c:v>
                </c:pt>
                <c:pt idx="7">
                  <c:v>3350</c:v>
                </c:pt>
              </c:numCache>
            </c:numRef>
          </c:xVal>
          <c:yVal>
            <c:numRef>
              <c:f>'Original dataset'!$AB$14:$AB$21</c:f>
              <c:numCache>
                <c:formatCode>0</c:formatCode>
                <c:ptCount val="8"/>
                <c:pt idx="0">
                  <c:v>392.17545070422534</c:v>
                </c:pt>
                <c:pt idx="1">
                  <c:v>732.91080281690131</c:v>
                </c:pt>
                <c:pt idx="2">
                  <c:v>479.22155399061023</c:v>
                </c:pt>
                <c:pt idx="4">
                  <c:v>370.29659090909092</c:v>
                </c:pt>
                <c:pt idx="5">
                  <c:v>738.31337121212118</c:v>
                </c:pt>
                <c:pt idx="6">
                  <c:v>510.28143939393931</c:v>
                </c:pt>
                <c:pt idx="7">
                  <c:v>764.29352272727283</c:v>
                </c:pt>
              </c:numCache>
            </c:numRef>
          </c:yVal>
          <c:smooth val="0"/>
        </c:ser>
        <c:ser>
          <c:idx val="2"/>
          <c:order val="2"/>
          <c:tx>
            <c:v>DW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853745262981686"/>
                  <c:y val="0.262391928462817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'Original dataset'!$K$25:$K$32</c:f>
              <c:numCache>
                <c:formatCode>0</c:formatCode>
                <c:ptCount val="8"/>
                <c:pt idx="0">
                  <c:v>4470</c:v>
                </c:pt>
                <c:pt idx="1">
                  <c:v>3840</c:v>
                </c:pt>
                <c:pt idx="2">
                  <c:v>4080</c:v>
                </c:pt>
                <c:pt idx="3">
                  <c:v>3761.6666666666665</c:v>
                </c:pt>
                <c:pt idx="4">
                  <c:v>5305</c:v>
                </c:pt>
                <c:pt idx="5">
                  <c:v>3484</c:v>
                </c:pt>
                <c:pt idx="6">
                  <c:v>4951.666666666667</c:v>
                </c:pt>
                <c:pt idx="7">
                  <c:v>2305</c:v>
                </c:pt>
              </c:numCache>
            </c:numRef>
          </c:xVal>
          <c:yVal>
            <c:numRef>
              <c:f>'Original dataset'!$AB$25:$AB$32</c:f>
              <c:numCache>
                <c:formatCode>0</c:formatCode>
                <c:ptCount val="8"/>
                <c:pt idx="0">
                  <c:v>1091.6883333333333</c:v>
                </c:pt>
                <c:pt idx="1">
                  <c:v>974.35163120567381</c:v>
                </c:pt>
                <c:pt idx="2">
                  <c:v>799.89046099290772</c:v>
                </c:pt>
                <c:pt idx="3">
                  <c:v>1160.8346099290779</c:v>
                </c:pt>
                <c:pt idx="4">
                  <c:v>1258.301794871795</c:v>
                </c:pt>
                <c:pt idx="6">
                  <c:v>2146.3565418894832</c:v>
                </c:pt>
                <c:pt idx="7">
                  <c:v>750.21939393939397</c:v>
                </c:pt>
              </c:numCache>
            </c:numRef>
          </c:yVal>
          <c:smooth val="0"/>
        </c:ser>
        <c:ser>
          <c:idx val="3"/>
          <c:order val="3"/>
          <c:tx>
            <c:v>All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1089744152881611E-3"/>
                  <c:y val="-0.10067109148749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FFC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('Original dataset'!$K$3:$K$10,'Original dataset'!$K$14:$K$21,'Original dataset'!$K$25:$K$32)</c:f>
              <c:numCache>
                <c:formatCode>0</c:formatCode>
                <c:ptCount val="24"/>
                <c:pt idx="0" formatCode="General">
                  <c:v>1981.6666666666667</c:v>
                </c:pt>
                <c:pt idx="1">
                  <c:v>5363.333333333333</c:v>
                </c:pt>
                <c:pt idx="2">
                  <c:v>1553.3333333333333</c:v>
                </c:pt>
                <c:pt idx="3">
                  <c:v>2466.6666666666665</c:v>
                </c:pt>
                <c:pt idx="4">
                  <c:v>3798.3333333333335</c:v>
                </c:pt>
                <c:pt idx="5">
                  <c:v>4078.3333333333335</c:v>
                </c:pt>
                <c:pt idx="6">
                  <c:v>1481.6666666666667</c:v>
                </c:pt>
                <c:pt idx="7">
                  <c:v>2368.3333333333335</c:v>
                </c:pt>
                <c:pt idx="8">
                  <c:v>2130</c:v>
                </c:pt>
                <c:pt idx="9">
                  <c:v>3846.6666666666665</c:v>
                </c:pt>
                <c:pt idx="10">
                  <c:v>2581.6666666666665</c:v>
                </c:pt>
                <c:pt idx="11">
                  <c:v>2358</c:v>
                </c:pt>
                <c:pt idx="12">
                  <c:v>1250</c:v>
                </c:pt>
                <c:pt idx="13">
                  <c:v>3240</c:v>
                </c:pt>
                <c:pt idx="14">
                  <c:v>2463.3333333333335</c:v>
                </c:pt>
                <c:pt idx="15">
                  <c:v>3350</c:v>
                </c:pt>
                <c:pt idx="16">
                  <c:v>4470</c:v>
                </c:pt>
                <c:pt idx="17">
                  <c:v>3840</c:v>
                </c:pt>
                <c:pt idx="18">
                  <c:v>4080</c:v>
                </c:pt>
                <c:pt idx="19">
                  <c:v>3761.6666666666665</c:v>
                </c:pt>
                <c:pt idx="20">
                  <c:v>5305</c:v>
                </c:pt>
                <c:pt idx="21">
                  <c:v>3484</c:v>
                </c:pt>
                <c:pt idx="22">
                  <c:v>4951.666666666667</c:v>
                </c:pt>
                <c:pt idx="23">
                  <c:v>2305</c:v>
                </c:pt>
              </c:numCache>
            </c:numRef>
          </c:xVal>
          <c:yVal>
            <c:numRef>
              <c:f>('Original dataset'!$AB$3:$AB$10,'Original dataset'!$AB$14:$AB$21,'Original dataset'!$AB$25:$AB$32)</c:f>
              <c:numCache>
                <c:formatCode>0</c:formatCode>
                <c:ptCount val="24"/>
                <c:pt idx="0">
                  <c:v>612.34884615384624</c:v>
                </c:pt>
                <c:pt idx="1">
                  <c:v>1289.1055128205128</c:v>
                </c:pt>
                <c:pt idx="2">
                  <c:v>427.023717948718</c:v>
                </c:pt>
                <c:pt idx="3">
                  <c:v>555.21357142857141</c:v>
                </c:pt>
                <c:pt idx="4">
                  <c:v>1120.4454761904763</c:v>
                </c:pt>
                <c:pt idx="5">
                  <c:v>987.36809523809529</c:v>
                </c:pt>
                <c:pt idx="6">
                  <c:v>512.88826760563381</c:v>
                </c:pt>
                <c:pt idx="7">
                  <c:v>709.7965774647887</c:v>
                </c:pt>
                <c:pt idx="8">
                  <c:v>392.17545070422534</c:v>
                </c:pt>
                <c:pt idx="9">
                  <c:v>732.91080281690131</c:v>
                </c:pt>
                <c:pt idx="10">
                  <c:v>479.22155399061023</c:v>
                </c:pt>
                <c:pt idx="12">
                  <c:v>370.29659090909092</c:v>
                </c:pt>
                <c:pt idx="13">
                  <c:v>738.31337121212118</c:v>
                </c:pt>
                <c:pt idx="14">
                  <c:v>510.28143939393931</c:v>
                </c:pt>
                <c:pt idx="15">
                  <c:v>764.29352272727283</c:v>
                </c:pt>
                <c:pt idx="16">
                  <c:v>1091.6883333333333</c:v>
                </c:pt>
                <c:pt idx="17">
                  <c:v>974.35163120567381</c:v>
                </c:pt>
                <c:pt idx="18">
                  <c:v>799.89046099290772</c:v>
                </c:pt>
                <c:pt idx="19">
                  <c:v>1160.8346099290779</c:v>
                </c:pt>
                <c:pt idx="20">
                  <c:v>1258.301794871795</c:v>
                </c:pt>
                <c:pt idx="22">
                  <c:v>2146.3565418894832</c:v>
                </c:pt>
                <c:pt idx="23">
                  <c:v>750.21939393939397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398280"/>
        <c:axId val="236398672"/>
      </c:scatterChart>
      <c:valAx>
        <c:axId val="236398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398672"/>
        <c:crosses val="autoZero"/>
        <c:crossBetween val="midCat"/>
      </c:valAx>
      <c:valAx>
        <c:axId val="23639867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398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 SINK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CODsol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(2)'!$O$2:$O$9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20.207259421636902</c:v>
                  </c:pt>
                  <c:pt idx="2">
                    <c:v>25</c:v>
                  </c:pt>
                  <c:pt idx="3">
                    <c:v>83.516465442450325</c:v>
                  </c:pt>
                  <c:pt idx="4">
                    <c:v>130</c:v>
                  </c:pt>
                  <c:pt idx="5">
                    <c:v>27.838821814150108</c:v>
                  </c:pt>
                  <c:pt idx="6">
                    <c:v>145.45904349105714</c:v>
                  </c:pt>
                  <c:pt idx="7">
                    <c:v>7.0710678118654755</c:v>
                  </c:pt>
                </c:numCache>
              </c:numRef>
            </c:plus>
            <c:minus>
              <c:numRef>
                <c:f>'GRAPHS (2)'!$O$2:$O$9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20.207259421636902</c:v>
                  </c:pt>
                  <c:pt idx="2">
                    <c:v>25</c:v>
                  </c:pt>
                  <c:pt idx="3">
                    <c:v>83.516465442450325</c:v>
                  </c:pt>
                  <c:pt idx="4">
                    <c:v>130</c:v>
                  </c:pt>
                  <c:pt idx="5">
                    <c:v>27.838821814150108</c:v>
                  </c:pt>
                  <c:pt idx="6">
                    <c:v>145.45904349105714</c:v>
                  </c:pt>
                  <c:pt idx="7">
                    <c:v>7.0710678118654755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(2)'!$N$2:$N$9</c:f>
              <c:numCache>
                <c:formatCode>0</c:formatCode>
                <c:ptCount val="8"/>
                <c:pt idx="0">
                  <c:v>530</c:v>
                </c:pt>
                <c:pt idx="1">
                  <c:v>1698.3333333333333</c:v>
                </c:pt>
                <c:pt idx="2">
                  <c:v>960</c:v>
                </c:pt>
                <c:pt idx="3">
                  <c:v>1010</c:v>
                </c:pt>
                <c:pt idx="4">
                  <c:v>2035</c:v>
                </c:pt>
                <c:pt idx="5">
                  <c:v>2685</c:v>
                </c:pt>
                <c:pt idx="6">
                  <c:v>953.33333333333337</c:v>
                </c:pt>
                <c:pt idx="7">
                  <c:v>705</c:v>
                </c:pt>
              </c:numCache>
            </c:numRef>
          </c:val>
        </c:ser>
        <c:ser>
          <c:idx val="1"/>
          <c:order val="1"/>
          <c:tx>
            <c:v>CODtot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(2)'!$M$2:$M$9</c:f>
                <c:numCache>
                  <c:formatCode>General</c:formatCode>
                  <c:ptCount val="8"/>
                  <c:pt idx="0">
                    <c:v>67.884706181387671</c:v>
                  </c:pt>
                  <c:pt idx="1">
                    <c:v>205.20315137281233</c:v>
                  </c:pt>
                  <c:pt idx="2">
                    <c:v>153.324275094759</c:v>
                  </c:pt>
                  <c:pt idx="3">
                    <c:v>80.052066390152191</c:v>
                  </c:pt>
                  <c:pt idx="4">
                    <c:v>570.9932865921736</c:v>
                  </c:pt>
                  <c:pt idx="5">
                    <c:v>278.58272260377765</c:v>
                  </c:pt>
                  <c:pt idx="6">
                    <c:v>37.527767497325677</c:v>
                  </c:pt>
                  <c:pt idx="7">
                    <c:v>76.376261582597337</c:v>
                  </c:pt>
                </c:numCache>
              </c:numRef>
            </c:plus>
            <c:minus>
              <c:numRef>
                <c:f>'GRAPHS (2)'!$M$2:$M$9</c:f>
                <c:numCache>
                  <c:formatCode>General</c:formatCode>
                  <c:ptCount val="8"/>
                  <c:pt idx="0">
                    <c:v>67.884706181387671</c:v>
                  </c:pt>
                  <c:pt idx="1">
                    <c:v>205.20315137281233</c:v>
                  </c:pt>
                  <c:pt idx="2">
                    <c:v>153.324275094759</c:v>
                  </c:pt>
                  <c:pt idx="3">
                    <c:v>80.052066390152191</c:v>
                  </c:pt>
                  <c:pt idx="4">
                    <c:v>570.9932865921736</c:v>
                  </c:pt>
                  <c:pt idx="5">
                    <c:v>278.58272260377765</c:v>
                  </c:pt>
                  <c:pt idx="6">
                    <c:v>37.527767497325677</c:v>
                  </c:pt>
                  <c:pt idx="7">
                    <c:v>76.376261582597337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(2)'!$L$2:$L$9</c:f>
              <c:numCache>
                <c:formatCode>0</c:formatCode>
                <c:ptCount val="8"/>
                <c:pt idx="0">
                  <c:v>1981.6666666666667</c:v>
                </c:pt>
                <c:pt idx="1">
                  <c:v>5363.333333333333</c:v>
                </c:pt>
                <c:pt idx="2">
                  <c:v>1553.3333333333333</c:v>
                </c:pt>
                <c:pt idx="3">
                  <c:v>2466.6666666666665</c:v>
                </c:pt>
                <c:pt idx="4">
                  <c:v>3798.3333333333335</c:v>
                </c:pt>
                <c:pt idx="5">
                  <c:v>4078.3333333333335</c:v>
                </c:pt>
                <c:pt idx="6">
                  <c:v>1481.6666666666667</c:v>
                </c:pt>
                <c:pt idx="7">
                  <c:v>2368.3333333333335</c:v>
                </c:pt>
              </c:numCache>
            </c:numRef>
          </c:val>
        </c:ser>
        <c:ser>
          <c:idx val="2"/>
          <c:order val="2"/>
          <c:tx>
            <c:v>CODth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'GRAPHS (2)'!$P$2:$P$9</c:f>
              <c:numCache>
                <c:formatCode>0</c:formatCode>
                <c:ptCount val="8"/>
                <c:pt idx="0">
                  <c:v>2034.5576923076924</c:v>
                </c:pt>
                <c:pt idx="1">
                  <c:v>4337.1910256410256</c:v>
                </c:pt>
                <c:pt idx="2">
                  <c:v>1344.2141025641026</c:v>
                </c:pt>
                <c:pt idx="3">
                  <c:v>1972.4724489795919</c:v>
                </c:pt>
                <c:pt idx="4">
                  <c:v>3863.580612244898</c:v>
                </c:pt>
                <c:pt idx="5">
                  <c:v>3211.2585034013605</c:v>
                </c:pt>
                <c:pt idx="6">
                  <c:v>1738.9509389671362</c:v>
                </c:pt>
                <c:pt idx="7">
                  <c:v>2466.8274647887324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6397496"/>
        <c:axId val="237035720"/>
      </c:barChart>
      <c:catAx>
        <c:axId val="236397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35720"/>
        <c:crosses val="autoZero"/>
        <c:auto val="1"/>
        <c:lblAlgn val="ctr"/>
        <c:lblOffset val="100"/>
        <c:noMultiLvlLbl val="0"/>
      </c:catAx>
      <c:valAx>
        <c:axId val="237035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39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 SINK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HEM</c:v>
          </c:tx>
          <c:spPr>
            <a:solidFill>
              <a:srgbClr val="5B9BD5"/>
            </a:solidFill>
            <a:ln>
              <a:solidFill>
                <a:srgbClr val="5B9BD5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(2)'!$K$2:$K$9</c:f>
                <c:numCache>
                  <c:formatCode>General</c:formatCode>
                  <c:ptCount val="8"/>
                  <c:pt idx="0">
                    <c:v>31.65964834506747</c:v>
                  </c:pt>
                  <c:pt idx="2">
                    <c:v>32.715949219506506</c:v>
                  </c:pt>
                  <c:pt idx="3">
                    <c:v>79.858207676689773</c:v>
                  </c:pt>
                  <c:pt idx="4">
                    <c:v>102.05880657738459</c:v>
                  </c:pt>
                  <c:pt idx="5">
                    <c:v>57.27564927611035</c:v>
                  </c:pt>
                  <c:pt idx="6">
                    <c:v>23.71356854910988</c:v>
                  </c:pt>
                  <c:pt idx="7">
                    <c:v>39.887341350358263</c:v>
                  </c:pt>
                </c:numCache>
              </c:numRef>
            </c:plus>
            <c:minus>
              <c:numRef>
                <c:f>'GRAPHS (2)'!$K$2:$K$9</c:f>
                <c:numCache>
                  <c:formatCode>General</c:formatCode>
                  <c:ptCount val="8"/>
                  <c:pt idx="0">
                    <c:v>31.65964834506747</c:v>
                  </c:pt>
                  <c:pt idx="2">
                    <c:v>32.715949219506506</c:v>
                  </c:pt>
                  <c:pt idx="3">
                    <c:v>79.858207676689773</c:v>
                  </c:pt>
                  <c:pt idx="4">
                    <c:v>102.05880657738459</c:v>
                  </c:pt>
                  <c:pt idx="5">
                    <c:v>57.27564927611035</c:v>
                  </c:pt>
                  <c:pt idx="6">
                    <c:v>23.71356854910988</c:v>
                  </c:pt>
                  <c:pt idx="7">
                    <c:v>39.887341350358263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(2)'!$J$2:$J$9</c:f>
              <c:numCache>
                <c:formatCode>0</c:formatCode>
                <c:ptCount val="8"/>
                <c:pt idx="0">
                  <c:v>456.66666666666669</c:v>
                </c:pt>
                <c:pt idx="1">
                  <c:v>1067</c:v>
                </c:pt>
                <c:pt idx="2">
                  <c:v>252.66666666666666</c:v>
                </c:pt>
                <c:pt idx="3">
                  <c:v>581.33333333333337</c:v>
                </c:pt>
                <c:pt idx="4">
                  <c:v>1041</c:v>
                </c:pt>
                <c:pt idx="5">
                  <c:v>696.5</c:v>
                </c:pt>
                <c:pt idx="6">
                  <c:v>439.66666666666669</c:v>
                </c:pt>
                <c:pt idx="7">
                  <c:v>669</c:v>
                </c:pt>
              </c:numCache>
            </c:numRef>
          </c:val>
        </c:ser>
        <c:ser>
          <c:idx val="2"/>
          <c:order val="1"/>
          <c:tx>
            <c:v>Carbs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(2)'!$I$2:$I$9</c:f>
                <c:numCache>
                  <c:formatCode>General</c:formatCode>
                  <c:ptCount val="8"/>
                  <c:pt idx="0">
                    <c:v>52.354805328887004</c:v>
                  </c:pt>
                  <c:pt idx="1">
                    <c:v>109.06090077977285</c:v>
                  </c:pt>
                  <c:pt idx="2">
                    <c:v>29.980269646007788</c:v>
                  </c:pt>
                  <c:pt idx="3">
                    <c:v>35.454644157130623</c:v>
                  </c:pt>
                  <c:pt idx="4">
                    <c:v>15.574517574154212</c:v>
                  </c:pt>
                  <c:pt idx="5">
                    <c:v>13.196577581477202</c:v>
                  </c:pt>
                  <c:pt idx="6">
                    <c:v>13.462313403209565</c:v>
                  </c:pt>
                  <c:pt idx="7">
                    <c:v>16.250371945753184</c:v>
                  </c:pt>
                </c:numCache>
              </c:numRef>
            </c:plus>
            <c:minus>
              <c:numRef>
                <c:f>'GRAPHS (2)'!$I$2:$I$9</c:f>
                <c:numCache>
                  <c:formatCode>General</c:formatCode>
                  <c:ptCount val="8"/>
                  <c:pt idx="0">
                    <c:v>52.354805328887004</c:v>
                  </c:pt>
                  <c:pt idx="1">
                    <c:v>109.06090077977285</c:v>
                  </c:pt>
                  <c:pt idx="2">
                    <c:v>29.980269646007788</c:v>
                  </c:pt>
                  <c:pt idx="3">
                    <c:v>35.454644157130623</c:v>
                  </c:pt>
                  <c:pt idx="4">
                    <c:v>15.574517574154212</c:v>
                  </c:pt>
                  <c:pt idx="5">
                    <c:v>13.196577581477202</c:v>
                  </c:pt>
                  <c:pt idx="6">
                    <c:v>13.462313403209565</c:v>
                  </c:pt>
                  <c:pt idx="7">
                    <c:v>16.250371945753184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(2)'!$H$2:$H$9</c:f>
              <c:numCache>
                <c:formatCode>0</c:formatCode>
                <c:ptCount val="8"/>
                <c:pt idx="0">
                  <c:v>311.79487179487182</c:v>
                </c:pt>
                <c:pt idx="1">
                  <c:v>905.12820512820508</c:v>
                </c:pt>
                <c:pt idx="2">
                  <c:v>523.84615384615392</c:v>
                </c:pt>
                <c:pt idx="3">
                  <c:v>201.68707482993196</c:v>
                </c:pt>
                <c:pt idx="4">
                  <c:v>651.75510204081638</c:v>
                </c:pt>
                <c:pt idx="5">
                  <c:v>960.59863945578229</c:v>
                </c:pt>
                <c:pt idx="6">
                  <c:v>332.78873239436615</c:v>
                </c:pt>
                <c:pt idx="7">
                  <c:v>273.07042253521126</c:v>
                </c:pt>
              </c:numCache>
            </c:numRef>
          </c:val>
        </c:ser>
        <c:ser>
          <c:idx val="3"/>
          <c:order val="2"/>
          <c:tx>
            <c:v>Protein</c:v>
          </c:tx>
          <c:spPr>
            <a:solidFill>
              <a:srgbClr val="A5A5A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(2)'!$G$2:$G$9</c:f>
                <c:numCache>
                  <c:formatCode>General</c:formatCode>
                  <c:ptCount val="8"/>
                  <c:pt idx="0">
                    <c:v>14.433756729740661</c:v>
                  </c:pt>
                  <c:pt idx="1">
                    <c:v>5.8594652770822995</c:v>
                  </c:pt>
                  <c:pt idx="2">
                    <c:v>2.8284271247461925</c:v>
                  </c:pt>
                  <c:pt idx="3">
                    <c:v>16.010413278030427</c:v>
                  </c:pt>
                  <c:pt idx="4">
                    <c:v>8.5049005481153745</c:v>
                  </c:pt>
                  <c:pt idx="5">
                    <c:v>12.342339054382363</c:v>
                  </c:pt>
                  <c:pt idx="6">
                    <c:v>6.6583281184793908</c:v>
                  </c:pt>
                  <c:pt idx="7">
                    <c:v>6.5574385243020004</c:v>
                  </c:pt>
                </c:numCache>
              </c:numRef>
            </c:plus>
            <c:minus>
              <c:numRef>
                <c:f>'GRAPHS (2)'!$G$2:$G$9</c:f>
                <c:numCache>
                  <c:formatCode>General</c:formatCode>
                  <c:ptCount val="8"/>
                  <c:pt idx="0">
                    <c:v>14.433756729740661</c:v>
                  </c:pt>
                  <c:pt idx="1">
                    <c:v>5.8594652770822995</c:v>
                  </c:pt>
                  <c:pt idx="2">
                    <c:v>2.8284271247461925</c:v>
                  </c:pt>
                  <c:pt idx="3">
                    <c:v>16.010413278030427</c:v>
                  </c:pt>
                  <c:pt idx="4">
                    <c:v>8.5049005481153745</c:v>
                  </c:pt>
                  <c:pt idx="5">
                    <c:v>12.342339054382363</c:v>
                  </c:pt>
                  <c:pt idx="6">
                    <c:v>6.6583281184793908</c:v>
                  </c:pt>
                  <c:pt idx="7">
                    <c:v>6.5574385243020004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(2)'!$F$2:$F$9</c:f>
              <c:numCache>
                <c:formatCode>0</c:formatCode>
                <c:ptCount val="8"/>
                <c:pt idx="0">
                  <c:v>244.83333333333334</c:v>
                </c:pt>
                <c:pt idx="1">
                  <c:v>164.83333333333334</c:v>
                </c:pt>
                <c:pt idx="2">
                  <c:v>23.5</c:v>
                </c:pt>
                <c:pt idx="3">
                  <c:v>43.166666666666664</c:v>
                </c:pt>
                <c:pt idx="4">
                  <c:v>85.166666666666671</c:v>
                </c:pt>
                <c:pt idx="5">
                  <c:v>89.833333333333329</c:v>
                </c:pt>
                <c:pt idx="6">
                  <c:v>65.233333333333334</c:v>
                </c:pt>
                <c:pt idx="7">
                  <c:v>150.9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36504"/>
        <c:axId val="237036896"/>
      </c:barChart>
      <c:catAx>
        <c:axId val="2370365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36896"/>
        <c:crosses val="autoZero"/>
        <c:auto val="1"/>
        <c:lblAlgn val="ctr"/>
        <c:lblOffset val="100"/>
        <c:noMultiLvlLbl val="0"/>
      </c:catAx>
      <c:valAx>
        <c:axId val="2370368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3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CSA</a:t>
            </a:r>
            <a:r>
              <a:rPr lang="en-US" baseline="0"/>
              <a:t> 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CODt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(2)'!$M$12:$M$19</c:f>
                <c:numCache>
                  <c:formatCode>General</c:formatCode>
                  <c:ptCount val="8"/>
                  <c:pt idx="0">
                    <c:v>297.78347838656191</c:v>
                  </c:pt>
                  <c:pt idx="1">
                    <c:v>83.116384265277887</c:v>
                  </c:pt>
                  <c:pt idx="2">
                    <c:v>86.071675557835704</c:v>
                  </c:pt>
                  <c:pt idx="3">
                    <c:v>28.930952282978865</c:v>
                  </c:pt>
                  <c:pt idx="4">
                    <c:v>69.462219947249025</c:v>
                  </c:pt>
                  <c:pt idx="5">
                    <c:v>42.720018726587654</c:v>
                  </c:pt>
                  <c:pt idx="6">
                    <c:v>23.629078131263039</c:v>
                  </c:pt>
                  <c:pt idx="7">
                    <c:v>73.654599313281182</c:v>
                  </c:pt>
                </c:numCache>
              </c:numRef>
            </c:plus>
            <c:minus>
              <c:numRef>
                <c:f>'GRAPHS (2)'!$M$12:$M$19</c:f>
                <c:numCache>
                  <c:formatCode>General</c:formatCode>
                  <c:ptCount val="8"/>
                  <c:pt idx="0">
                    <c:v>297.78347838656191</c:v>
                  </c:pt>
                  <c:pt idx="1">
                    <c:v>83.116384265277887</c:v>
                  </c:pt>
                  <c:pt idx="2">
                    <c:v>86.071675557835704</c:v>
                  </c:pt>
                  <c:pt idx="3">
                    <c:v>28.930952282978865</c:v>
                  </c:pt>
                  <c:pt idx="4">
                    <c:v>69.462219947249025</c:v>
                  </c:pt>
                  <c:pt idx="5">
                    <c:v>42.720018726587654</c:v>
                  </c:pt>
                  <c:pt idx="6">
                    <c:v>23.629078131263039</c:v>
                  </c:pt>
                  <c:pt idx="7">
                    <c:v>73.654599313281182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(2)'!$L$12:$L$19</c:f>
              <c:numCache>
                <c:formatCode>0</c:formatCode>
                <c:ptCount val="8"/>
                <c:pt idx="0">
                  <c:v>2130</c:v>
                </c:pt>
                <c:pt idx="1">
                  <c:v>3846.6666666666665</c:v>
                </c:pt>
                <c:pt idx="2">
                  <c:v>2581.6666666666665</c:v>
                </c:pt>
                <c:pt idx="3">
                  <c:v>2358</c:v>
                </c:pt>
                <c:pt idx="4">
                  <c:v>1250</c:v>
                </c:pt>
                <c:pt idx="5">
                  <c:v>3240</c:v>
                </c:pt>
                <c:pt idx="6">
                  <c:v>2463.3333333333335</c:v>
                </c:pt>
                <c:pt idx="7">
                  <c:v>3350</c:v>
                </c:pt>
              </c:numCache>
            </c:numRef>
          </c:val>
        </c:ser>
        <c:ser>
          <c:idx val="1"/>
          <c:order val="1"/>
          <c:tx>
            <c:v>HEM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(2)'!$K$12:$K$19</c:f>
                <c:numCache>
                  <c:formatCode>General</c:formatCode>
                  <c:ptCount val="8"/>
                  <c:pt idx="0">
                    <c:v>15.556349186104045</c:v>
                  </c:pt>
                  <c:pt idx="1">
                    <c:v>149.82100431292452</c:v>
                  </c:pt>
                  <c:pt idx="2">
                    <c:v>43.015501081974342</c:v>
                  </c:pt>
                  <c:pt idx="3">
                    <c:v>69.168875466739678</c:v>
                  </c:pt>
                  <c:pt idx="4">
                    <c:v>23.388031127053001</c:v>
                  </c:pt>
                  <c:pt idx="5">
                    <c:v>80.851716122788631</c:v>
                  </c:pt>
                  <c:pt idx="6">
                    <c:v>19.078784028338912</c:v>
                  </c:pt>
                  <c:pt idx="7">
                    <c:v>45.177427992306072</c:v>
                  </c:pt>
                </c:numCache>
              </c:numRef>
            </c:plus>
            <c:minus>
              <c:numRef>
                <c:f>'GRAPHS (2)'!$K$12:$K$19</c:f>
                <c:numCache>
                  <c:formatCode>General</c:formatCode>
                  <c:ptCount val="8"/>
                  <c:pt idx="0">
                    <c:v>15.556349186104045</c:v>
                  </c:pt>
                  <c:pt idx="1">
                    <c:v>149.82100431292452</c:v>
                  </c:pt>
                  <c:pt idx="2">
                    <c:v>43.015501081974342</c:v>
                  </c:pt>
                  <c:pt idx="3">
                    <c:v>69.168875466739678</c:v>
                  </c:pt>
                  <c:pt idx="4">
                    <c:v>23.388031127053001</c:v>
                  </c:pt>
                  <c:pt idx="5">
                    <c:v>80.851716122788631</c:v>
                  </c:pt>
                  <c:pt idx="6">
                    <c:v>19.078784028338912</c:v>
                  </c:pt>
                  <c:pt idx="7">
                    <c:v>45.177427992306072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(2)'!$J$12:$J$19</c:f>
              <c:numCache>
                <c:formatCode>0</c:formatCode>
                <c:ptCount val="8"/>
                <c:pt idx="0">
                  <c:v>112</c:v>
                </c:pt>
                <c:pt idx="1">
                  <c:v>409.33333333333331</c:v>
                </c:pt>
                <c:pt idx="2">
                  <c:v>195.66666666666666</c:v>
                </c:pt>
                <c:pt idx="3">
                  <c:v>415.33333333333331</c:v>
                </c:pt>
                <c:pt idx="4">
                  <c:v>206</c:v>
                </c:pt>
                <c:pt idx="5">
                  <c:v>312</c:v>
                </c:pt>
                <c:pt idx="6">
                  <c:v>151</c:v>
                </c:pt>
                <c:pt idx="7">
                  <c:v>469</c:v>
                </c:pt>
              </c:numCache>
            </c:numRef>
          </c:val>
        </c:ser>
        <c:ser>
          <c:idx val="2"/>
          <c:order val="2"/>
          <c:tx>
            <c:v>Carbs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(2)'!$I$12:$I$19</c:f>
                <c:numCache>
                  <c:formatCode>General</c:formatCode>
                  <c:ptCount val="8"/>
                  <c:pt idx="0">
                    <c:v>9.0199511425523475</c:v>
                  </c:pt>
                  <c:pt idx="1">
                    <c:v>16.415551869671457</c:v>
                  </c:pt>
                  <c:pt idx="2">
                    <c:v>11.393661079524911</c:v>
                  </c:pt>
                  <c:pt idx="4">
                    <c:v>27.84232950922031</c:v>
                  </c:pt>
                  <c:pt idx="5">
                    <c:v>135.23417190192723</c:v>
                  </c:pt>
                  <c:pt idx="6">
                    <c:v>93.249706768975955</c:v>
                  </c:pt>
                  <c:pt idx="7">
                    <c:v>49.497474683058329</c:v>
                  </c:pt>
                </c:numCache>
              </c:numRef>
            </c:plus>
            <c:minus>
              <c:numRef>
                <c:f>'GRAPHS (2)'!$I$12:$I$19</c:f>
                <c:numCache>
                  <c:formatCode>General</c:formatCode>
                  <c:ptCount val="8"/>
                  <c:pt idx="0">
                    <c:v>9.0199511425523475</c:v>
                  </c:pt>
                  <c:pt idx="1">
                    <c:v>16.415551869671457</c:v>
                  </c:pt>
                  <c:pt idx="2">
                    <c:v>11.393661079524911</c:v>
                  </c:pt>
                  <c:pt idx="4">
                    <c:v>27.84232950922031</c:v>
                  </c:pt>
                  <c:pt idx="5">
                    <c:v>135.23417190192723</c:v>
                  </c:pt>
                  <c:pt idx="6">
                    <c:v>93.249706768975955</c:v>
                  </c:pt>
                  <c:pt idx="7">
                    <c:v>49.497474683058329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(2)'!$H$12:$H$19</c:f>
              <c:numCache>
                <c:formatCode>0</c:formatCode>
                <c:ptCount val="8"/>
                <c:pt idx="0">
                  <c:v>433.25821596244123</c:v>
                </c:pt>
                <c:pt idx="1">
                  <c:v>702.36619718309851</c:v>
                </c:pt>
                <c:pt idx="2">
                  <c:v>573.35211267605621</c:v>
                </c:pt>
                <c:pt idx="4">
                  <c:v>431.375</c:v>
                </c:pt>
                <c:pt idx="5">
                  <c:v>814.81249999999989</c:v>
                </c:pt>
                <c:pt idx="6">
                  <c:v>616.37499999999989</c:v>
                </c:pt>
                <c:pt idx="7">
                  <c:v>503.5625</c:v>
                </c:pt>
              </c:numCache>
            </c:numRef>
          </c:val>
        </c:ser>
        <c:ser>
          <c:idx val="3"/>
          <c:order val="3"/>
          <c:tx>
            <c:v>Protein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(2)'!$G$12:$G$19</c:f>
                <c:numCache>
                  <c:formatCode>General</c:formatCode>
                  <c:ptCount val="8"/>
                  <c:pt idx="0">
                    <c:v>16.522711641858304</c:v>
                  </c:pt>
                  <c:pt idx="1">
                    <c:v>40.066611203511194</c:v>
                  </c:pt>
                  <c:pt idx="2">
                    <c:v>2.3094010767585034</c:v>
                  </c:pt>
                  <c:pt idx="3">
                    <c:v>13.012814197295409</c:v>
                  </c:pt>
                  <c:pt idx="4">
                    <c:v>4.4997704257325672</c:v>
                  </c:pt>
                  <c:pt idx="5">
                    <c:v>14.498028744128073</c:v>
                  </c:pt>
                  <c:pt idx="6">
                    <c:v>23.022327167542514</c:v>
                  </c:pt>
                  <c:pt idx="7">
                    <c:v>8.9535070925418996</c:v>
                  </c:pt>
                </c:numCache>
              </c:numRef>
            </c:plus>
            <c:minus>
              <c:numRef>
                <c:f>'GRAPHS (2)'!$G$12:$G$19</c:f>
                <c:numCache>
                  <c:formatCode>General</c:formatCode>
                  <c:ptCount val="8"/>
                  <c:pt idx="0">
                    <c:v>16.522711641858304</c:v>
                  </c:pt>
                  <c:pt idx="1">
                    <c:v>40.066611203511194</c:v>
                  </c:pt>
                  <c:pt idx="2">
                    <c:v>2.3094010767585034</c:v>
                  </c:pt>
                  <c:pt idx="3">
                    <c:v>13.012814197295409</c:v>
                  </c:pt>
                  <c:pt idx="4">
                    <c:v>4.4997704257325672</c:v>
                  </c:pt>
                  <c:pt idx="5">
                    <c:v>14.498028744128073</c:v>
                  </c:pt>
                  <c:pt idx="6">
                    <c:v>23.022327167542514</c:v>
                  </c:pt>
                  <c:pt idx="7">
                    <c:v>8.9535070925418996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(2)'!$F$12:$F$19</c:f>
              <c:numCache>
                <c:formatCode>0</c:formatCode>
                <c:ptCount val="8"/>
                <c:pt idx="0">
                  <c:v>233.9</c:v>
                </c:pt>
                <c:pt idx="1">
                  <c:v>231.56666666666663</c:v>
                </c:pt>
                <c:pt idx="2">
                  <c:v>165.56666666666663</c:v>
                </c:pt>
                <c:pt idx="3">
                  <c:v>269.23333333333329</c:v>
                </c:pt>
                <c:pt idx="4">
                  <c:v>57.545454545454547</c:v>
                </c:pt>
                <c:pt idx="5">
                  <c:v>294.06060606060606</c:v>
                </c:pt>
                <c:pt idx="6">
                  <c:v>254.969696969697</c:v>
                </c:pt>
                <c:pt idx="7">
                  <c:v>361.63636363636368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37680"/>
        <c:axId val="237038072"/>
      </c:barChart>
      <c:catAx>
        <c:axId val="237037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38072"/>
        <c:crosses val="autoZero"/>
        <c:auto val="1"/>
        <c:lblAlgn val="ctr"/>
        <c:lblOffset val="100"/>
        <c:noMultiLvlLbl val="0"/>
      </c:catAx>
      <c:valAx>
        <c:axId val="2370380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3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CSA</a:t>
            </a:r>
            <a:r>
              <a:rPr lang="en-US" baseline="0"/>
              <a:t> 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HEM</c:v>
          </c:tx>
          <c:spPr>
            <a:solidFill>
              <a:srgbClr val="5B9BD5"/>
            </a:solidFill>
            <a:ln>
              <a:solidFill>
                <a:srgbClr val="00B0F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(2)'!$K$12:$K$19</c:f>
                <c:numCache>
                  <c:formatCode>General</c:formatCode>
                  <c:ptCount val="8"/>
                  <c:pt idx="0">
                    <c:v>15.556349186104045</c:v>
                  </c:pt>
                  <c:pt idx="1">
                    <c:v>149.82100431292452</c:v>
                  </c:pt>
                  <c:pt idx="2">
                    <c:v>43.015501081974342</c:v>
                  </c:pt>
                  <c:pt idx="3">
                    <c:v>69.168875466739678</c:v>
                  </c:pt>
                  <c:pt idx="4">
                    <c:v>23.388031127053001</c:v>
                  </c:pt>
                  <c:pt idx="5">
                    <c:v>80.851716122788631</c:v>
                  </c:pt>
                  <c:pt idx="6">
                    <c:v>19.078784028338912</c:v>
                  </c:pt>
                  <c:pt idx="7">
                    <c:v>45.177427992306072</c:v>
                  </c:pt>
                </c:numCache>
              </c:numRef>
            </c:plus>
            <c:minus>
              <c:numRef>
                <c:f>'GRAPHS (2)'!$K$12:$K$19</c:f>
                <c:numCache>
                  <c:formatCode>General</c:formatCode>
                  <c:ptCount val="8"/>
                  <c:pt idx="0">
                    <c:v>15.556349186104045</c:v>
                  </c:pt>
                  <c:pt idx="1">
                    <c:v>149.82100431292452</c:v>
                  </c:pt>
                  <c:pt idx="2">
                    <c:v>43.015501081974342</c:v>
                  </c:pt>
                  <c:pt idx="3">
                    <c:v>69.168875466739678</c:v>
                  </c:pt>
                  <c:pt idx="4">
                    <c:v>23.388031127053001</c:v>
                  </c:pt>
                  <c:pt idx="5">
                    <c:v>80.851716122788631</c:v>
                  </c:pt>
                  <c:pt idx="6">
                    <c:v>19.078784028338912</c:v>
                  </c:pt>
                  <c:pt idx="7">
                    <c:v>45.177427992306072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(2)'!$J$12:$J$19</c:f>
              <c:numCache>
                <c:formatCode>0</c:formatCode>
                <c:ptCount val="8"/>
                <c:pt idx="0">
                  <c:v>112</c:v>
                </c:pt>
                <c:pt idx="1">
                  <c:v>409.33333333333331</c:v>
                </c:pt>
                <c:pt idx="2">
                  <c:v>195.66666666666666</c:v>
                </c:pt>
                <c:pt idx="3">
                  <c:v>415.33333333333331</c:v>
                </c:pt>
                <c:pt idx="4">
                  <c:v>206</c:v>
                </c:pt>
                <c:pt idx="5">
                  <c:v>312</c:v>
                </c:pt>
                <c:pt idx="6">
                  <c:v>151</c:v>
                </c:pt>
                <c:pt idx="7">
                  <c:v>469</c:v>
                </c:pt>
              </c:numCache>
            </c:numRef>
          </c:val>
        </c:ser>
        <c:ser>
          <c:idx val="2"/>
          <c:order val="1"/>
          <c:tx>
            <c:v>Carbs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(2)'!$I$12:$I$19</c:f>
                <c:numCache>
                  <c:formatCode>General</c:formatCode>
                  <c:ptCount val="8"/>
                  <c:pt idx="0">
                    <c:v>9.0199511425523475</c:v>
                  </c:pt>
                  <c:pt idx="1">
                    <c:v>16.415551869671457</c:v>
                  </c:pt>
                  <c:pt idx="2">
                    <c:v>11.393661079524911</c:v>
                  </c:pt>
                  <c:pt idx="4">
                    <c:v>27.84232950922031</c:v>
                  </c:pt>
                  <c:pt idx="5">
                    <c:v>135.23417190192723</c:v>
                  </c:pt>
                  <c:pt idx="6">
                    <c:v>93.249706768975955</c:v>
                  </c:pt>
                  <c:pt idx="7">
                    <c:v>49.497474683058329</c:v>
                  </c:pt>
                </c:numCache>
              </c:numRef>
            </c:plus>
            <c:minus>
              <c:numRef>
                <c:f>'GRAPHS (2)'!$I$12:$I$19</c:f>
                <c:numCache>
                  <c:formatCode>General</c:formatCode>
                  <c:ptCount val="8"/>
                  <c:pt idx="0">
                    <c:v>9.0199511425523475</c:v>
                  </c:pt>
                  <c:pt idx="1">
                    <c:v>16.415551869671457</c:v>
                  </c:pt>
                  <c:pt idx="2">
                    <c:v>11.393661079524911</c:v>
                  </c:pt>
                  <c:pt idx="4">
                    <c:v>27.84232950922031</c:v>
                  </c:pt>
                  <c:pt idx="5">
                    <c:v>135.23417190192723</c:v>
                  </c:pt>
                  <c:pt idx="6">
                    <c:v>93.249706768975955</c:v>
                  </c:pt>
                  <c:pt idx="7">
                    <c:v>49.497474683058329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(2)'!$H$12:$H$19</c:f>
              <c:numCache>
                <c:formatCode>0</c:formatCode>
                <c:ptCount val="8"/>
                <c:pt idx="0">
                  <c:v>433.25821596244123</c:v>
                </c:pt>
                <c:pt idx="1">
                  <c:v>702.36619718309851</c:v>
                </c:pt>
                <c:pt idx="2">
                  <c:v>573.35211267605621</c:v>
                </c:pt>
                <c:pt idx="4">
                  <c:v>431.375</c:v>
                </c:pt>
                <c:pt idx="5">
                  <c:v>814.81249999999989</c:v>
                </c:pt>
                <c:pt idx="6">
                  <c:v>616.37499999999989</c:v>
                </c:pt>
                <c:pt idx="7">
                  <c:v>503.5625</c:v>
                </c:pt>
              </c:numCache>
            </c:numRef>
          </c:val>
        </c:ser>
        <c:ser>
          <c:idx val="3"/>
          <c:order val="2"/>
          <c:tx>
            <c:v>Protein</c:v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(2)'!$G$12:$G$19</c:f>
                <c:numCache>
                  <c:formatCode>General</c:formatCode>
                  <c:ptCount val="8"/>
                  <c:pt idx="0">
                    <c:v>16.522711641858304</c:v>
                  </c:pt>
                  <c:pt idx="1">
                    <c:v>40.066611203511194</c:v>
                  </c:pt>
                  <c:pt idx="2">
                    <c:v>2.3094010767585034</c:v>
                  </c:pt>
                  <c:pt idx="3">
                    <c:v>13.012814197295409</c:v>
                  </c:pt>
                  <c:pt idx="4">
                    <c:v>4.4997704257325672</c:v>
                  </c:pt>
                  <c:pt idx="5">
                    <c:v>14.498028744128073</c:v>
                  </c:pt>
                  <c:pt idx="6">
                    <c:v>23.022327167542514</c:v>
                  </c:pt>
                  <c:pt idx="7">
                    <c:v>8.9535070925418996</c:v>
                  </c:pt>
                </c:numCache>
              </c:numRef>
            </c:plus>
            <c:minus>
              <c:numRef>
                <c:f>'GRAPHS (2)'!$G$12:$G$19</c:f>
                <c:numCache>
                  <c:formatCode>General</c:formatCode>
                  <c:ptCount val="8"/>
                  <c:pt idx="0">
                    <c:v>16.522711641858304</c:v>
                  </c:pt>
                  <c:pt idx="1">
                    <c:v>40.066611203511194</c:v>
                  </c:pt>
                  <c:pt idx="2">
                    <c:v>2.3094010767585034</c:v>
                  </c:pt>
                  <c:pt idx="3">
                    <c:v>13.012814197295409</c:v>
                  </c:pt>
                  <c:pt idx="4">
                    <c:v>4.4997704257325672</c:v>
                  </c:pt>
                  <c:pt idx="5">
                    <c:v>14.498028744128073</c:v>
                  </c:pt>
                  <c:pt idx="6">
                    <c:v>23.022327167542514</c:v>
                  </c:pt>
                  <c:pt idx="7">
                    <c:v>8.9535070925418996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(2)'!$F$12:$F$19</c:f>
              <c:numCache>
                <c:formatCode>0</c:formatCode>
                <c:ptCount val="8"/>
                <c:pt idx="0">
                  <c:v>233.9</c:v>
                </c:pt>
                <c:pt idx="1">
                  <c:v>231.56666666666663</c:v>
                </c:pt>
                <c:pt idx="2">
                  <c:v>165.56666666666663</c:v>
                </c:pt>
                <c:pt idx="3">
                  <c:v>269.23333333333329</c:v>
                </c:pt>
                <c:pt idx="4">
                  <c:v>57.545454545454547</c:v>
                </c:pt>
                <c:pt idx="5">
                  <c:v>294.06060606060606</c:v>
                </c:pt>
                <c:pt idx="6">
                  <c:v>254.969696969697</c:v>
                </c:pt>
                <c:pt idx="7">
                  <c:v>361.63636363636368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38856"/>
        <c:axId val="237039248"/>
      </c:barChart>
      <c:catAx>
        <c:axId val="237038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39248"/>
        <c:crosses val="autoZero"/>
        <c:auto val="1"/>
        <c:lblAlgn val="ctr"/>
        <c:lblOffset val="100"/>
        <c:noMultiLvlLbl val="0"/>
      </c:catAx>
      <c:valAx>
        <c:axId val="2370392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38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CP</a:t>
            </a:r>
            <a:r>
              <a:rPr lang="en-US" baseline="0"/>
              <a:t> DW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CODt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(2)'!$M$22:$M$29</c:f>
                <c:numCache>
                  <c:formatCode>General</c:formatCode>
                  <c:ptCount val="8"/>
                  <c:pt idx="0">
                    <c:v>108.51267207105353</c:v>
                  </c:pt>
                  <c:pt idx="1">
                    <c:v>108.16653826391968</c:v>
                  </c:pt>
                  <c:pt idx="2">
                    <c:v>80.46738469715541</c:v>
                  </c:pt>
                  <c:pt idx="3">
                    <c:v>82.512625296577099</c:v>
                  </c:pt>
                  <c:pt idx="4">
                    <c:v>30.413812651491099</c:v>
                  </c:pt>
                  <c:pt idx="5">
                    <c:v>150.18987981884797</c:v>
                  </c:pt>
                  <c:pt idx="6">
                    <c:v>101.03629710818451</c:v>
                  </c:pt>
                  <c:pt idx="7">
                    <c:v>27.838821814150108</c:v>
                  </c:pt>
                </c:numCache>
              </c:numRef>
            </c:plus>
            <c:minus>
              <c:numRef>
                <c:f>'GRAPHS (2)'!$M$22:$M$29</c:f>
                <c:numCache>
                  <c:formatCode>General</c:formatCode>
                  <c:ptCount val="8"/>
                  <c:pt idx="0">
                    <c:v>108.51267207105353</c:v>
                  </c:pt>
                  <c:pt idx="1">
                    <c:v>108.16653826391968</c:v>
                  </c:pt>
                  <c:pt idx="2">
                    <c:v>80.46738469715541</c:v>
                  </c:pt>
                  <c:pt idx="3">
                    <c:v>82.512625296577099</c:v>
                  </c:pt>
                  <c:pt idx="4">
                    <c:v>30.413812651491099</c:v>
                  </c:pt>
                  <c:pt idx="5">
                    <c:v>150.18987981884797</c:v>
                  </c:pt>
                  <c:pt idx="6">
                    <c:v>101.03629710818451</c:v>
                  </c:pt>
                  <c:pt idx="7">
                    <c:v>27.838821814150108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(2)'!$L$22:$L$29</c:f>
              <c:numCache>
                <c:formatCode>0</c:formatCode>
                <c:ptCount val="8"/>
                <c:pt idx="0">
                  <c:v>4470</c:v>
                </c:pt>
                <c:pt idx="1">
                  <c:v>3840</c:v>
                </c:pt>
                <c:pt idx="2">
                  <c:v>4080</c:v>
                </c:pt>
                <c:pt idx="3">
                  <c:v>3761.6666666666665</c:v>
                </c:pt>
                <c:pt idx="4">
                  <c:v>5305</c:v>
                </c:pt>
                <c:pt idx="5">
                  <c:v>3484</c:v>
                </c:pt>
                <c:pt idx="6">
                  <c:v>4951.666666666667</c:v>
                </c:pt>
                <c:pt idx="7">
                  <c:v>2305</c:v>
                </c:pt>
              </c:numCache>
            </c:numRef>
          </c:val>
        </c:ser>
        <c:ser>
          <c:idx val="1"/>
          <c:order val="1"/>
          <c:tx>
            <c:v>HEM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(2)'!$K$22:$K$29</c:f>
                <c:numCache>
                  <c:formatCode>General</c:formatCode>
                  <c:ptCount val="8"/>
                  <c:pt idx="0">
                    <c:v>273.50137111173683</c:v>
                  </c:pt>
                  <c:pt idx="1">
                    <c:v>239.70919882223961</c:v>
                  </c:pt>
                  <c:pt idx="2">
                    <c:v>250.5673562138532</c:v>
                  </c:pt>
                  <c:pt idx="3">
                    <c:v>44.547727214752491</c:v>
                  </c:pt>
                  <c:pt idx="4">
                    <c:v>161.92745289171938</c:v>
                  </c:pt>
                  <c:pt idx="5">
                    <c:v>29.737742572921295</c:v>
                  </c:pt>
                  <c:pt idx="6">
                    <c:v>46.357307945997036</c:v>
                  </c:pt>
                  <c:pt idx="7">
                    <c:v>19.924858845171276</c:v>
                  </c:pt>
                </c:numCache>
              </c:numRef>
            </c:plus>
            <c:minus>
              <c:numRef>
                <c:f>'GRAPHS (2)'!$K$22:$K$29</c:f>
                <c:numCache>
                  <c:formatCode>General</c:formatCode>
                  <c:ptCount val="8"/>
                  <c:pt idx="0">
                    <c:v>273.50137111173683</c:v>
                  </c:pt>
                  <c:pt idx="1">
                    <c:v>239.70919882223961</c:v>
                  </c:pt>
                  <c:pt idx="2">
                    <c:v>250.5673562138532</c:v>
                  </c:pt>
                  <c:pt idx="3">
                    <c:v>44.547727214752491</c:v>
                  </c:pt>
                  <c:pt idx="4">
                    <c:v>161.92745289171938</c:v>
                  </c:pt>
                  <c:pt idx="5">
                    <c:v>29.737742572921295</c:v>
                  </c:pt>
                  <c:pt idx="6">
                    <c:v>46.357307945997036</c:v>
                  </c:pt>
                  <c:pt idx="7">
                    <c:v>19.924858845171276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(2)'!$J$22:$J$29</c:f>
              <c:numCache>
                <c:formatCode>0</c:formatCode>
                <c:ptCount val="8"/>
                <c:pt idx="0">
                  <c:v>547</c:v>
                </c:pt>
                <c:pt idx="1">
                  <c:v>318.5</c:v>
                </c:pt>
                <c:pt idx="2">
                  <c:v>373</c:v>
                </c:pt>
                <c:pt idx="3">
                  <c:v>849.5</c:v>
                </c:pt>
                <c:pt idx="4">
                  <c:v>499.5</c:v>
                </c:pt>
                <c:pt idx="5">
                  <c:v>155.66666666666666</c:v>
                </c:pt>
                <c:pt idx="6">
                  <c:v>234</c:v>
                </c:pt>
                <c:pt idx="7">
                  <c:v>92</c:v>
                </c:pt>
              </c:numCache>
            </c:numRef>
          </c:val>
        </c:ser>
        <c:ser>
          <c:idx val="2"/>
          <c:order val="2"/>
          <c:tx>
            <c:v>Carbs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(2)'!$I$22:$I$29</c:f>
                <c:numCache>
                  <c:formatCode>General</c:formatCode>
                  <c:ptCount val="8"/>
                  <c:pt idx="0">
                    <c:v>128.66929288780207</c:v>
                  </c:pt>
                  <c:pt idx="1">
                    <c:v>108.85746270125561</c:v>
                  </c:pt>
                  <c:pt idx="2">
                    <c:v>109.20954174359905</c:v>
                  </c:pt>
                  <c:pt idx="3">
                    <c:v>104.97565591886952</c:v>
                  </c:pt>
                  <c:pt idx="4">
                    <c:v>38.686521461625247</c:v>
                  </c:pt>
                  <c:pt idx="6">
                    <c:v>489.4477948862426</c:v>
                  </c:pt>
                  <c:pt idx="7">
                    <c:v>39</c:v>
                  </c:pt>
                </c:numCache>
              </c:numRef>
            </c:plus>
            <c:minus>
              <c:numRef>
                <c:f>'GRAPHS (2)'!$I$22:$I$29</c:f>
                <c:numCache>
                  <c:formatCode>General</c:formatCode>
                  <c:ptCount val="8"/>
                  <c:pt idx="0">
                    <c:v>128.66929288780207</c:v>
                  </c:pt>
                  <c:pt idx="1">
                    <c:v>108.85746270125561</c:v>
                  </c:pt>
                  <c:pt idx="2">
                    <c:v>109.20954174359905</c:v>
                  </c:pt>
                  <c:pt idx="3">
                    <c:v>104.97565591886952</c:v>
                  </c:pt>
                  <c:pt idx="4">
                    <c:v>38.686521461625247</c:v>
                  </c:pt>
                  <c:pt idx="6">
                    <c:v>489.4477948862426</c:v>
                  </c:pt>
                  <c:pt idx="7">
                    <c:v>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(2)'!$H$22:$H$29</c:f>
              <c:numCache>
                <c:formatCode>0</c:formatCode>
                <c:ptCount val="8"/>
                <c:pt idx="0">
                  <c:v>893.33333333333337</c:v>
                </c:pt>
                <c:pt idx="1">
                  <c:v>920.56737588652493</c:v>
                </c:pt>
                <c:pt idx="2">
                  <c:v>699.29078014184381</c:v>
                </c:pt>
                <c:pt idx="3">
                  <c:v>806.24113475177307</c:v>
                </c:pt>
                <c:pt idx="4">
                  <c:v>1597.9487179487178</c:v>
                </c:pt>
                <c:pt idx="6">
                  <c:v>3996.7320261437908</c:v>
                </c:pt>
                <c:pt idx="7">
                  <c:v>1305</c:v>
                </c:pt>
              </c:numCache>
            </c:numRef>
          </c:val>
        </c:ser>
        <c:ser>
          <c:idx val="3"/>
          <c:order val="3"/>
          <c:tx>
            <c:v>Protein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(2)'!$G$22:$G$29</c:f>
                <c:numCache>
                  <c:formatCode>General</c:formatCode>
                  <c:ptCount val="8"/>
                  <c:pt idx="0">
                    <c:v>43.085186936269992</c:v>
                  </c:pt>
                  <c:pt idx="1">
                    <c:v>59.936077059925559</c:v>
                  </c:pt>
                  <c:pt idx="2">
                    <c:v>13.203534880225604</c:v>
                  </c:pt>
                  <c:pt idx="3">
                    <c:v>10.598742063723098</c:v>
                  </c:pt>
                  <c:pt idx="4">
                    <c:v>5.6862407030773268</c:v>
                  </c:pt>
                  <c:pt idx="5">
                    <c:v>6.5064070986477116</c:v>
                  </c:pt>
                  <c:pt idx="6">
                    <c:v>21.493800759158042</c:v>
                  </c:pt>
                  <c:pt idx="7">
                    <c:v>14.440912190841029</c:v>
                  </c:pt>
                </c:numCache>
              </c:numRef>
            </c:plus>
            <c:minus>
              <c:numRef>
                <c:f>'GRAPHS (2)'!$G$22:$G$29</c:f>
                <c:numCache>
                  <c:formatCode>General</c:formatCode>
                  <c:ptCount val="8"/>
                  <c:pt idx="0">
                    <c:v>43.085186936269992</c:v>
                  </c:pt>
                  <c:pt idx="1">
                    <c:v>59.936077059925559</c:v>
                  </c:pt>
                  <c:pt idx="2">
                    <c:v>13.203534880225604</c:v>
                  </c:pt>
                  <c:pt idx="3">
                    <c:v>10.598742063723098</c:v>
                  </c:pt>
                  <c:pt idx="4">
                    <c:v>5.6862407030773268</c:v>
                  </c:pt>
                  <c:pt idx="5">
                    <c:v>6.5064070986477116</c:v>
                  </c:pt>
                  <c:pt idx="6">
                    <c:v>21.493800759158042</c:v>
                  </c:pt>
                  <c:pt idx="7">
                    <c:v>14.440912190841029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(2)'!$F$22:$F$29</c:f>
              <c:numCache>
                <c:formatCode>0</c:formatCode>
                <c:ptCount val="8"/>
                <c:pt idx="0">
                  <c:v>557.16666666666663</c:v>
                </c:pt>
                <c:pt idx="1">
                  <c:v>646.16666666666663</c:v>
                </c:pt>
                <c:pt idx="2">
                  <c:v>413.16666666666669</c:v>
                </c:pt>
                <c:pt idx="3">
                  <c:v>317.16666666666669</c:v>
                </c:pt>
                <c:pt idx="4">
                  <c:v>382.16666666666669</c:v>
                </c:pt>
                <c:pt idx="5">
                  <c:v>365.23333333333329</c:v>
                </c:pt>
                <c:pt idx="6">
                  <c:v>542.5454545454545</c:v>
                </c:pt>
                <c:pt idx="7">
                  <c:v>247.69696969696972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189608"/>
        <c:axId val="237190000"/>
      </c:barChart>
      <c:catAx>
        <c:axId val="237189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190000"/>
        <c:crosses val="autoZero"/>
        <c:auto val="1"/>
        <c:lblAlgn val="ctr"/>
        <c:lblOffset val="100"/>
        <c:noMultiLvlLbl val="0"/>
      </c:catAx>
      <c:valAx>
        <c:axId val="237190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18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'colab graphs'!$Q$3</c:f>
              <c:strCache>
                <c:ptCount val="1"/>
                <c:pt idx="0">
                  <c:v>Emulsified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'colab graphs'!$R$11:$AH$11</c:f>
                <c:numCache>
                  <c:formatCode>General</c:formatCode>
                  <c:ptCount val="17"/>
                  <c:pt idx="0">
                    <c:v>55.782909255421906</c:v>
                  </c:pt>
                  <c:pt idx="1">
                    <c:v>9.556726673229754</c:v>
                  </c:pt>
                  <c:pt idx="2">
                    <c:v>39.110395214533732</c:v>
                  </c:pt>
                  <c:pt idx="3">
                    <c:v>118.4906471989828</c:v>
                  </c:pt>
                  <c:pt idx="4">
                    <c:v>39.017161155297288</c:v>
                  </c:pt>
                  <c:pt idx="5">
                    <c:v>78.773741544263146</c:v>
                  </c:pt>
                  <c:pt idx="6">
                    <c:v>100.97210493703192</c:v>
                  </c:pt>
                  <c:pt idx="7">
                    <c:v>59.962791754027648</c:v>
                  </c:pt>
                  <c:pt idx="9">
                    <c:v>9.0433068901926887</c:v>
                  </c:pt>
                  <c:pt idx="10">
                    <c:v>21.96495447621518</c:v>
                  </c:pt>
                  <c:pt idx="11">
                    <c:v>1.3893155937300372</c:v>
                  </c:pt>
                  <c:pt idx="12">
                    <c:v>15.698862996956752</c:v>
                  </c:pt>
                  <c:pt idx="13">
                    <c:v>35.733313492503882</c:v>
                  </c:pt>
                  <c:pt idx="14">
                    <c:v>21.387975506468027</c:v>
                  </c:pt>
                  <c:pt idx="15">
                    <c:v>38.232860316950337</c:v>
                  </c:pt>
                  <c:pt idx="16">
                    <c:v>33.820420059603933</c:v>
                  </c:pt>
                </c:numCache>
              </c:numRef>
            </c:plus>
            <c:minus>
              <c:numRef>
                <c:f>'colab graphs'!$R$11:$AH$11</c:f>
                <c:numCache>
                  <c:formatCode>General</c:formatCode>
                  <c:ptCount val="17"/>
                  <c:pt idx="0">
                    <c:v>55.782909255421906</c:v>
                  </c:pt>
                  <c:pt idx="1">
                    <c:v>9.556726673229754</c:v>
                  </c:pt>
                  <c:pt idx="2">
                    <c:v>39.110395214533732</c:v>
                  </c:pt>
                  <c:pt idx="3">
                    <c:v>118.4906471989828</c:v>
                  </c:pt>
                  <c:pt idx="4">
                    <c:v>39.017161155297288</c:v>
                  </c:pt>
                  <c:pt idx="5">
                    <c:v>78.773741544263146</c:v>
                  </c:pt>
                  <c:pt idx="6">
                    <c:v>100.97210493703192</c:v>
                  </c:pt>
                  <c:pt idx="7">
                    <c:v>59.962791754027648</c:v>
                  </c:pt>
                  <c:pt idx="9">
                    <c:v>9.0433068901926887</c:v>
                  </c:pt>
                  <c:pt idx="10">
                    <c:v>21.96495447621518</c:v>
                  </c:pt>
                  <c:pt idx="11">
                    <c:v>1.3893155937300372</c:v>
                  </c:pt>
                  <c:pt idx="12">
                    <c:v>15.698862996956752</c:v>
                  </c:pt>
                  <c:pt idx="13">
                    <c:v>35.733313492503882</c:v>
                  </c:pt>
                  <c:pt idx="14">
                    <c:v>21.387975506468027</c:v>
                  </c:pt>
                  <c:pt idx="15">
                    <c:v>38.232860316950337</c:v>
                  </c:pt>
                  <c:pt idx="16">
                    <c:v>33.820420059603933</c:v>
                  </c:pt>
                </c:numCache>
              </c:numRef>
            </c:minus>
          </c:errBars>
          <c:cat>
            <c:multiLvlStrRef>
              <c:f>'colab graphs'!$R$1:$AH$2</c:f>
              <c:multiLvlStrCache>
                <c:ptCount val="17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9">
                    <c:v>A</c:v>
                  </c:pt>
                  <c:pt idx="10">
                    <c:v>B</c:v>
                  </c:pt>
                  <c:pt idx="11">
                    <c:v>C</c:v>
                  </c:pt>
                  <c:pt idx="12">
                    <c:v>D</c:v>
                  </c:pt>
                  <c:pt idx="13">
                    <c:v>E</c:v>
                  </c:pt>
                  <c:pt idx="14">
                    <c:v>F</c:v>
                  </c:pt>
                  <c:pt idx="15">
                    <c:v>G</c:v>
                  </c:pt>
                  <c:pt idx="16">
                    <c:v>H</c:v>
                  </c:pt>
                </c:lvl>
                <c:lvl>
                  <c:pt idx="0">
                    <c:v>Sink</c:v>
                  </c:pt>
                  <c:pt idx="9">
                    <c:v>Dishwasher</c:v>
                  </c:pt>
                </c:lvl>
              </c:multiLvlStrCache>
            </c:multiLvlStrRef>
          </c:cat>
          <c:val>
            <c:numRef>
              <c:f>'colab graphs'!$R$3:$AH$3</c:f>
              <c:numCache>
                <c:formatCode>0</c:formatCode>
                <c:ptCount val="17"/>
                <c:pt idx="0" formatCode="0.0">
                  <c:v>336.83224626043102</c:v>
                </c:pt>
                <c:pt idx="1">
                  <c:v>154.94496338916895</c:v>
                </c:pt>
                <c:pt idx="2">
                  <c:v>193.68607219043011</c:v>
                </c:pt>
                <c:pt idx="3">
                  <c:v>538.47679141523884</c:v>
                </c:pt>
                <c:pt idx="4">
                  <c:v>123.78170564082023</c:v>
                </c:pt>
                <c:pt idx="5">
                  <c:v>453.87826274511417</c:v>
                </c:pt>
                <c:pt idx="6">
                  <c:v>439.62678936318827</c:v>
                </c:pt>
                <c:pt idx="7">
                  <c:v>232.7874503450027</c:v>
                </c:pt>
                <c:pt idx="9">
                  <c:v>216.98456968945399</c:v>
                </c:pt>
                <c:pt idx="10">
                  <c:v>379.97279565601769</c:v>
                </c:pt>
                <c:pt idx="11">
                  <c:v>233.04861030686553</c:v>
                </c:pt>
                <c:pt idx="12">
                  <c:v>371.20823337130167</c:v>
                </c:pt>
                <c:pt idx="13">
                  <c:v>432.45618031081762</c:v>
                </c:pt>
                <c:pt idx="14">
                  <c:v>221.82882710793339</c:v>
                </c:pt>
                <c:pt idx="15">
                  <c:v>198.69345205122252</c:v>
                </c:pt>
                <c:pt idx="16">
                  <c:v>271.56945736134321</c:v>
                </c:pt>
              </c:numCache>
            </c:numRef>
          </c:val>
        </c:ser>
        <c:ser>
          <c:idx val="1"/>
          <c:order val="1"/>
          <c:tx>
            <c:strRef>
              <c:f>'colab graphs'!$Q$4</c:f>
              <c:strCache>
                <c:ptCount val="1"/>
                <c:pt idx="0">
                  <c:v>Free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'colab graphs'!$R$12:$AH$12</c:f>
                <c:numCache>
                  <c:formatCode>General</c:formatCode>
                  <c:ptCount val="17"/>
                  <c:pt idx="0">
                    <c:v>68.947388217606743</c:v>
                  </c:pt>
                  <c:pt idx="1">
                    <c:v>23.167559151832222</c:v>
                  </c:pt>
                  <c:pt idx="2">
                    <c:v>254.81729558164071</c:v>
                  </c:pt>
                  <c:pt idx="3">
                    <c:v>395.0249610855667</c:v>
                  </c:pt>
                  <c:pt idx="4">
                    <c:v>142.52477667881573</c:v>
                  </c:pt>
                  <c:pt idx="5">
                    <c:v>462.24941313011402</c:v>
                  </c:pt>
                  <c:pt idx="6">
                    <c:v>372.87132336633232</c:v>
                  </c:pt>
                  <c:pt idx="7">
                    <c:v>344.08393056147321</c:v>
                  </c:pt>
                  <c:pt idx="9">
                    <c:v>54.694488823726545</c:v>
                  </c:pt>
                  <c:pt idx="10">
                    <c:v>0</c:v>
                  </c:pt>
                  <c:pt idx="11">
                    <c:v>66.319219242075008</c:v>
                  </c:pt>
                  <c:pt idx="12">
                    <c:v>0</c:v>
                  </c:pt>
                  <c:pt idx="13">
                    <c:v>30.766436483841307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'colab graphs'!$R$12:$AH$12</c:f>
                <c:numCache>
                  <c:formatCode>General</c:formatCode>
                  <c:ptCount val="17"/>
                  <c:pt idx="0">
                    <c:v>68.947388217606743</c:v>
                  </c:pt>
                  <c:pt idx="1">
                    <c:v>23.167559151832222</c:v>
                  </c:pt>
                  <c:pt idx="2">
                    <c:v>254.81729558164071</c:v>
                  </c:pt>
                  <c:pt idx="3">
                    <c:v>395.0249610855667</c:v>
                  </c:pt>
                  <c:pt idx="4">
                    <c:v>142.52477667881573</c:v>
                  </c:pt>
                  <c:pt idx="5">
                    <c:v>462.24941313011402</c:v>
                  </c:pt>
                  <c:pt idx="6">
                    <c:v>372.87132336633232</c:v>
                  </c:pt>
                  <c:pt idx="7">
                    <c:v>344.08393056147321</c:v>
                  </c:pt>
                  <c:pt idx="9">
                    <c:v>54.694488823726545</c:v>
                  </c:pt>
                  <c:pt idx="10">
                    <c:v>0</c:v>
                  </c:pt>
                  <c:pt idx="11">
                    <c:v>66.319219242075008</c:v>
                  </c:pt>
                  <c:pt idx="12">
                    <c:v>0</c:v>
                  </c:pt>
                  <c:pt idx="13">
                    <c:v>30.766436483841307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</c:errBars>
          <c:cat>
            <c:multiLvlStrRef>
              <c:f>'colab graphs'!$R$1:$AH$2</c:f>
              <c:multiLvlStrCache>
                <c:ptCount val="17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9">
                    <c:v>A</c:v>
                  </c:pt>
                  <c:pt idx="10">
                    <c:v>B</c:v>
                  </c:pt>
                  <c:pt idx="11">
                    <c:v>C</c:v>
                  </c:pt>
                  <c:pt idx="12">
                    <c:v>D</c:v>
                  </c:pt>
                  <c:pt idx="13">
                    <c:v>E</c:v>
                  </c:pt>
                  <c:pt idx="14">
                    <c:v>F</c:v>
                  </c:pt>
                  <c:pt idx="15">
                    <c:v>G</c:v>
                  </c:pt>
                  <c:pt idx="16">
                    <c:v>H</c:v>
                  </c:pt>
                </c:lvl>
                <c:lvl>
                  <c:pt idx="0">
                    <c:v>Sink</c:v>
                  </c:pt>
                  <c:pt idx="9">
                    <c:v>Dishwasher</c:v>
                  </c:pt>
                </c:lvl>
              </c:multiLvlStrCache>
            </c:multiLvlStrRef>
          </c:cat>
          <c:val>
            <c:numRef>
              <c:f>'colab graphs'!$R$4:$AH$4</c:f>
              <c:numCache>
                <c:formatCode>0</c:formatCode>
                <c:ptCount val="17"/>
                <c:pt idx="0" formatCode="0.0">
                  <c:v>221.0819308810353</c:v>
                </c:pt>
                <c:pt idx="1">
                  <c:v>82.539492903488807</c:v>
                </c:pt>
                <c:pt idx="2">
                  <c:v>351.74034448499924</c:v>
                </c:pt>
                <c:pt idx="3">
                  <c:v>462.23465587007604</c:v>
                </c:pt>
                <c:pt idx="4">
                  <c:v>275.17435461608017</c:v>
                </c:pt>
                <c:pt idx="5">
                  <c:v>1568.6830934249799</c:v>
                </c:pt>
                <c:pt idx="6">
                  <c:v>875.51096940238074</c:v>
                </c:pt>
                <c:pt idx="7">
                  <c:v>724.09428347026028</c:v>
                </c:pt>
                <c:pt idx="9">
                  <c:v>61.400434162739366</c:v>
                </c:pt>
                <c:pt idx="10">
                  <c:v>0</c:v>
                </c:pt>
                <c:pt idx="11">
                  <c:v>73.060320488691545</c:v>
                </c:pt>
                <c:pt idx="12">
                  <c:v>0</c:v>
                </c:pt>
                <c:pt idx="13">
                  <c:v>44.186603427737438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140946120"/>
        <c:axId val="140946512"/>
      </c:barChart>
      <c:barChart>
        <c:barDir val="col"/>
        <c:grouping val="clustered"/>
        <c:varyColors val="0"/>
        <c:ser>
          <c:idx val="2"/>
          <c:order val="2"/>
          <c:tx>
            <c:strRef>
              <c:f>'colab graphs'!$Q$6</c:f>
              <c:strCache>
                <c:ptCount val="1"/>
                <c:pt idx="0">
                  <c:v>blank 1</c:v>
                </c:pt>
              </c:strCache>
            </c:strRef>
          </c:tx>
          <c:invertIfNegative val="0"/>
          <c:cat>
            <c:strRef>
              <c:f>'colab graphs'!$R$1:$AC$1</c:f>
              <c:strCache>
                <c:ptCount val="10"/>
                <c:pt idx="0">
                  <c:v>Sink</c:v>
                </c:pt>
                <c:pt idx="9">
                  <c:v>Dishwasher</c:v>
                </c:pt>
              </c:strCache>
            </c:strRef>
          </c:cat>
          <c:val>
            <c:numRef>
              <c:f>'colab graphs'!$S$6:$AH$6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tx>
            <c:strRef>
              <c:f>'colab graphs'!$Q$7</c:f>
              <c:strCache>
                <c:ptCount val="1"/>
                <c:pt idx="0">
                  <c:v>blank 2</c:v>
                </c:pt>
              </c:strCache>
            </c:strRef>
          </c:tx>
          <c:invertIfNegative val="0"/>
          <c:cat>
            <c:strRef>
              <c:f>'colab graphs'!$R$1:$AC$1</c:f>
              <c:strCache>
                <c:ptCount val="10"/>
                <c:pt idx="0">
                  <c:v>Sink</c:v>
                </c:pt>
                <c:pt idx="9">
                  <c:v>Dishwasher</c:v>
                </c:pt>
              </c:strCache>
            </c:strRef>
          </c:cat>
          <c:val>
            <c:numRef>
              <c:f>'colab graphs'!$S$7:$AH$7</c:f>
              <c:numCache>
                <c:formatCode>General</c:formatCode>
                <c:ptCount val="16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'colab graphs'!$Q$8</c:f>
              <c:strCache>
                <c:ptCount val="1"/>
                <c:pt idx="0">
                  <c:v>COD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'colab graphs'!$R$14:$AH$14</c:f>
                <c:numCache>
                  <c:formatCode>General</c:formatCode>
                  <c:ptCount val="17"/>
                  <c:pt idx="0">
                    <c:v>1393.8715069107977</c:v>
                  </c:pt>
                  <c:pt idx="1">
                    <c:v>399.2606013342388</c:v>
                  </c:pt>
                  <c:pt idx="2">
                    <c:v>365.34325564384523</c:v>
                  </c:pt>
                  <c:pt idx="3">
                    <c:v>162.57263334002778</c:v>
                  </c:pt>
                  <c:pt idx="4">
                    <c:v>67.10274046399131</c:v>
                  </c:pt>
                  <c:pt idx="5">
                    <c:v>183.50749303502567</c:v>
                  </c:pt>
                  <c:pt idx="6">
                    <c:v>399.22668303163812</c:v>
                  </c:pt>
                  <c:pt idx="7">
                    <c:v>331.76401418947023</c:v>
                  </c:pt>
                  <c:pt idx="9">
                    <c:v>113.12173874979901</c:v>
                  </c:pt>
                  <c:pt idx="10">
                    <c:v>530.83828584069317</c:v>
                  </c:pt>
                  <c:pt idx="11">
                    <c:v>272.325377280765</c:v>
                  </c:pt>
                  <c:pt idx="12">
                    <c:v>126.24381172952597</c:v>
                  </c:pt>
                  <c:pt idx="13">
                    <c:v>219.95896081870475</c:v>
                  </c:pt>
                  <c:pt idx="14">
                    <c:v>141.22480109543258</c:v>
                  </c:pt>
                  <c:pt idx="15">
                    <c:v>136.2780042576367</c:v>
                  </c:pt>
                  <c:pt idx="16">
                    <c:v>152.13070038621396</c:v>
                  </c:pt>
                </c:numCache>
              </c:numRef>
            </c:plus>
            <c:minus>
              <c:numRef>
                <c:f>'colab graphs'!$R$14:$AH$14</c:f>
                <c:numCache>
                  <c:formatCode>General</c:formatCode>
                  <c:ptCount val="17"/>
                  <c:pt idx="0">
                    <c:v>1393.8715069107977</c:v>
                  </c:pt>
                  <c:pt idx="1">
                    <c:v>399.2606013342388</c:v>
                  </c:pt>
                  <c:pt idx="2">
                    <c:v>365.34325564384523</c:v>
                  </c:pt>
                  <c:pt idx="3">
                    <c:v>162.57263334002778</c:v>
                  </c:pt>
                  <c:pt idx="4">
                    <c:v>67.10274046399131</c:v>
                  </c:pt>
                  <c:pt idx="5">
                    <c:v>183.50749303502567</c:v>
                  </c:pt>
                  <c:pt idx="6">
                    <c:v>399.22668303163812</c:v>
                  </c:pt>
                  <c:pt idx="7">
                    <c:v>331.76401418947023</c:v>
                  </c:pt>
                  <c:pt idx="9">
                    <c:v>113.12173874979901</c:v>
                  </c:pt>
                  <c:pt idx="10">
                    <c:v>530.83828584069317</c:v>
                  </c:pt>
                  <c:pt idx="11">
                    <c:v>272.325377280765</c:v>
                  </c:pt>
                  <c:pt idx="12">
                    <c:v>126.24381172952597</c:v>
                  </c:pt>
                  <c:pt idx="13">
                    <c:v>219.95896081870475</c:v>
                  </c:pt>
                  <c:pt idx="14">
                    <c:v>141.22480109543258</c:v>
                  </c:pt>
                  <c:pt idx="15">
                    <c:v>136.2780042576367</c:v>
                  </c:pt>
                  <c:pt idx="16">
                    <c:v>152.13070038621396</c:v>
                  </c:pt>
                </c:numCache>
              </c:numRef>
            </c:minus>
          </c:errBars>
          <c:cat>
            <c:strRef>
              <c:f>'colab graphs'!$R$1:$AC$1</c:f>
              <c:strCache>
                <c:ptCount val="10"/>
                <c:pt idx="0">
                  <c:v>Sink</c:v>
                </c:pt>
                <c:pt idx="9">
                  <c:v>Dishwasher</c:v>
                </c:pt>
              </c:strCache>
            </c:strRef>
          </c:cat>
          <c:val>
            <c:numRef>
              <c:f>'colab graphs'!$R$8:$AH$8</c:f>
              <c:numCache>
                <c:formatCode>0</c:formatCode>
                <c:ptCount val="17"/>
                <c:pt idx="0">
                  <c:v>2810.5555555555557</c:v>
                </c:pt>
                <c:pt idx="1">
                  <c:v>2394.4444444444443</c:v>
                </c:pt>
                <c:pt idx="2">
                  <c:v>2467.2222222222222</c:v>
                </c:pt>
                <c:pt idx="3">
                  <c:v>3606.1111111111113</c:v>
                </c:pt>
                <c:pt idx="4">
                  <c:v>1519.4444444444443</c:v>
                </c:pt>
                <c:pt idx="5">
                  <c:v>3085</c:v>
                </c:pt>
                <c:pt idx="6">
                  <c:v>3422.2222222222222</c:v>
                </c:pt>
                <c:pt idx="7">
                  <c:v>1198.8888888888889</c:v>
                </c:pt>
                <c:pt idx="9">
                  <c:v>1714.4444444444443</c:v>
                </c:pt>
                <c:pt idx="10">
                  <c:v>2186.4285714285716</c:v>
                </c:pt>
                <c:pt idx="11">
                  <c:v>1591.1111111111111</c:v>
                </c:pt>
                <c:pt idx="12">
                  <c:v>1915</c:v>
                </c:pt>
                <c:pt idx="13">
                  <c:v>1747.7777777777778</c:v>
                </c:pt>
                <c:pt idx="14">
                  <c:v>1232.7777777777778</c:v>
                </c:pt>
                <c:pt idx="15">
                  <c:v>1445.2222222222222</c:v>
                </c:pt>
                <c:pt idx="16">
                  <c:v>1543.3333333333333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0947296"/>
        <c:axId val="140946904"/>
      </c:barChart>
      <c:catAx>
        <c:axId val="140946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40946512"/>
        <c:crosses val="autoZero"/>
        <c:auto val="1"/>
        <c:lblAlgn val="ctr"/>
        <c:lblOffset val="100"/>
        <c:noMultiLvlLbl val="0"/>
      </c:catAx>
      <c:valAx>
        <c:axId val="140946512"/>
        <c:scaling>
          <c:orientation val="minMax"/>
          <c:max val="4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Concentration (mg/l)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40946120"/>
        <c:crosses val="autoZero"/>
        <c:crossBetween val="between"/>
      </c:valAx>
      <c:valAx>
        <c:axId val="140946904"/>
        <c:scaling>
          <c:orientation val="minMax"/>
          <c:max val="2500"/>
        </c:scaling>
        <c:delete val="1"/>
        <c:axPos val="r"/>
        <c:numFmt formatCode="General" sourceLinked="1"/>
        <c:majorTickMark val="out"/>
        <c:minorTickMark val="none"/>
        <c:tickLblPos val="nextTo"/>
        <c:crossAx val="140947296"/>
        <c:crosses val="max"/>
        <c:crossBetween val="between"/>
      </c:valAx>
      <c:catAx>
        <c:axId val="140947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946904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6495846148357695"/>
          <c:y val="2.6551720713530454E-2"/>
          <c:w val="0.28880749055271804"/>
          <c:h val="6.0016558238429225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CP</a:t>
            </a:r>
            <a:r>
              <a:rPr lang="en-US" baseline="0"/>
              <a:t> DW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HEM</c:v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(2)'!$K$22:$K$29</c:f>
                <c:numCache>
                  <c:formatCode>General</c:formatCode>
                  <c:ptCount val="8"/>
                  <c:pt idx="0">
                    <c:v>273.50137111173683</c:v>
                  </c:pt>
                  <c:pt idx="1">
                    <c:v>239.70919882223961</c:v>
                  </c:pt>
                  <c:pt idx="2">
                    <c:v>250.5673562138532</c:v>
                  </c:pt>
                  <c:pt idx="3">
                    <c:v>44.547727214752491</c:v>
                  </c:pt>
                  <c:pt idx="4">
                    <c:v>161.92745289171938</c:v>
                  </c:pt>
                  <c:pt idx="5">
                    <c:v>29.737742572921295</c:v>
                  </c:pt>
                  <c:pt idx="6">
                    <c:v>46.357307945997036</c:v>
                  </c:pt>
                  <c:pt idx="7">
                    <c:v>19.924858845171276</c:v>
                  </c:pt>
                </c:numCache>
              </c:numRef>
            </c:plus>
            <c:minus>
              <c:numRef>
                <c:f>'GRAPHS (2)'!$K$22:$K$29</c:f>
                <c:numCache>
                  <c:formatCode>General</c:formatCode>
                  <c:ptCount val="8"/>
                  <c:pt idx="0">
                    <c:v>273.50137111173683</c:v>
                  </c:pt>
                  <c:pt idx="1">
                    <c:v>239.70919882223961</c:v>
                  </c:pt>
                  <c:pt idx="2">
                    <c:v>250.5673562138532</c:v>
                  </c:pt>
                  <c:pt idx="3">
                    <c:v>44.547727214752491</c:v>
                  </c:pt>
                  <c:pt idx="4">
                    <c:v>161.92745289171938</c:v>
                  </c:pt>
                  <c:pt idx="5">
                    <c:v>29.737742572921295</c:v>
                  </c:pt>
                  <c:pt idx="6">
                    <c:v>46.357307945997036</c:v>
                  </c:pt>
                  <c:pt idx="7">
                    <c:v>19.924858845171276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(2)'!$J$22:$J$29</c:f>
              <c:numCache>
                <c:formatCode>0</c:formatCode>
                <c:ptCount val="8"/>
                <c:pt idx="0">
                  <c:v>547</c:v>
                </c:pt>
                <c:pt idx="1">
                  <c:v>318.5</c:v>
                </c:pt>
                <c:pt idx="2">
                  <c:v>373</c:v>
                </c:pt>
                <c:pt idx="3">
                  <c:v>849.5</c:v>
                </c:pt>
                <c:pt idx="4">
                  <c:v>499.5</c:v>
                </c:pt>
                <c:pt idx="5">
                  <c:v>155.66666666666666</c:v>
                </c:pt>
                <c:pt idx="6">
                  <c:v>234</c:v>
                </c:pt>
                <c:pt idx="7">
                  <c:v>92</c:v>
                </c:pt>
              </c:numCache>
            </c:numRef>
          </c:val>
        </c:ser>
        <c:ser>
          <c:idx val="2"/>
          <c:order val="1"/>
          <c:tx>
            <c:v>Carbs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(2)'!$I$22:$I$29</c:f>
                <c:numCache>
                  <c:formatCode>General</c:formatCode>
                  <c:ptCount val="8"/>
                  <c:pt idx="0">
                    <c:v>128.66929288780207</c:v>
                  </c:pt>
                  <c:pt idx="1">
                    <c:v>108.85746270125561</c:v>
                  </c:pt>
                  <c:pt idx="2">
                    <c:v>109.20954174359905</c:v>
                  </c:pt>
                  <c:pt idx="3">
                    <c:v>104.97565591886952</c:v>
                  </c:pt>
                  <c:pt idx="4">
                    <c:v>38.686521461625247</c:v>
                  </c:pt>
                  <c:pt idx="6">
                    <c:v>489.4477948862426</c:v>
                  </c:pt>
                  <c:pt idx="7">
                    <c:v>39</c:v>
                  </c:pt>
                </c:numCache>
              </c:numRef>
            </c:plus>
            <c:minus>
              <c:numRef>
                <c:f>'GRAPHS (2)'!$I$22:$I$29</c:f>
                <c:numCache>
                  <c:formatCode>General</c:formatCode>
                  <c:ptCount val="8"/>
                  <c:pt idx="0">
                    <c:v>128.66929288780207</c:v>
                  </c:pt>
                  <c:pt idx="1">
                    <c:v>108.85746270125561</c:v>
                  </c:pt>
                  <c:pt idx="2">
                    <c:v>109.20954174359905</c:v>
                  </c:pt>
                  <c:pt idx="3">
                    <c:v>104.97565591886952</c:v>
                  </c:pt>
                  <c:pt idx="4">
                    <c:v>38.686521461625247</c:v>
                  </c:pt>
                  <c:pt idx="6">
                    <c:v>489.4477948862426</c:v>
                  </c:pt>
                  <c:pt idx="7">
                    <c:v>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(2)'!$H$22:$H$29</c:f>
              <c:numCache>
                <c:formatCode>0</c:formatCode>
                <c:ptCount val="8"/>
                <c:pt idx="0">
                  <c:v>893.33333333333337</c:v>
                </c:pt>
                <c:pt idx="1">
                  <c:v>920.56737588652493</c:v>
                </c:pt>
                <c:pt idx="2">
                  <c:v>699.29078014184381</c:v>
                </c:pt>
                <c:pt idx="3">
                  <c:v>806.24113475177307</c:v>
                </c:pt>
                <c:pt idx="4">
                  <c:v>1597.9487179487178</c:v>
                </c:pt>
                <c:pt idx="6">
                  <c:v>3996.7320261437908</c:v>
                </c:pt>
                <c:pt idx="7">
                  <c:v>1305</c:v>
                </c:pt>
              </c:numCache>
            </c:numRef>
          </c:val>
        </c:ser>
        <c:ser>
          <c:idx val="3"/>
          <c:order val="2"/>
          <c:tx>
            <c:v>Protein</c:v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'GRAPHS (2)'!$G$22:$G$29</c:f>
                <c:numCache>
                  <c:formatCode>General</c:formatCode>
                  <c:ptCount val="8"/>
                  <c:pt idx="0">
                    <c:v>43.085186936269992</c:v>
                  </c:pt>
                  <c:pt idx="1">
                    <c:v>59.936077059925559</c:v>
                  </c:pt>
                  <c:pt idx="2">
                    <c:v>13.203534880225604</c:v>
                  </c:pt>
                  <c:pt idx="3">
                    <c:v>10.598742063723098</c:v>
                  </c:pt>
                  <c:pt idx="4">
                    <c:v>5.6862407030773268</c:v>
                  </c:pt>
                  <c:pt idx="5">
                    <c:v>6.5064070986477116</c:v>
                  </c:pt>
                  <c:pt idx="6">
                    <c:v>21.493800759158042</c:v>
                  </c:pt>
                  <c:pt idx="7">
                    <c:v>14.440912190841029</c:v>
                  </c:pt>
                </c:numCache>
              </c:numRef>
            </c:plus>
            <c:minus>
              <c:numRef>
                <c:f>'GRAPHS (2)'!$G$22:$G$29</c:f>
                <c:numCache>
                  <c:formatCode>General</c:formatCode>
                  <c:ptCount val="8"/>
                  <c:pt idx="0">
                    <c:v>43.085186936269992</c:v>
                  </c:pt>
                  <c:pt idx="1">
                    <c:v>59.936077059925559</c:v>
                  </c:pt>
                  <c:pt idx="2">
                    <c:v>13.203534880225604</c:v>
                  </c:pt>
                  <c:pt idx="3">
                    <c:v>10.598742063723098</c:v>
                  </c:pt>
                  <c:pt idx="4">
                    <c:v>5.6862407030773268</c:v>
                  </c:pt>
                  <c:pt idx="5">
                    <c:v>6.5064070986477116</c:v>
                  </c:pt>
                  <c:pt idx="6">
                    <c:v>21.493800759158042</c:v>
                  </c:pt>
                  <c:pt idx="7">
                    <c:v>14.440912190841029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'GRAPHS (2)'!$F$22:$F$29</c:f>
              <c:numCache>
                <c:formatCode>0</c:formatCode>
                <c:ptCount val="8"/>
                <c:pt idx="0">
                  <c:v>557.16666666666663</c:v>
                </c:pt>
                <c:pt idx="1">
                  <c:v>646.16666666666663</c:v>
                </c:pt>
                <c:pt idx="2">
                  <c:v>413.16666666666669</c:v>
                </c:pt>
                <c:pt idx="3">
                  <c:v>317.16666666666669</c:v>
                </c:pt>
                <c:pt idx="4">
                  <c:v>382.16666666666669</c:v>
                </c:pt>
                <c:pt idx="5">
                  <c:v>365.23333333333329</c:v>
                </c:pt>
                <c:pt idx="6">
                  <c:v>542.5454545454545</c:v>
                </c:pt>
                <c:pt idx="7">
                  <c:v>247.69696969696972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190784"/>
        <c:axId val="237191176"/>
      </c:barChart>
      <c:catAx>
        <c:axId val="237190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191176"/>
        <c:crosses val="autoZero"/>
        <c:auto val="1"/>
        <c:lblAlgn val="ctr"/>
        <c:lblOffset val="100"/>
        <c:noMultiLvlLbl val="0"/>
      </c:catAx>
      <c:valAx>
        <c:axId val="237191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19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0</c:v>
          </c:tx>
          <c:spPr>
            <a:ln w="28575">
              <a:noFill/>
            </a:ln>
          </c:spPr>
          <c:marker>
            <c:symbol val="plus"/>
            <c:size val="7"/>
            <c:spPr>
              <a:ln>
                <a:solidFill>
                  <a:srgbClr val="00B0F0"/>
                </a:solidFill>
              </a:ln>
            </c:spPr>
          </c:marker>
          <c:trendline>
            <c:spPr>
              <a:ln w="19050">
                <a:solidFill>
                  <a:srgbClr val="0070C0"/>
                </a:solidFill>
              </a:ln>
            </c:spPr>
            <c:trendlineType val="linear"/>
            <c:dispRSqr val="0"/>
            <c:dispEq val="0"/>
          </c:trendline>
          <c:xVal>
            <c:numRef>
              <c:f>([3]fri!$N$4:$N$5,[3]fri!$N$7:$N$8,[3]fri!$N$10:$N$27)</c:f>
              <c:numCache>
                <c:formatCode>General</c:formatCode>
                <c:ptCount val="22"/>
                <c:pt idx="0">
                  <c:v>264</c:v>
                </c:pt>
                <c:pt idx="1">
                  <c:v>132</c:v>
                </c:pt>
                <c:pt idx="2">
                  <c:v>264</c:v>
                </c:pt>
                <c:pt idx="3">
                  <c:v>132</c:v>
                </c:pt>
                <c:pt idx="4">
                  <c:v>264</c:v>
                </c:pt>
                <c:pt idx="5">
                  <c:v>132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209</c:v>
                </c:pt>
                <c:pt idx="14">
                  <c:v>104.5</c:v>
                </c:pt>
                <c:pt idx="15">
                  <c:v>52.25</c:v>
                </c:pt>
                <c:pt idx="16">
                  <c:v>209</c:v>
                </c:pt>
                <c:pt idx="17">
                  <c:v>104.5</c:v>
                </c:pt>
                <c:pt idx="18">
                  <c:v>52.25</c:v>
                </c:pt>
                <c:pt idx="19">
                  <c:v>209</c:v>
                </c:pt>
                <c:pt idx="20">
                  <c:v>104.5</c:v>
                </c:pt>
                <c:pt idx="21">
                  <c:v>52.25</c:v>
                </c:pt>
              </c:numCache>
            </c:numRef>
          </c:xVal>
          <c:yVal>
            <c:numRef>
              <c:f>([3]fri!$O$4:$O$5,[3]fri!$O$7:$O$8,[3]fri!$O$10:$O$27)</c:f>
              <c:numCache>
                <c:formatCode>General</c:formatCode>
                <c:ptCount val="22"/>
                <c:pt idx="0">
                  <c:v>0.77083333333333337</c:v>
                </c:pt>
                <c:pt idx="1">
                  <c:v>0.43823333333333331</c:v>
                </c:pt>
                <c:pt idx="2">
                  <c:v>0.7685333333333334</c:v>
                </c:pt>
                <c:pt idx="3">
                  <c:v>0.45133333333333336</c:v>
                </c:pt>
                <c:pt idx="4">
                  <c:v>0.77539999999999998</c:v>
                </c:pt>
                <c:pt idx="5">
                  <c:v>0.43443333333333339</c:v>
                </c:pt>
                <c:pt idx="12">
                  <c:v>0</c:v>
                </c:pt>
                <c:pt idx="13">
                  <c:v>0.84940000000000004</c:v>
                </c:pt>
                <c:pt idx="14">
                  <c:v>0.44496666666666668</c:v>
                </c:pt>
                <c:pt idx="15">
                  <c:v>0.2311</c:v>
                </c:pt>
                <c:pt idx="16">
                  <c:v>0.84209999999999996</c:v>
                </c:pt>
                <c:pt idx="17">
                  <c:v>0.44366666666666665</c:v>
                </c:pt>
                <c:pt idx="18">
                  <c:v>0.23860000000000001</c:v>
                </c:pt>
                <c:pt idx="19">
                  <c:v>0.83599999999999997</c:v>
                </c:pt>
                <c:pt idx="20">
                  <c:v>0.44046666666666673</c:v>
                </c:pt>
                <c:pt idx="21">
                  <c:v>0.23476666666666668</c:v>
                </c:pt>
              </c:numCache>
            </c:numRef>
          </c:yVal>
          <c:smooth val="0"/>
        </c:ser>
        <c:ser>
          <c:idx val="1"/>
          <c:order val="1"/>
          <c:tx>
            <c:v>30</c:v>
          </c:tx>
          <c:spPr>
            <a:ln w="28575">
              <a:noFill/>
            </a:ln>
          </c:spPr>
          <c:marker>
            <c:symbol val="plus"/>
            <c:size val="5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('[3]callibration curves'!$D$25:$D$33,'[3]callibration curves'!$H$2:$H$35)</c:f>
              <c:numCache>
                <c:formatCode>General</c:formatCode>
                <c:ptCount val="43"/>
                <c:pt idx="0">
                  <c:v>341.5</c:v>
                </c:pt>
                <c:pt idx="1">
                  <c:v>170.75</c:v>
                </c:pt>
                <c:pt idx="2">
                  <c:v>85.375</c:v>
                </c:pt>
                <c:pt idx="3">
                  <c:v>341.5</c:v>
                </c:pt>
                <c:pt idx="4">
                  <c:v>170.75</c:v>
                </c:pt>
                <c:pt idx="5">
                  <c:v>85.375</c:v>
                </c:pt>
                <c:pt idx="6">
                  <c:v>341.5</c:v>
                </c:pt>
                <c:pt idx="7">
                  <c:v>170.75</c:v>
                </c:pt>
                <c:pt idx="8">
                  <c:v>85.375</c:v>
                </c:pt>
                <c:pt idx="9">
                  <c:v>556</c:v>
                </c:pt>
                <c:pt idx="10">
                  <c:v>278</c:v>
                </c:pt>
                <c:pt idx="11">
                  <c:v>139</c:v>
                </c:pt>
                <c:pt idx="12">
                  <c:v>556</c:v>
                </c:pt>
                <c:pt idx="13">
                  <c:v>278</c:v>
                </c:pt>
                <c:pt idx="14">
                  <c:v>139</c:v>
                </c:pt>
                <c:pt idx="15">
                  <c:v>556</c:v>
                </c:pt>
                <c:pt idx="16">
                  <c:v>278</c:v>
                </c:pt>
                <c:pt idx="17">
                  <c:v>139</c:v>
                </c:pt>
                <c:pt idx="18">
                  <c:v>0</c:v>
                </c:pt>
                <c:pt idx="19">
                  <c:v>1020.5</c:v>
                </c:pt>
                <c:pt idx="20">
                  <c:v>510.25</c:v>
                </c:pt>
                <c:pt idx="21">
                  <c:v>255.125</c:v>
                </c:pt>
                <c:pt idx="22">
                  <c:v>127.5625</c:v>
                </c:pt>
                <c:pt idx="23">
                  <c:v>1020.5</c:v>
                </c:pt>
                <c:pt idx="24">
                  <c:v>510.25</c:v>
                </c:pt>
                <c:pt idx="25">
                  <c:v>255.125</c:v>
                </c:pt>
                <c:pt idx="26">
                  <c:v>127.5625</c:v>
                </c:pt>
                <c:pt idx="27">
                  <c:v>1020.5</c:v>
                </c:pt>
                <c:pt idx="28">
                  <c:v>510.25</c:v>
                </c:pt>
                <c:pt idx="29">
                  <c:v>255.125</c:v>
                </c:pt>
                <c:pt idx="30">
                  <c:v>127.5625</c:v>
                </c:pt>
                <c:pt idx="32">
                  <c:v>0</c:v>
                </c:pt>
                <c:pt idx="33">
                  <c:v>1079.75</c:v>
                </c:pt>
                <c:pt idx="34">
                  <c:v>539.875</c:v>
                </c:pt>
                <c:pt idx="35">
                  <c:v>134.96875</c:v>
                </c:pt>
                <c:pt idx="36">
                  <c:v>67.484375</c:v>
                </c:pt>
                <c:pt idx="37">
                  <c:v>539.875</c:v>
                </c:pt>
                <c:pt idx="38">
                  <c:v>134.96875</c:v>
                </c:pt>
                <c:pt idx="39">
                  <c:v>67.484375</c:v>
                </c:pt>
                <c:pt idx="40">
                  <c:v>539.875</c:v>
                </c:pt>
                <c:pt idx="41">
                  <c:v>134.96875</c:v>
                </c:pt>
                <c:pt idx="42">
                  <c:v>67.484375</c:v>
                </c:pt>
              </c:numCache>
            </c:numRef>
          </c:xVal>
          <c:yVal>
            <c:numRef>
              <c:f>('[3]callibration curves'!$E$25:$E$33,'[3]callibration curves'!$I$2:$I$35)</c:f>
              <c:numCache>
                <c:formatCode>General</c:formatCode>
                <c:ptCount val="43"/>
                <c:pt idx="0">
                  <c:v>0.36166666666666664</c:v>
                </c:pt>
                <c:pt idx="1">
                  <c:v>0.17390000000000003</c:v>
                </c:pt>
                <c:pt idx="2">
                  <c:v>7.6633333333333331E-2</c:v>
                </c:pt>
                <c:pt idx="3">
                  <c:v>0.34359999999999996</c:v>
                </c:pt>
                <c:pt idx="4">
                  <c:v>0.1671</c:v>
                </c:pt>
                <c:pt idx="5">
                  <c:v>6.9900000000000004E-2</c:v>
                </c:pt>
                <c:pt idx="6">
                  <c:v>0.37836666666666668</c:v>
                </c:pt>
                <c:pt idx="7">
                  <c:v>0.19276666666666667</c:v>
                </c:pt>
                <c:pt idx="8">
                  <c:v>9.9466666666666662E-2</c:v>
                </c:pt>
                <c:pt idx="9">
                  <c:v>0.88096666666666668</c:v>
                </c:pt>
                <c:pt idx="10">
                  <c:v>0.45853333333333329</c:v>
                </c:pt>
                <c:pt idx="11">
                  <c:v>0.23756666666666668</c:v>
                </c:pt>
                <c:pt idx="12">
                  <c:v>0.78969999999999996</c:v>
                </c:pt>
                <c:pt idx="13">
                  <c:v>0.40889999999999999</c:v>
                </c:pt>
                <c:pt idx="14">
                  <c:v>0.20463333333333333</c:v>
                </c:pt>
                <c:pt idx="15">
                  <c:v>0.71803333333333341</c:v>
                </c:pt>
                <c:pt idx="16">
                  <c:v>0.36323333333333335</c:v>
                </c:pt>
                <c:pt idx="17">
                  <c:v>0.18353333333333333</c:v>
                </c:pt>
                <c:pt idx="18">
                  <c:v>0</c:v>
                </c:pt>
                <c:pt idx="19">
                  <c:v>1.7901999999999998</c:v>
                </c:pt>
                <c:pt idx="20">
                  <c:v>1.0900999999999998</c:v>
                </c:pt>
                <c:pt idx="21">
                  <c:v>0.58920000000000006</c:v>
                </c:pt>
                <c:pt idx="22">
                  <c:v>0.30193333333333333</c:v>
                </c:pt>
                <c:pt idx="23">
                  <c:v>1.7083666666666666</c:v>
                </c:pt>
                <c:pt idx="24">
                  <c:v>1.0124333333333333</c:v>
                </c:pt>
                <c:pt idx="25">
                  <c:v>0.5449666666666666</c:v>
                </c:pt>
                <c:pt idx="26">
                  <c:v>0.25866666666666666</c:v>
                </c:pt>
                <c:pt idx="27">
                  <c:v>1.6171</c:v>
                </c:pt>
                <c:pt idx="28">
                  <c:v>0.93520000000000003</c:v>
                </c:pt>
                <c:pt idx="29">
                  <c:v>0.49086666666666662</c:v>
                </c:pt>
                <c:pt idx="30">
                  <c:v>0.24566666666666667</c:v>
                </c:pt>
                <c:pt idx="32">
                  <c:v>0</c:v>
                </c:pt>
                <c:pt idx="33">
                  <c:v>1.9745666666666664</c:v>
                </c:pt>
                <c:pt idx="34">
                  <c:v>1.4589333333333332</c:v>
                </c:pt>
                <c:pt idx="35">
                  <c:v>0.42313333333333336</c:v>
                </c:pt>
                <c:pt idx="36">
                  <c:v>0.20309999999999997</c:v>
                </c:pt>
                <c:pt idx="37">
                  <c:v>1.3325666666666665</c:v>
                </c:pt>
                <c:pt idx="38">
                  <c:v>0.36726666666666663</c:v>
                </c:pt>
                <c:pt idx="39">
                  <c:v>0.16243333333333335</c:v>
                </c:pt>
                <c:pt idx="40">
                  <c:v>1.2579666666666667</c:v>
                </c:pt>
                <c:pt idx="41">
                  <c:v>0.33370000000000005</c:v>
                </c:pt>
                <c:pt idx="42">
                  <c:v>0.16273333333333331</c:v>
                </c:pt>
              </c:numCache>
            </c:numRef>
          </c:yVal>
          <c:smooth val="0"/>
        </c:ser>
        <c:ser>
          <c:idx val="2"/>
          <c:order val="2"/>
          <c:tx>
            <c:v>100</c:v>
          </c:tx>
          <c:spPr>
            <a:ln w="28575">
              <a:noFill/>
            </a:ln>
          </c:spPr>
          <c:marker>
            <c:symbol val="x"/>
            <c:size val="7"/>
          </c:marker>
          <c:trendline>
            <c:spPr>
              <a:ln w="19050">
                <a:solidFill>
                  <a:srgbClr val="92D050"/>
                </a:solidFill>
              </a:ln>
            </c:spPr>
            <c:trendlineType val="linear"/>
            <c:dispRSqr val="0"/>
            <c:dispEq val="0"/>
          </c:trendline>
          <c:xVal>
            <c:numRef>
              <c:f>('[3]callibration curves'!$D$52:$D$60,'[3]callibration curves'!$D$73:$D$78)</c:f>
              <c:numCache>
                <c:formatCode>General</c:formatCode>
                <c:ptCount val="15"/>
                <c:pt idx="0">
                  <c:v>242</c:v>
                </c:pt>
                <c:pt idx="1">
                  <c:v>121</c:v>
                </c:pt>
                <c:pt idx="2">
                  <c:v>60.5</c:v>
                </c:pt>
                <c:pt idx="3">
                  <c:v>242</c:v>
                </c:pt>
                <c:pt idx="4">
                  <c:v>121</c:v>
                </c:pt>
                <c:pt idx="5">
                  <c:v>60.5</c:v>
                </c:pt>
                <c:pt idx="6">
                  <c:v>242</c:v>
                </c:pt>
                <c:pt idx="7">
                  <c:v>121</c:v>
                </c:pt>
                <c:pt idx="8">
                  <c:v>60.5</c:v>
                </c:pt>
                <c:pt idx="9">
                  <c:v>1043.5</c:v>
                </c:pt>
                <c:pt idx="10">
                  <c:v>521.75</c:v>
                </c:pt>
                <c:pt idx="11">
                  <c:v>260.875</c:v>
                </c:pt>
                <c:pt idx="12">
                  <c:v>1043.5</c:v>
                </c:pt>
                <c:pt idx="13">
                  <c:v>521.75</c:v>
                </c:pt>
                <c:pt idx="14">
                  <c:v>260.875</c:v>
                </c:pt>
              </c:numCache>
            </c:numRef>
          </c:xVal>
          <c:yVal>
            <c:numRef>
              <c:f>('[3]callibration curves'!$E$52:$E$60,'[3]callibration curves'!$E$73:$E$78)</c:f>
              <c:numCache>
                <c:formatCode>General</c:formatCode>
                <c:ptCount val="15"/>
                <c:pt idx="0">
                  <c:v>0.16756666666666667</c:v>
                </c:pt>
                <c:pt idx="1">
                  <c:v>8.666666666666667E-2</c:v>
                </c:pt>
                <c:pt idx="2">
                  <c:v>4.4233333333333326E-2</c:v>
                </c:pt>
                <c:pt idx="3">
                  <c:v>0.16453333333333334</c:v>
                </c:pt>
                <c:pt idx="4">
                  <c:v>8.1833333333333327E-2</c:v>
                </c:pt>
                <c:pt idx="5">
                  <c:v>4.3533333333333334E-2</c:v>
                </c:pt>
                <c:pt idx="6">
                  <c:v>0.15966666666666665</c:v>
                </c:pt>
                <c:pt idx="7">
                  <c:v>8.2066666666666663E-2</c:v>
                </c:pt>
                <c:pt idx="8">
                  <c:v>4.6699999999999998E-2</c:v>
                </c:pt>
                <c:pt idx="9">
                  <c:v>1.3809666666666667</c:v>
                </c:pt>
                <c:pt idx="10">
                  <c:v>0.75509999999999999</c:v>
                </c:pt>
                <c:pt idx="11">
                  <c:v>0.39966666666666667</c:v>
                </c:pt>
                <c:pt idx="12">
                  <c:v>1.3808999999999998</c:v>
                </c:pt>
                <c:pt idx="13">
                  <c:v>0.77139999999999997</c:v>
                </c:pt>
                <c:pt idx="14">
                  <c:v>0.40460000000000002</c:v>
                </c:pt>
              </c:numCache>
            </c:numRef>
          </c:yVal>
          <c:smooth val="0"/>
        </c:ser>
        <c:ser>
          <c:idx val="3"/>
          <c:order val="3"/>
          <c:tx>
            <c:v>200</c:v>
          </c:tx>
          <c:spPr>
            <a:ln w="28575">
              <a:noFill/>
            </a:ln>
          </c:spPr>
          <c:marker>
            <c:symbol val="x"/>
            <c:size val="7"/>
            <c:spPr>
              <a:ln>
                <a:solidFill>
                  <a:srgbClr val="FFC000"/>
                </a:solidFill>
              </a:ln>
            </c:spPr>
          </c:marker>
          <c:trendline>
            <c:spPr>
              <a:ln w="19050">
                <a:solidFill>
                  <a:srgbClr val="FFC000"/>
                </a:solidFill>
              </a:ln>
            </c:spPr>
            <c:trendlineType val="linear"/>
            <c:dispRSqr val="0"/>
            <c:dispEq val="0"/>
          </c:trendline>
          <c:xVal>
            <c:numRef>
              <c:f>'[3]callibration curves'!$D$122:$D$133</c:f>
              <c:numCache>
                <c:formatCode>General</c:formatCode>
                <c:ptCount val="12"/>
                <c:pt idx="0">
                  <c:v>1792</c:v>
                </c:pt>
                <c:pt idx="1">
                  <c:v>896</c:v>
                </c:pt>
                <c:pt idx="2">
                  <c:v>448</c:v>
                </c:pt>
                <c:pt idx="3">
                  <c:v>224</c:v>
                </c:pt>
                <c:pt idx="4">
                  <c:v>1792</c:v>
                </c:pt>
                <c:pt idx="5">
                  <c:v>896</c:v>
                </c:pt>
                <c:pt idx="6">
                  <c:v>448</c:v>
                </c:pt>
                <c:pt idx="7">
                  <c:v>224</c:v>
                </c:pt>
                <c:pt idx="8">
                  <c:v>1792</c:v>
                </c:pt>
                <c:pt idx="9">
                  <c:v>896</c:v>
                </c:pt>
                <c:pt idx="10">
                  <c:v>448</c:v>
                </c:pt>
                <c:pt idx="11">
                  <c:v>224</c:v>
                </c:pt>
              </c:numCache>
            </c:numRef>
          </c:xVal>
          <c:yVal>
            <c:numRef>
              <c:f>'[3]callibration curves'!$E$122:$E$133</c:f>
              <c:numCache>
                <c:formatCode>General</c:formatCode>
                <c:ptCount val="12"/>
                <c:pt idx="0">
                  <c:v>1.7266666666666666</c:v>
                </c:pt>
                <c:pt idx="1">
                  <c:v>0.98250000000000004</c:v>
                </c:pt>
                <c:pt idx="2">
                  <c:v>0.52156666666666662</c:v>
                </c:pt>
                <c:pt idx="3">
                  <c:v>0.25623333333333331</c:v>
                </c:pt>
                <c:pt idx="4">
                  <c:v>1.8600666666666665</c:v>
                </c:pt>
                <c:pt idx="5">
                  <c:v>1.0793333333333333</c:v>
                </c:pt>
                <c:pt idx="6">
                  <c:v>0.57873333333333332</c:v>
                </c:pt>
                <c:pt idx="7">
                  <c:v>0.28583333333333333</c:v>
                </c:pt>
                <c:pt idx="8">
                  <c:v>1.8591333333333335</c:v>
                </c:pt>
                <c:pt idx="9">
                  <c:v>1.0722333333333334</c:v>
                </c:pt>
                <c:pt idx="10">
                  <c:v>0.52933333333333332</c:v>
                </c:pt>
                <c:pt idx="11">
                  <c:v>0.28776666666666667</c:v>
                </c:pt>
              </c:numCache>
            </c:numRef>
          </c:yVal>
          <c:smooth val="0"/>
        </c:ser>
        <c:ser>
          <c:idx val="4"/>
          <c:order val="4"/>
          <c:tx>
            <c:v>500</c:v>
          </c:tx>
          <c:spPr>
            <a:ln w="28575">
              <a:noFill/>
            </a:ln>
          </c:spPr>
          <c:marker>
            <c:spPr>
              <a:ln>
                <a:solidFill>
                  <a:srgbClr val="7030A0"/>
                </a:solidFill>
              </a:ln>
            </c:spPr>
          </c:marker>
          <c:trendline>
            <c:spPr>
              <a:ln w="19050">
                <a:solidFill>
                  <a:srgbClr val="7030A0"/>
                </a:solidFill>
              </a:ln>
            </c:spPr>
            <c:trendlineType val="linear"/>
            <c:dispRSqr val="0"/>
            <c:dispEq val="0"/>
          </c:trendline>
          <c:xVal>
            <c:numRef>
              <c:f>('[3]callibration curves'!$D$143:$D$158,'[3]callibration curves'!$D$162:$D$170)</c:f>
              <c:numCache>
                <c:formatCode>General</c:formatCode>
                <c:ptCount val="25"/>
                <c:pt idx="0">
                  <c:v>1251.875</c:v>
                </c:pt>
                <c:pt idx="1">
                  <c:v>500.75</c:v>
                </c:pt>
                <c:pt idx="2">
                  <c:v>250.375</c:v>
                </c:pt>
                <c:pt idx="3">
                  <c:v>125.1875</c:v>
                </c:pt>
                <c:pt idx="6">
                  <c:v>1251.875</c:v>
                </c:pt>
                <c:pt idx="7">
                  <c:v>500.75</c:v>
                </c:pt>
                <c:pt idx="8">
                  <c:v>250.375</c:v>
                </c:pt>
                <c:pt idx="9">
                  <c:v>125.1875</c:v>
                </c:pt>
                <c:pt idx="12">
                  <c:v>1251.875</c:v>
                </c:pt>
                <c:pt idx="13">
                  <c:v>500.75</c:v>
                </c:pt>
                <c:pt idx="14">
                  <c:v>250.375</c:v>
                </c:pt>
                <c:pt idx="15">
                  <c:v>125.1875</c:v>
                </c:pt>
                <c:pt idx="16">
                  <c:v>206.5</c:v>
                </c:pt>
                <c:pt idx="17">
                  <c:v>103.25</c:v>
                </c:pt>
                <c:pt idx="18">
                  <c:v>51.625</c:v>
                </c:pt>
                <c:pt idx="19">
                  <c:v>206.5</c:v>
                </c:pt>
                <c:pt idx="20">
                  <c:v>103.25</c:v>
                </c:pt>
                <c:pt idx="21">
                  <c:v>51.625</c:v>
                </c:pt>
                <c:pt idx="22">
                  <c:v>206.5</c:v>
                </c:pt>
                <c:pt idx="23">
                  <c:v>103.25</c:v>
                </c:pt>
                <c:pt idx="24">
                  <c:v>51.625</c:v>
                </c:pt>
              </c:numCache>
            </c:numRef>
          </c:xVal>
          <c:yVal>
            <c:numRef>
              <c:f>('[3]callibration curves'!$E$143:$E$158,'[3]callibration curves'!$E$162:$E$170)</c:f>
              <c:numCache>
                <c:formatCode>General</c:formatCode>
                <c:ptCount val="25"/>
                <c:pt idx="0">
                  <c:v>1.3455333333333332</c:v>
                </c:pt>
                <c:pt idx="1">
                  <c:v>0.55100000000000005</c:v>
                </c:pt>
                <c:pt idx="2">
                  <c:v>0.3039</c:v>
                </c:pt>
                <c:pt idx="3">
                  <c:v>0.1597666666666667</c:v>
                </c:pt>
                <c:pt idx="6">
                  <c:v>1.3867666666666667</c:v>
                </c:pt>
                <c:pt idx="7">
                  <c:v>0.58753333333333335</c:v>
                </c:pt>
                <c:pt idx="8">
                  <c:v>0.33233333333333337</c:v>
                </c:pt>
                <c:pt idx="9">
                  <c:v>0.17633333333333331</c:v>
                </c:pt>
                <c:pt idx="12">
                  <c:v>1.4056</c:v>
                </c:pt>
                <c:pt idx="13">
                  <c:v>0.64743333333333331</c:v>
                </c:pt>
                <c:pt idx="14">
                  <c:v>0.33383333333333337</c:v>
                </c:pt>
                <c:pt idx="15">
                  <c:v>0.17083333333333336</c:v>
                </c:pt>
                <c:pt idx="16">
                  <c:v>0.13773333333333335</c:v>
                </c:pt>
                <c:pt idx="17">
                  <c:v>7.3599999999999999E-2</c:v>
                </c:pt>
                <c:pt idx="18">
                  <c:v>3.9566666666666674E-2</c:v>
                </c:pt>
                <c:pt idx="19">
                  <c:v>0.14383333333333334</c:v>
                </c:pt>
                <c:pt idx="20">
                  <c:v>7.7100000000000002E-2</c:v>
                </c:pt>
                <c:pt idx="21">
                  <c:v>3.5499999999999997E-2</c:v>
                </c:pt>
                <c:pt idx="22">
                  <c:v>0.14426666666666668</c:v>
                </c:pt>
                <c:pt idx="23">
                  <c:v>7.0800000000000002E-2</c:v>
                </c:pt>
                <c:pt idx="24">
                  <c:v>3.953333333333333E-2</c:v>
                </c:pt>
              </c:numCache>
            </c:numRef>
          </c:yVal>
          <c:smooth val="0"/>
        </c:ser>
        <c:ser>
          <c:idx val="5"/>
          <c:order val="5"/>
          <c:tx>
            <c:v>Butyrometer capacity</c:v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'[3]callibration curves'!$N$32:$N$33</c:f>
              <c:numCache>
                <c:formatCode>General</c:formatCode>
                <c:ptCount val="2"/>
                <c:pt idx="0">
                  <c:v>500</c:v>
                </c:pt>
                <c:pt idx="1">
                  <c:v>500</c:v>
                </c:pt>
              </c:numCache>
            </c:numRef>
          </c:xVal>
          <c:yVal>
            <c:numRef>
              <c:f>'[3]callibration curves'!$O$32:$O$33</c:f>
              <c:numCache>
                <c:formatCode>General</c:formatCode>
                <c:ptCount val="2"/>
                <c:pt idx="0">
                  <c:v>0</c:v>
                </c:pt>
                <c:pt idx="1">
                  <c:v>1.5</c:v>
                </c:pt>
              </c:numCache>
            </c:numRef>
          </c:yVal>
          <c:smooth val="0"/>
        </c:ser>
        <c:ser>
          <c:idx val="6"/>
          <c:order val="6"/>
          <c:tx>
            <c:v>SINK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ysClr val="windowText" lastClr="000000"/>
              </a:solidFill>
            </c:spPr>
          </c:marker>
          <c:xVal>
            <c:numRef>
              <c:f>'OD CAL'!$L$3:$L$15</c:f>
              <c:numCache>
                <c:formatCode>0</c:formatCode>
                <c:ptCount val="13"/>
                <c:pt idx="0">
                  <c:v>337</c:v>
                </c:pt>
                <c:pt idx="2">
                  <c:v>155</c:v>
                </c:pt>
                <c:pt idx="4">
                  <c:v>193.68607219043011</c:v>
                </c:pt>
                <c:pt idx="6">
                  <c:v>538.47679141523884</c:v>
                </c:pt>
                <c:pt idx="8">
                  <c:v>123.78170564082023</c:v>
                </c:pt>
                <c:pt idx="10">
                  <c:v>453.87826274511417</c:v>
                </c:pt>
                <c:pt idx="12">
                  <c:v>439.62678936318827</c:v>
                </c:pt>
              </c:numCache>
            </c:numRef>
          </c:xVal>
          <c:yVal>
            <c:numRef>
              <c:f>'OD CAL'!$K$3:$K$16</c:f>
              <c:numCache>
                <c:formatCode>0.0000</c:formatCode>
                <c:ptCount val="14"/>
                <c:pt idx="0">
                  <c:v>0.54320000000000002</c:v>
                </c:pt>
                <c:pt idx="1">
                  <c:v>0.2727</c:v>
                </c:pt>
                <c:pt idx="2">
                  <c:v>0.2477</c:v>
                </c:pt>
                <c:pt idx="3">
                  <c:v>0.8619</c:v>
                </c:pt>
                <c:pt idx="4">
                  <c:v>0.43227777777777782</c:v>
                </c:pt>
                <c:pt idx="5">
                  <c:v>0.35747777777777778</c:v>
                </c:pt>
                <c:pt idx="6">
                  <c:v>0.50912222222222214</c:v>
                </c:pt>
                <c:pt idx="7">
                  <c:v>3.832222222222223E-2</c:v>
                </c:pt>
                <c:pt idx="8">
                  <c:v>0.2147222222222222</c:v>
                </c:pt>
                <c:pt idx="9">
                  <c:v>0.80488888888888899</c:v>
                </c:pt>
                <c:pt idx="10">
                  <c:v>0.5279666666666667</c:v>
                </c:pt>
                <c:pt idx="11">
                  <c:v>1.3280111111111113</c:v>
                </c:pt>
                <c:pt idx="12">
                  <c:v>0.62371111111111111</c:v>
                </c:pt>
                <c:pt idx="13">
                  <c:v>0.34707777777777782</c:v>
                </c:pt>
              </c:numCache>
            </c:numRef>
          </c:yVal>
          <c:smooth val="0"/>
        </c:ser>
        <c:ser>
          <c:idx val="7"/>
          <c:order val="7"/>
          <c:tx>
            <c:v>DW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'OD CAL'!$M$3:$M$14</c:f>
              <c:numCache>
                <c:formatCode>0</c:formatCode>
                <c:ptCount val="12"/>
                <c:pt idx="1">
                  <c:v>217</c:v>
                </c:pt>
                <c:pt idx="3">
                  <c:v>380</c:v>
                </c:pt>
                <c:pt idx="5">
                  <c:v>233.04861030686553</c:v>
                </c:pt>
                <c:pt idx="7">
                  <c:v>37.791805998480925</c:v>
                </c:pt>
                <c:pt idx="9">
                  <c:v>371.20823337130167</c:v>
                </c:pt>
                <c:pt idx="11">
                  <c:v>432.45618031081762</c:v>
                </c:pt>
              </c:numCache>
            </c:numRef>
          </c:xVal>
          <c:yVal>
            <c:numRef>
              <c:f>'OD CAL'!$K$3:$K$15</c:f>
              <c:numCache>
                <c:formatCode>0.0000</c:formatCode>
                <c:ptCount val="13"/>
                <c:pt idx="0">
                  <c:v>0.54320000000000002</c:v>
                </c:pt>
                <c:pt idx="1">
                  <c:v>0.2727</c:v>
                </c:pt>
                <c:pt idx="2">
                  <c:v>0.2477</c:v>
                </c:pt>
                <c:pt idx="3">
                  <c:v>0.8619</c:v>
                </c:pt>
                <c:pt idx="4">
                  <c:v>0.43227777777777782</c:v>
                </c:pt>
                <c:pt idx="5">
                  <c:v>0.35747777777777778</c:v>
                </c:pt>
                <c:pt idx="6">
                  <c:v>0.50912222222222214</c:v>
                </c:pt>
                <c:pt idx="7">
                  <c:v>3.832222222222223E-2</c:v>
                </c:pt>
                <c:pt idx="8">
                  <c:v>0.2147222222222222</c:v>
                </c:pt>
                <c:pt idx="9">
                  <c:v>0.80488888888888899</c:v>
                </c:pt>
                <c:pt idx="10">
                  <c:v>0.5279666666666667</c:v>
                </c:pt>
                <c:pt idx="11">
                  <c:v>1.3280111111111113</c:v>
                </c:pt>
                <c:pt idx="12">
                  <c:v>0.62371111111111111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191960"/>
        <c:axId val="237192352"/>
      </c:scatterChart>
      <c:valAx>
        <c:axId val="237191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oil (mg/l)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37192352"/>
        <c:crosses val="autoZero"/>
        <c:crossBetween val="midCat"/>
      </c:valAx>
      <c:valAx>
        <c:axId val="2371923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 660nm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crossAx val="237191960"/>
        <c:crosses val="autoZero"/>
        <c:crossBetween val="midCat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9050">
                <a:solidFill>
                  <a:srgbClr val="0070C0"/>
                </a:solidFill>
              </a:ln>
            </c:spPr>
            <c:trendlineType val="linear"/>
            <c:dispRSqr val="0"/>
            <c:dispEq val="0"/>
          </c:trendline>
          <c:xVal>
            <c:numRef>
              <c:f>[3]fri!$N$3:$N$27</c:f>
              <c:numCache>
                <c:formatCode>General</c:formatCode>
                <c:ptCount val="25"/>
                <c:pt idx="0">
                  <c:v>528</c:v>
                </c:pt>
                <c:pt idx="1">
                  <c:v>264</c:v>
                </c:pt>
                <c:pt idx="2">
                  <c:v>132</c:v>
                </c:pt>
                <c:pt idx="3">
                  <c:v>528</c:v>
                </c:pt>
                <c:pt idx="4">
                  <c:v>264</c:v>
                </c:pt>
                <c:pt idx="5">
                  <c:v>132</c:v>
                </c:pt>
                <c:pt idx="6">
                  <c:v>528</c:v>
                </c:pt>
                <c:pt idx="7">
                  <c:v>264</c:v>
                </c:pt>
                <c:pt idx="8">
                  <c:v>132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209</c:v>
                </c:pt>
                <c:pt idx="17">
                  <c:v>104.5</c:v>
                </c:pt>
                <c:pt idx="18">
                  <c:v>52.25</c:v>
                </c:pt>
                <c:pt idx="19">
                  <c:v>209</c:v>
                </c:pt>
                <c:pt idx="20">
                  <c:v>104.5</c:v>
                </c:pt>
                <c:pt idx="21">
                  <c:v>52.25</c:v>
                </c:pt>
                <c:pt idx="22">
                  <c:v>209</c:v>
                </c:pt>
                <c:pt idx="23">
                  <c:v>104.5</c:v>
                </c:pt>
                <c:pt idx="24">
                  <c:v>52.25</c:v>
                </c:pt>
              </c:numCache>
            </c:numRef>
          </c:xVal>
          <c:yVal>
            <c:numRef>
              <c:f>[3]fri!$O$3:$O$27</c:f>
              <c:numCache>
                <c:formatCode>General</c:formatCode>
                <c:ptCount val="25"/>
                <c:pt idx="0">
                  <c:v>1.3356333333333332</c:v>
                </c:pt>
                <c:pt idx="1">
                  <c:v>0.77083333333333337</c:v>
                </c:pt>
                <c:pt idx="2">
                  <c:v>0.43823333333333331</c:v>
                </c:pt>
                <c:pt idx="3">
                  <c:v>1.3362999999999998</c:v>
                </c:pt>
                <c:pt idx="4">
                  <c:v>0.7685333333333334</c:v>
                </c:pt>
                <c:pt idx="5">
                  <c:v>0.45133333333333336</c:v>
                </c:pt>
                <c:pt idx="6">
                  <c:v>1.3252333333333333</c:v>
                </c:pt>
                <c:pt idx="7">
                  <c:v>0.77539999999999998</c:v>
                </c:pt>
                <c:pt idx="8">
                  <c:v>0.43443333333333339</c:v>
                </c:pt>
                <c:pt idx="15">
                  <c:v>0</c:v>
                </c:pt>
                <c:pt idx="16">
                  <c:v>0.84940000000000004</c:v>
                </c:pt>
                <c:pt idx="17">
                  <c:v>0.44496666666666668</c:v>
                </c:pt>
                <c:pt idx="18">
                  <c:v>0.2311</c:v>
                </c:pt>
                <c:pt idx="19">
                  <c:v>0.84209999999999996</c:v>
                </c:pt>
                <c:pt idx="20">
                  <c:v>0.44366666666666665</c:v>
                </c:pt>
                <c:pt idx="21">
                  <c:v>0.23860000000000001</c:v>
                </c:pt>
                <c:pt idx="22">
                  <c:v>0.83599999999999997</c:v>
                </c:pt>
                <c:pt idx="23">
                  <c:v>0.44046666666666673</c:v>
                </c:pt>
                <c:pt idx="24">
                  <c:v>0.23476666666666668</c:v>
                </c:pt>
              </c:numCache>
            </c:numRef>
          </c:yVal>
          <c:smooth val="0"/>
        </c:ser>
        <c:ser>
          <c:idx val="1"/>
          <c:order val="1"/>
          <c:tx>
            <c:v>30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('[3]callibration curves'!$D$25:$D$33,'[3]callibration curves'!$H$2:$H$35)</c:f>
              <c:numCache>
                <c:formatCode>General</c:formatCode>
                <c:ptCount val="43"/>
                <c:pt idx="0">
                  <c:v>341.5</c:v>
                </c:pt>
                <c:pt idx="1">
                  <c:v>170.75</c:v>
                </c:pt>
                <c:pt idx="2">
                  <c:v>85.375</c:v>
                </c:pt>
                <c:pt idx="3">
                  <c:v>341.5</c:v>
                </c:pt>
                <c:pt idx="4">
                  <c:v>170.75</c:v>
                </c:pt>
                <c:pt idx="5">
                  <c:v>85.375</c:v>
                </c:pt>
                <c:pt idx="6">
                  <c:v>341.5</c:v>
                </c:pt>
                <c:pt idx="7">
                  <c:v>170.75</c:v>
                </c:pt>
                <c:pt idx="8">
                  <c:v>85.375</c:v>
                </c:pt>
                <c:pt idx="9">
                  <c:v>556</c:v>
                </c:pt>
                <c:pt idx="10">
                  <c:v>278</c:v>
                </c:pt>
                <c:pt idx="11">
                  <c:v>139</c:v>
                </c:pt>
                <c:pt idx="12">
                  <c:v>556</c:v>
                </c:pt>
                <c:pt idx="13">
                  <c:v>278</c:v>
                </c:pt>
                <c:pt idx="14">
                  <c:v>139</c:v>
                </c:pt>
                <c:pt idx="15">
                  <c:v>556</c:v>
                </c:pt>
                <c:pt idx="16">
                  <c:v>278</c:v>
                </c:pt>
                <c:pt idx="17">
                  <c:v>139</c:v>
                </c:pt>
                <c:pt idx="18">
                  <c:v>0</c:v>
                </c:pt>
                <c:pt idx="19">
                  <c:v>1020.5</c:v>
                </c:pt>
                <c:pt idx="20">
                  <c:v>510.25</c:v>
                </c:pt>
                <c:pt idx="21">
                  <c:v>255.125</c:v>
                </c:pt>
                <c:pt idx="22">
                  <c:v>127.5625</c:v>
                </c:pt>
                <c:pt idx="23">
                  <c:v>1020.5</c:v>
                </c:pt>
                <c:pt idx="24">
                  <c:v>510.25</c:v>
                </c:pt>
                <c:pt idx="25">
                  <c:v>255.125</c:v>
                </c:pt>
                <c:pt idx="26">
                  <c:v>127.5625</c:v>
                </c:pt>
                <c:pt idx="27">
                  <c:v>1020.5</c:v>
                </c:pt>
                <c:pt idx="28">
                  <c:v>510.25</c:v>
                </c:pt>
                <c:pt idx="29">
                  <c:v>255.125</c:v>
                </c:pt>
                <c:pt idx="30">
                  <c:v>127.5625</c:v>
                </c:pt>
                <c:pt idx="32">
                  <c:v>0</c:v>
                </c:pt>
                <c:pt idx="33">
                  <c:v>1079.75</c:v>
                </c:pt>
                <c:pt idx="34">
                  <c:v>539.875</c:v>
                </c:pt>
                <c:pt idx="35">
                  <c:v>134.96875</c:v>
                </c:pt>
                <c:pt idx="36">
                  <c:v>67.484375</c:v>
                </c:pt>
                <c:pt idx="37">
                  <c:v>539.875</c:v>
                </c:pt>
                <c:pt idx="38">
                  <c:v>134.96875</c:v>
                </c:pt>
                <c:pt idx="39">
                  <c:v>67.484375</c:v>
                </c:pt>
                <c:pt idx="40">
                  <c:v>539.875</c:v>
                </c:pt>
                <c:pt idx="41">
                  <c:v>134.96875</c:v>
                </c:pt>
                <c:pt idx="42">
                  <c:v>67.484375</c:v>
                </c:pt>
              </c:numCache>
            </c:numRef>
          </c:xVal>
          <c:yVal>
            <c:numRef>
              <c:f>('[3]callibration curves'!$E$25:$E$33,'[3]callibration curves'!$I$2:$I$35)</c:f>
              <c:numCache>
                <c:formatCode>General</c:formatCode>
                <c:ptCount val="43"/>
                <c:pt idx="0">
                  <c:v>0.36166666666666664</c:v>
                </c:pt>
                <c:pt idx="1">
                  <c:v>0.17390000000000003</c:v>
                </c:pt>
                <c:pt idx="2">
                  <c:v>7.6633333333333331E-2</c:v>
                </c:pt>
                <c:pt idx="3">
                  <c:v>0.34359999999999996</c:v>
                </c:pt>
                <c:pt idx="4">
                  <c:v>0.1671</c:v>
                </c:pt>
                <c:pt idx="5">
                  <c:v>6.9900000000000004E-2</c:v>
                </c:pt>
                <c:pt idx="6">
                  <c:v>0.37836666666666668</c:v>
                </c:pt>
                <c:pt idx="7">
                  <c:v>0.19276666666666667</c:v>
                </c:pt>
                <c:pt idx="8">
                  <c:v>9.9466666666666662E-2</c:v>
                </c:pt>
                <c:pt idx="9">
                  <c:v>0.88096666666666668</c:v>
                </c:pt>
                <c:pt idx="10">
                  <c:v>0.45853333333333329</c:v>
                </c:pt>
                <c:pt idx="11">
                  <c:v>0.23756666666666668</c:v>
                </c:pt>
                <c:pt idx="12">
                  <c:v>0.78969999999999996</c:v>
                </c:pt>
                <c:pt idx="13">
                  <c:v>0.40889999999999999</c:v>
                </c:pt>
                <c:pt idx="14">
                  <c:v>0.20463333333333333</c:v>
                </c:pt>
                <c:pt idx="15">
                  <c:v>0.71803333333333341</c:v>
                </c:pt>
                <c:pt idx="16">
                  <c:v>0.36323333333333335</c:v>
                </c:pt>
                <c:pt idx="17">
                  <c:v>0.18353333333333333</c:v>
                </c:pt>
                <c:pt idx="18">
                  <c:v>0</c:v>
                </c:pt>
                <c:pt idx="19">
                  <c:v>1.7901999999999998</c:v>
                </c:pt>
                <c:pt idx="20">
                  <c:v>1.0900999999999998</c:v>
                </c:pt>
                <c:pt idx="21">
                  <c:v>0.58920000000000006</c:v>
                </c:pt>
                <c:pt idx="22">
                  <c:v>0.30193333333333333</c:v>
                </c:pt>
                <c:pt idx="23">
                  <c:v>1.7083666666666666</c:v>
                </c:pt>
                <c:pt idx="24">
                  <c:v>1.0124333333333333</c:v>
                </c:pt>
                <c:pt idx="25">
                  <c:v>0.5449666666666666</c:v>
                </c:pt>
                <c:pt idx="26">
                  <c:v>0.25866666666666666</c:v>
                </c:pt>
                <c:pt idx="27">
                  <c:v>1.6171</c:v>
                </c:pt>
                <c:pt idx="28">
                  <c:v>0.93520000000000003</c:v>
                </c:pt>
                <c:pt idx="29">
                  <c:v>0.49086666666666662</c:v>
                </c:pt>
                <c:pt idx="30">
                  <c:v>0.24566666666666667</c:v>
                </c:pt>
                <c:pt idx="32">
                  <c:v>0</c:v>
                </c:pt>
                <c:pt idx="33">
                  <c:v>1.9745666666666664</c:v>
                </c:pt>
                <c:pt idx="34">
                  <c:v>1.4589333333333332</c:v>
                </c:pt>
                <c:pt idx="35">
                  <c:v>0.42313333333333336</c:v>
                </c:pt>
                <c:pt idx="36">
                  <c:v>0.20309999999999997</c:v>
                </c:pt>
                <c:pt idx="37">
                  <c:v>1.3325666666666665</c:v>
                </c:pt>
                <c:pt idx="38">
                  <c:v>0.36726666666666663</c:v>
                </c:pt>
                <c:pt idx="39">
                  <c:v>0.16243333333333335</c:v>
                </c:pt>
                <c:pt idx="40">
                  <c:v>1.2579666666666667</c:v>
                </c:pt>
                <c:pt idx="41">
                  <c:v>0.33370000000000005</c:v>
                </c:pt>
                <c:pt idx="42">
                  <c:v>0.16273333333333331</c:v>
                </c:pt>
              </c:numCache>
            </c:numRef>
          </c:yVal>
          <c:smooth val="0"/>
        </c:ser>
        <c:ser>
          <c:idx val="2"/>
          <c:order val="2"/>
          <c:tx>
            <c:v>100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9050">
                <a:solidFill>
                  <a:srgbClr val="92D050"/>
                </a:solidFill>
              </a:ln>
            </c:spPr>
            <c:trendlineType val="linear"/>
            <c:dispRSqr val="0"/>
            <c:dispEq val="0"/>
          </c:trendline>
          <c:xVal>
            <c:numRef>
              <c:f>('[3]callibration curves'!$D$52:$D$60,'[3]callibration curves'!$D$73:$D$78)</c:f>
              <c:numCache>
                <c:formatCode>General</c:formatCode>
                <c:ptCount val="15"/>
                <c:pt idx="0">
                  <c:v>242</c:v>
                </c:pt>
                <c:pt idx="1">
                  <c:v>121</c:v>
                </c:pt>
                <c:pt idx="2">
                  <c:v>60.5</c:v>
                </c:pt>
                <c:pt idx="3">
                  <c:v>242</c:v>
                </c:pt>
                <c:pt idx="4">
                  <c:v>121</c:v>
                </c:pt>
                <c:pt idx="5">
                  <c:v>60.5</c:v>
                </c:pt>
                <c:pt idx="6">
                  <c:v>242</c:v>
                </c:pt>
                <c:pt idx="7">
                  <c:v>121</c:v>
                </c:pt>
                <c:pt idx="8">
                  <c:v>60.5</c:v>
                </c:pt>
                <c:pt idx="9">
                  <c:v>1043.5</c:v>
                </c:pt>
                <c:pt idx="10">
                  <c:v>521.75</c:v>
                </c:pt>
                <c:pt idx="11">
                  <c:v>260.875</c:v>
                </c:pt>
                <c:pt idx="12">
                  <c:v>1043.5</c:v>
                </c:pt>
                <c:pt idx="13">
                  <c:v>521.75</c:v>
                </c:pt>
                <c:pt idx="14">
                  <c:v>260.875</c:v>
                </c:pt>
              </c:numCache>
            </c:numRef>
          </c:xVal>
          <c:yVal>
            <c:numRef>
              <c:f>('[3]callibration curves'!$E$52:$E$60,'[3]callibration curves'!$E$73:$E$78)</c:f>
              <c:numCache>
                <c:formatCode>General</c:formatCode>
                <c:ptCount val="15"/>
                <c:pt idx="0">
                  <c:v>0.16756666666666667</c:v>
                </c:pt>
                <c:pt idx="1">
                  <c:v>8.666666666666667E-2</c:v>
                </c:pt>
                <c:pt idx="2">
                  <c:v>4.4233333333333326E-2</c:v>
                </c:pt>
                <c:pt idx="3">
                  <c:v>0.16453333333333334</c:v>
                </c:pt>
                <c:pt idx="4">
                  <c:v>8.1833333333333327E-2</c:v>
                </c:pt>
                <c:pt idx="5">
                  <c:v>4.3533333333333334E-2</c:v>
                </c:pt>
                <c:pt idx="6">
                  <c:v>0.15966666666666665</c:v>
                </c:pt>
                <c:pt idx="7">
                  <c:v>8.2066666666666663E-2</c:v>
                </c:pt>
                <c:pt idx="8">
                  <c:v>4.6699999999999998E-2</c:v>
                </c:pt>
                <c:pt idx="9">
                  <c:v>1.3809666666666667</c:v>
                </c:pt>
                <c:pt idx="10">
                  <c:v>0.75509999999999999</c:v>
                </c:pt>
                <c:pt idx="11">
                  <c:v>0.39966666666666667</c:v>
                </c:pt>
                <c:pt idx="12">
                  <c:v>1.3808999999999998</c:v>
                </c:pt>
                <c:pt idx="13">
                  <c:v>0.77139999999999997</c:v>
                </c:pt>
                <c:pt idx="14">
                  <c:v>0.40460000000000002</c:v>
                </c:pt>
              </c:numCache>
            </c:numRef>
          </c:yVal>
          <c:smooth val="0"/>
        </c:ser>
        <c:ser>
          <c:idx val="3"/>
          <c:order val="3"/>
          <c:tx>
            <c:v>200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9050">
                <a:solidFill>
                  <a:srgbClr val="FFC000"/>
                </a:solidFill>
              </a:ln>
            </c:spPr>
            <c:trendlineType val="linear"/>
            <c:dispRSqr val="0"/>
            <c:dispEq val="0"/>
          </c:trendline>
          <c:xVal>
            <c:numRef>
              <c:f>'[3]callibration curves'!$D$122:$D$133</c:f>
              <c:numCache>
                <c:formatCode>General</c:formatCode>
                <c:ptCount val="12"/>
                <c:pt idx="0">
                  <c:v>1792</c:v>
                </c:pt>
                <c:pt idx="1">
                  <c:v>896</c:v>
                </c:pt>
                <c:pt idx="2">
                  <c:v>448</c:v>
                </c:pt>
                <c:pt idx="3">
                  <c:v>224</c:v>
                </c:pt>
                <c:pt idx="4">
                  <c:v>1792</c:v>
                </c:pt>
                <c:pt idx="5">
                  <c:v>896</c:v>
                </c:pt>
                <c:pt idx="6">
                  <c:v>448</c:v>
                </c:pt>
                <c:pt idx="7">
                  <c:v>224</c:v>
                </c:pt>
                <c:pt idx="8">
                  <c:v>1792</c:v>
                </c:pt>
                <c:pt idx="9">
                  <c:v>896</c:v>
                </c:pt>
                <c:pt idx="10">
                  <c:v>448</c:v>
                </c:pt>
                <c:pt idx="11">
                  <c:v>224</c:v>
                </c:pt>
              </c:numCache>
            </c:numRef>
          </c:xVal>
          <c:yVal>
            <c:numRef>
              <c:f>'[3]callibration curves'!$E$122:$E$133</c:f>
              <c:numCache>
                <c:formatCode>General</c:formatCode>
                <c:ptCount val="12"/>
                <c:pt idx="0">
                  <c:v>1.7266666666666666</c:v>
                </c:pt>
                <c:pt idx="1">
                  <c:v>0.98250000000000004</c:v>
                </c:pt>
                <c:pt idx="2">
                  <c:v>0.52156666666666662</c:v>
                </c:pt>
                <c:pt idx="3">
                  <c:v>0.25623333333333331</c:v>
                </c:pt>
                <c:pt idx="4">
                  <c:v>1.8600666666666665</c:v>
                </c:pt>
                <c:pt idx="5">
                  <c:v>1.0793333333333333</c:v>
                </c:pt>
                <c:pt idx="6">
                  <c:v>0.57873333333333332</c:v>
                </c:pt>
                <c:pt idx="7">
                  <c:v>0.28583333333333333</c:v>
                </c:pt>
                <c:pt idx="8">
                  <c:v>1.8591333333333335</c:v>
                </c:pt>
                <c:pt idx="9">
                  <c:v>1.0722333333333334</c:v>
                </c:pt>
                <c:pt idx="10">
                  <c:v>0.52933333333333332</c:v>
                </c:pt>
                <c:pt idx="11">
                  <c:v>0.28776666666666667</c:v>
                </c:pt>
              </c:numCache>
            </c:numRef>
          </c:yVal>
          <c:smooth val="0"/>
        </c:ser>
        <c:ser>
          <c:idx val="4"/>
          <c:order val="4"/>
          <c:tx>
            <c:v>500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9050">
                <a:solidFill>
                  <a:srgbClr val="7030A0"/>
                </a:solidFill>
              </a:ln>
            </c:spPr>
            <c:trendlineType val="linear"/>
            <c:dispRSqr val="0"/>
            <c:dispEq val="0"/>
          </c:trendline>
          <c:xVal>
            <c:numRef>
              <c:f>('[3]callibration curves'!$D$143:$D$158,'[3]callibration curves'!$D$162:$D$170)</c:f>
              <c:numCache>
                <c:formatCode>General</c:formatCode>
                <c:ptCount val="25"/>
                <c:pt idx="0">
                  <c:v>1251.875</c:v>
                </c:pt>
                <c:pt idx="1">
                  <c:v>500.75</c:v>
                </c:pt>
                <c:pt idx="2">
                  <c:v>250.375</c:v>
                </c:pt>
                <c:pt idx="3">
                  <c:v>125.1875</c:v>
                </c:pt>
                <c:pt idx="6">
                  <c:v>1251.875</c:v>
                </c:pt>
                <c:pt idx="7">
                  <c:v>500.75</c:v>
                </c:pt>
                <c:pt idx="8">
                  <c:v>250.375</c:v>
                </c:pt>
                <c:pt idx="9">
                  <c:v>125.1875</c:v>
                </c:pt>
                <c:pt idx="12">
                  <c:v>1251.875</c:v>
                </c:pt>
                <c:pt idx="13">
                  <c:v>500.75</c:v>
                </c:pt>
                <c:pt idx="14">
                  <c:v>250.375</c:v>
                </c:pt>
                <c:pt idx="15">
                  <c:v>125.1875</c:v>
                </c:pt>
                <c:pt idx="16">
                  <c:v>206.5</c:v>
                </c:pt>
                <c:pt idx="17">
                  <c:v>103.25</c:v>
                </c:pt>
                <c:pt idx="18">
                  <c:v>51.625</c:v>
                </c:pt>
                <c:pt idx="19">
                  <c:v>206.5</c:v>
                </c:pt>
                <c:pt idx="20">
                  <c:v>103.25</c:v>
                </c:pt>
                <c:pt idx="21">
                  <c:v>51.625</c:v>
                </c:pt>
                <c:pt idx="22">
                  <c:v>206.5</c:v>
                </c:pt>
                <c:pt idx="23">
                  <c:v>103.25</c:v>
                </c:pt>
                <c:pt idx="24">
                  <c:v>51.625</c:v>
                </c:pt>
              </c:numCache>
            </c:numRef>
          </c:xVal>
          <c:yVal>
            <c:numRef>
              <c:f>('[3]callibration curves'!$E$143:$E$158,'[3]callibration curves'!$E$162:$E$170)</c:f>
              <c:numCache>
                <c:formatCode>General</c:formatCode>
                <c:ptCount val="25"/>
                <c:pt idx="0">
                  <c:v>1.3455333333333332</c:v>
                </c:pt>
                <c:pt idx="1">
                  <c:v>0.55100000000000005</c:v>
                </c:pt>
                <c:pt idx="2">
                  <c:v>0.3039</c:v>
                </c:pt>
                <c:pt idx="3">
                  <c:v>0.1597666666666667</c:v>
                </c:pt>
                <c:pt idx="6">
                  <c:v>1.3867666666666667</c:v>
                </c:pt>
                <c:pt idx="7">
                  <c:v>0.58753333333333335</c:v>
                </c:pt>
                <c:pt idx="8">
                  <c:v>0.33233333333333337</c:v>
                </c:pt>
                <c:pt idx="9">
                  <c:v>0.17633333333333331</c:v>
                </c:pt>
                <c:pt idx="12">
                  <c:v>1.4056</c:v>
                </c:pt>
                <c:pt idx="13">
                  <c:v>0.64743333333333331</c:v>
                </c:pt>
                <c:pt idx="14">
                  <c:v>0.33383333333333337</c:v>
                </c:pt>
                <c:pt idx="15">
                  <c:v>0.17083333333333336</c:v>
                </c:pt>
                <c:pt idx="16">
                  <c:v>0.13773333333333335</c:v>
                </c:pt>
                <c:pt idx="17">
                  <c:v>7.3599999999999999E-2</c:v>
                </c:pt>
                <c:pt idx="18">
                  <c:v>3.9566666666666674E-2</c:v>
                </c:pt>
                <c:pt idx="19">
                  <c:v>0.14383333333333334</c:v>
                </c:pt>
                <c:pt idx="20">
                  <c:v>7.7100000000000002E-2</c:v>
                </c:pt>
                <c:pt idx="21">
                  <c:v>3.5499999999999997E-2</c:v>
                </c:pt>
                <c:pt idx="22">
                  <c:v>0.14426666666666668</c:v>
                </c:pt>
                <c:pt idx="23">
                  <c:v>7.0800000000000002E-2</c:v>
                </c:pt>
                <c:pt idx="24">
                  <c:v>3.953333333333333E-2</c:v>
                </c:pt>
              </c:numCache>
            </c:numRef>
          </c:yVal>
          <c:smooth val="0"/>
        </c:ser>
        <c:ser>
          <c:idx val="5"/>
          <c:order val="5"/>
          <c:tx>
            <c:v>Butyrometer capacity</c:v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'[3]callibration curves'!$N$32:$N$33</c:f>
              <c:numCache>
                <c:formatCode>General</c:formatCode>
                <c:ptCount val="2"/>
                <c:pt idx="0">
                  <c:v>500</c:v>
                </c:pt>
                <c:pt idx="1">
                  <c:v>500</c:v>
                </c:pt>
              </c:numCache>
            </c:numRef>
          </c:xVal>
          <c:yVal>
            <c:numRef>
              <c:f>'[3]callibration curves'!$O$32:$O$33</c:f>
              <c:numCache>
                <c:formatCode>General</c:formatCode>
                <c:ptCount val="2"/>
                <c:pt idx="0">
                  <c:v>0</c:v>
                </c:pt>
                <c:pt idx="1">
                  <c:v>1.5</c:v>
                </c:pt>
              </c:numCache>
            </c:numRef>
          </c:yVal>
          <c:smooth val="0"/>
        </c:ser>
        <c:ser>
          <c:idx val="6"/>
          <c:order val="6"/>
          <c:tx>
            <c:v>SINK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ysClr val="windowText" lastClr="000000"/>
              </a:solidFill>
            </c:spPr>
          </c:marker>
          <c:dPt>
            <c:idx val="6"/>
            <c:marker>
              <c:spPr>
                <a:solidFill>
                  <a:srgbClr val="FF0000"/>
                </a:solidFill>
              </c:spPr>
            </c:marker>
            <c:bubble3D val="0"/>
          </c:dPt>
          <c:xVal>
            <c:numRef>
              <c:f>'OD CAL'!$L$3:$L$17</c:f>
              <c:numCache>
                <c:formatCode>0</c:formatCode>
                <c:ptCount val="15"/>
                <c:pt idx="0">
                  <c:v>337</c:v>
                </c:pt>
                <c:pt idx="2">
                  <c:v>155</c:v>
                </c:pt>
                <c:pt idx="4">
                  <c:v>193.68607219043011</c:v>
                </c:pt>
                <c:pt idx="6">
                  <c:v>538.47679141523884</c:v>
                </c:pt>
                <c:pt idx="8">
                  <c:v>123.78170564082023</c:v>
                </c:pt>
                <c:pt idx="10">
                  <c:v>453.87826274511417</c:v>
                </c:pt>
                <c:pt idx="12">
                  <c:v>439.62678936318827</c:v>
                </c:pt>
                <c:pt idx="14">
                  <c:v>232.7874503450027</c:v>
                </c:pt>
              </c:numCache>
            </c:numRef>
          </c:xVal>
          <c:yVal>
            <c:numRef>
              <c:f>'OD CAL'!$K$3:$K$17</c:f>
              <c:numCache>
                <c:formatCode>0.0000</c:formatCode>
                <c:ptCount val="15"/>
                <c:pt idx="0">
                  <c:v>0.54320000000000002</c:v>
                </c:pt>
                <c:pt idx="1">
                  <c:v>0.2727</c:v>
                </c:pt>
                <c:pt idx="2">
                  <c:v>0.2477</c:v>
                </c:pt>
                <c:pt idx="3">
                  <c:v>0.8619</c:v>
                </c:pt>
                <c:pt idx="4">
                  <c:v>0.43227777777777782</c:v>
                </c:pt>
                <c:pt idx="5">
                  <c:v>0.35747777777777778</c:v>
                </c:pt>
                <c:pt idx="6">
                  <c:v>0.50912222222222214</c:v>
                </c:pt>
                <c:pt idx="7">
                  <c:v>3.832222222222223E-2</c:v>
                </c:pt>
                <c:pt idx="8">
                  <c:v>0.2147222222222222</c:v>
                </c:pt>
                <c:pt idx="9">
                  <c:v>0.80488888888888899</c:v>
                </c:pt>
                <c:pt idx="10">
                  <c:v>0.5279666666666667</c:v>
                </c:pt>
                <c:pt idx="11">
                  <c:v>1.3280111111111113</c:v>
                </c:pt>
                <c:pt idx="12">
                  <c:v>0.62371111111111111</c:v>
                </c:pt>
                <c:pt idx="13">
                  <c:v>0.34707777777777782</c:v>
                </c:pt>
                <c:pt idx="14" formatCode="General">
                  <c:v>0.16047777777777777</c:v>
                </c:pt>
              </c:numCache>
            </c:numRef>
          </c:yVal>
          <c:smooth val="0"/>
        </c:ser>
        <c:ser>
          <c:idx val="7"/>
          <c:order val="7"/>
          <c:tx>
            <c:v>DW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'OD CAL'!$M$3:$M$19</c:f>
              <c:numCache>
                <c:formatCode>0</c:formatCode>
                <c:ptCount val="17"/>
                <c:pt idx="1">
                  <c:v>217</c:v>
                </c:pt>
                <c:pt idx="3">
                  <c:v>380</c:v>
                </c:pt>
                <c:pt idx="5">
                  <c:v>233.04861030686553</c:v>
                </c:pt>
                <c:pt idx="7">
                  <c:v>37.791805998480925</c:v>
                </c:pt>
                <c:pt idx="9">
                  <c:v>371.20823337130167</c:v>
                </c:pt>
                <c:pt idx="11">
                  <c:v>432.45618031081762</c:v>
                </c:pt>
                <c:pt idx="13">
                  <c:v>221.82882710793339</c:v>
                </c:pt>
                <c:pt idx="15">
                  <c:v>198.69345205122252</c:v>
                </c:pt>
                <c:pt idx="16">
                  <c:v>271.56945736134321</c:v>
                </c:pt>
              </c:numCache>
            </c:numRef>
          </c:xVal>
          <c:yVal>
            <c:numRef>
              <c:f>'OD CAL'!$K$3:$K$19</c:f>
              <c:numCache>
                <c:formatCode>0.0000</c:formatCode>
                <c:ptCount val="17"/>
                <c:pt idx="0">
                  <c:v>0.54320000000000002</c:v>
                </c:pt>
                <c:pt idx="1">
                  <c:v>0.2727</c:v>
                </c:pt>
                <c:pt idx="2">
                  <c:v>0.2477</c:v>
                </c:pt>
                <c:pt idx="3">
                  <c:v>0.8619</c:v>
                </c:pt>
                <c:pt idx="4">
                  <c:v>0.43227777777777782</c:v>
                </c:pt>
                <c:pt idx="5">
                  <c:v>0.35747777777777778</c:v>
                </c:pt>
                <c:pt idx="6">
                  <c:v>0.50912222222222214</c:v>
                </c:pt>
                <c:pt idx="7">
                  <c:v>3.832222222222223E-2</c:v>
                </c:pt>
                <c:pt idx="8">
                  <c:v>0.2147222222222222</c:v>
                </c:pt>
                <c:pt idx="9">
                  <c:v>0.80488888888888899</c:v>
                </c:pt>
                <c:pt idx="10">
                  <c:v>0.5279666666666667</c:v>
                </c:pt>
                <c:pt idx="11">
                  <c:v>1.3280111111111113</c:v>
                </c:pt>
                <c:pt idx="12">
                  <c:v>0.62371111111111111</c:v>
                </c:pt>
                <c:pt idx="13">
                  <c:v>0.34707777777777782</c:v>
                </c:pt>
                <c:pt idx="14" formatCode="General">
                  <c:v>0.16047777777777777</c:v>
                </c:pt>
                <c:pt idx="15" formatCode="General">
                  <c:v>0.28561111111111109</c:v>
                </c:pt>
                <c:pt idx="16" formatCode="General">
                  <c:v>0.46035555555555557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616344"/>
        <c:axId val="237616736"/>
      </c:scatterChart>
      <c:valAx>
        <c:axId val="237616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oil (mg/l)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37616736"/>
        <c:crosses val="autoZero"/>
        <c:crossBetween val="midCat"/>
      </c:valAx>
      <c:valAx>
        <c:axId val="237616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 660nm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crossAx val="237616344"/>
        <c:crosses val="autoZero"/>
        <c:crossBetween val="midCat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9050">
                <a:solidFill>
                  <a:srgbClr val="0070C0"/>
                </a:solidFill>
              </a:ln>
            </c:spPr>
            <c:trendlineType val="linear"/>
            <c:dispRSqr val="0"/>
            <c:dispEq val="0"/>
          </c:trendline>
          <c:xVal>
            <c:numRef>
              <c:f>[3]fri!$N$3:$N$27</c:f>
              <c:numCache>
                <c:formatCode>General</c:formatCode>
                <c:ptCount val="25"/>
                <c:pt idx="0">
                  <c:v>528</c:v>
                </c:pt>
                <c:pt idx="1">
                  <c:v>264</c:v>
                </c:pt>
                <c:pt idx="2">
                  <c:v>132</c:v>
                </c:pt>
                <c:pt idx="3">
                  <c:v>528</c:v>
                </c:pt>
                <c:pt idx="4">
                  <c:v>264</c:v>
                </c:pt>
                <c:pt idx="5">
                  <c:v>132</c:v>
                </c:pt>
                <c:pt idx="6">
                  <c:v>528</c:v>
                </c:pt>
                <c:pt idx="7">
                  <c:v>264</c:v>
                </c:pt>
                <c:pt idx="8">
                  <c:v>132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209</c:v>
                </c:pt>
                <c:pt idx="17">
                  <c:v>104.5</c:v>
                </c:pt>
                <c:pt idx="18">
                  <c:v>52.25</c:v>
                </c:pt>
                <c:pt idx="19">
                  <c:v>209</c:v>
                </c:pt>
                <c:pt idx="20">
                  <c:v>104.5</c:v>
                </c:pt>
                <c:pt idx="21">
                  <c:v>52.25</c:v>
                </c:pt>
                <c:pt idx="22">
                  <c:v>209</c:v>
                </c:pt>
                <c:pt idx="23">
                  <c:v>104.5</c:v>
                </c:pt>
                <c:pt idx="24">
                  <c:v>52.25</c:v>
                </c:pt>
              </c:numCache>
            </c:numRef>
          </c:xVal>
          <c:yVal>
            <c:numRef>
              <c:f>[3]fri!$O$3:$O$27</c:f>
              <c:numCache>
                <c:formatCode>General</c:formatCode>
                <c:ptCount val="25"/>
                <c:pt idx="0">
                  <c:v>1.3356333333333332</c:v>
                </c:pt>
                <c:pt idx="1">
                  <c:v>0.77083333333333337</c:v>
                </c:pt>
                <c:pt idx="2">
                  <c:v>0.43823333333333331</c:v>
                </c:pt>
                <c:pt idx="3">
                  <c:v>1.3362999999999998</c:v>
                </c:pt>
                <c:pt idx="4">
                  <c:v>0.7685333333333334</c:v>
                </c:pt>
                <c:pt idx="5">
                  <c:v>0.45133333333333336</c:v>
                </c:pt>
                <c:pt idx="6">
                  <c:v>1.3252333333333333</c:v>
                </c:pt>
                <c:pt idx="7">
                  <c:v>0.77539999999999998</c:v>
                </c:pt>
                <c:pt idx="8">
                  <c:v>0.43443333333333339</c:v>
                </c:pt>
                <c:pt idx="15">
                  <c:v>0</c:v>
                </c:pt>
                <c:pt idx="16">
                  <c:v>0.84940000000000004</c:v>
                </c:pt>
                <c:pt idx="17">
                  <c:v>0.44496666666666668</c:v>
                </c:pt>
                <c:pt idx="18">
                  <c:v>0.2311</c:v>
                </c:pt>
                <c:pt idx="19">
                  <c:v>0.84209999999999996</c:v>
                </c:pt>
                <c:pt idx="20">
                  <c:v>0.44366666666666665</c:v>
                </c:pt>
                <c:pt idx="21">
                  <c:v>0.23860000000000001</c:v>
                </c:pt>
                <c:pt idx="22">
                  <c:v>0.83599999999999997</c:v>
                </c:pt>
                <c:pt idx="23">
                  <c:v>0.44046666666666673</c:v>
                </c:pt>
                <c:pt idx="24">
                  <c:v>0.23476666666666668</c:v>
                </c:pt>
              </c:numCache>
            </c:numRef>
          </c:yVal>
          <c:smooth val="0"/>
        </c:ser>
        <c:ser>
          <c:idx val="1"/>
          <c:order val="1"/>
          <c:tx>
            <c:v>30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('[3]callibration curves'!$D$25:$D$33,'[3]callibration curves'!$H$2:$H$35)</c:f>
              <c:numCache>
                <c:formatCode>General</c:formatCode>
                <c:ptCount val="43"/>
                <c:pt idx="0">
                  <c:v>341.5</c:v>
                </c:pt>
                <c:pt idx="1">
                  <c:v>170.75</c:v>
                </c:pt>
                <c:pt idx="2">
                  <c:v>85.375</c:v>
                </c:pt>
                <c:pt idx="3">
                  <c:v>341.5</c:v>
                </c:pt>
                <c:pt idx="4">
                  <c:v>170.75</c:v>
                </c:pt>
                <c:pt idx="5">
                  <c:v>85.375</c:v>
                </c:pt>
                <c:pt idx="6">
                  <c:v>341.5</c:v>
                </c:pt>
                <c:pt idx="7">
                  <c:v>170.75</c:v>
                </c:pt>
                <c:pt idx="8">
                  <c:v>85.375</c:v>
                </c:pt>
                <c:pt idx="9">
                  <c:v>556</c:v>
                </c:pt>
                <c:pt idx="10">
                  <c:v>278</c:v>
                </c:pt>
                <c:pt idx="11">
                  <c:v>139</c:v>
                </c:pt>
                <c:pt idx="12">
                  <c:v>556</c:v>
                </c:pt>
                <c:pt idx="13">
                  <c:v>278</c:v>
                </c:pt>
                <c:pt idx="14">
                  <c:v>139</c:v>
                </c:pt>
                <c:pt idx="15">
                  <c:v>556</c:v>
                </c:pt>
                <c:pt idx="16">
                  <c:v>278</c:v>
                </c:pt>
                <c:pt idx="17">
                  <c:v>139</c:v>
                </c:pt>
                <c:pt idx="18">
                  <c:v>0</c:v>
                </c:pt>
                <c:pt idx="19">
                  <c:v>1020.5</c:v>
                </c:pt>
                <c:pt idx="20">
                  <c:v>510.25</c:v>
                </c:pt>
                <c:pt idx="21">
                  <c:v>255.125</c:v>
                </c:pt>
                <c:pt idx="22">
                  <c:v>127.5625</c:v>
                </c:pt>
                <c:pt idx="23">
                  <c:v>1020.5</c:v>
                </c:pt>
                <c:pt idx="24">
                  <c:v>510.25</c:v>
                </c:pt>
                <c:pt idx="25">
                  <c:v>255.125</c:v>
                </c:pt>
                <c:pt idx="26">
                  <c:v>127.5625</c:v>
                </c:pt>
                <c:pt idx="27">
                  <c:v>1020.5</c:v>
                </c:pt>
                <c:pt idx="28">
                  <c:v>510.25</c:v>
                </c:pt>
                <c:pt idx="29">
                  <c:v>255.125</c:v>
                </c:pt>
                <c:pt idx="30">
                  <c:v>127.5625</c:v>
                </c:pt>
                <c:pt idx="32">
                  <c:v>0</c:v>
                </c:pt>
                <c:pt idx="33">
                  <c:v>1079.75</c:v>
                </c:pt>
                <c:pt idx="34">
                  <c:v>539.875</c:v>
                </c:pt>
                <c:pt idx="35">
                  <c:v>134.96875</c:v>
                </c:pt>
                <c:pt idx="36">
                  <c:v>67.484375</c:v>
                </c:pt>
                <c:pt idx="37">
                  <c:v>539.875</c:v>
                </c:pt>
                <c:pt idx="38">
                  <c:v>134.96875</c:v>
                </c:pt>
                <c:pt idx="39">
                  <c:v>67.484375</c:v>
                </c:pt>
                <c:pt idx="40">
                  <c:v>539.875</c:v>
                </c:pt>
                <c:pt idx="41">
                  <c:v>134.96875</c:v>
                </c:pt>
                <c:pt idx="42">
                  <c:v>67.484375</c:v>
                </c:pt>
              </c:numCache>
            </c:numRef>
          </c:xVal>
          <c:yVal>
            <c:numRef>
              <c:f>('[3]callibration curves'!$E$25:$E$33,'[3]callibration curves'!$I$2:$I$35)</c:f>
              <c:numCache>
                <c:formatCode>General</c:formatCode>
                <c:ptCount val="43"/>
                <c:pt idx="0">
                  <c:v>0.36166666666666664</c:v>
                </c:pt>
                <c:pt idx="1">
                  <c:v>0.17390000000000003</c:v>
                </c:pt>
                <c:pt idx="2">
                  <c:v>7.6633333333333331E-2</c:v>
                </c:pt>
                <c:pt idx="3">
                  <c:v>0.34359999999999996</c:v>
                </c:pt>
                <c:pt idx="4">
                  <c:v>0.1671</c:v>
                </c:pt>
                <c:pt idx="5">
                  <c:v>6.9900000000000004E-2</c:v>
                </c:pt>
                <c:pt idx="6">
                  <c:v>0.37836666666666668</c:v>
                </c:pt>
                <c:pt idx="7">
                  <c:v>0.19276666666666667</c:v>
                </c:pt>
                <c:pt idx="8">
                  <c:v>9.9466666666666662E-2</c:v>
                </c:pt>
                <c:pt idx="9">
                  <c:v>0.88096666666666668</c:v>
                </c:pt>
                <c:pt idx="10">
                  <c:v>0.45853333333333329</c:v>
                </c:pt>
                <c:pt idx="11">
                  <c:v>0.23756666666666668</c:v>
                </c:pt>
                <c:pt idx="12">
                  <c:v>0.78969999999999996</c:v>
                </c:pt>
                <c:pt idx="13">
                  <c:v>0.40889999999999999</c:v>
                </c:pt>
                <c:pt idx="14">
                  <c:v>0.20463333333333333</c:v>
                </c:pt>
                <c:pt idx="15">
                  <c:v>0.71803333333333341</c:v>
                </c:pt>
                <c:pt idx="16">
                  <c:v>0.36323333333333335</c:v>
                </c:pt>
                <c:pt idx="17">
                  <c:v>0.18353333333333333</c:v>
                </c:pt>
                <c:pt idx="18">
                  <c:v>0</c:v>
                </c:pt>
                <c:pt idx="19">
                  <c:v>1.7901999999999998</c:v>
                </c:pt>
                <c:pt idx="20">
                  <c:v>1.0900999999999998</c:v>
                </c:pt>
                <c:pt idx="21">
                  <c:v>0.58920000000000006</c:v>
                </c:pt>
                <c:pt idx="22">
                  <c:v>0.30193333333333333</c:v>
                </c:pt>
                <c:pt idx="23">
                  <c:v>1.7083666666666666</c:v>
                </c:pt>
                <c:pt idx="24">
                  <c:v>1.0124333333333333</c:v>
                </c:pt>
                <c:pt idx="25">
                  <c:v>0.5449666666666666</c:v>
                </c:pt>
                <c:pt idx="26">
                  <c:v>0.25866666666666666</c:v>
                </c:pt>
                <c:pt idx="27">
                  <c:v>1.6171</c:v>
                </c:pt>
                <c:pt idx="28">
                  <c:v>0.93520000000000003</c:v>
                </c:pt>
                <c:pt idx="29">
                  <c:v>0.49086666666666662</c:v>
                </c:pt>
                <c:pt idx="30">
                  <c:v>0.24566666666666667</c:v>
                </c:pt>
                <c:pt idx="32">
                  <c:v>0</c:v>
                </c:pt>
                <c:pt idx="33">
                  <c:v>1.9745666666666664</c:v>
                </c:pt>
                <c:pt idx="34">
                  <c:v>1.4589333333333332</c:v>
                </c:pt>
                <c:pt idx="35">
                  <c:v>0.42313333333333336</c:v>
                </c:pt>
                <c:pt idx="36">
                  <c:v>0.20309999999999997</c:v>
                </c:pt>
                <c:pt idx="37">
                  <c:v>1.3325666666666665</c:v>
                </c:pt>
                <c:pt idx="38">
                  <c:v>0.36726666666666663</c:v>
                </c:pt>
                <c:pt idx="39">
                  <c:v>0.16243333333333335</c:v>
                </c:pt>
                <c:pt idx="40">
                  <c:v>1.2579666666666667</c:v>
                </c:pt>
                <c:pt idx="41">
                  <c:v>0.33370000000000005</c:v>
                </c:pt>
                <c:pt idx="42">
                  <c:v>0.16273333333333331</c:v>
                </c:pt>
              </c:numCache>
            </c:numRef>
          </c:yVal>
          <c:smooth val="0"/>
        </c:ser>
        <c:ser>
          <c:idx val="2"/>
          <c:order val="2"/>
          <c:tx>
            <c:v>100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9050">
                <a:solidFill>
                  <a:srgbClr val="92D050"/>
                </a:solidFill>
              </a:ln>
            </c:spPr>
            <c:trendlineType val="linear"/>
            <c:dispRSqr val="0"/>
            <c:dispEq val="0"/>
          </c:trendline>
          <c:xVal>
            <c:numRef>
              <c:f>('[3]callibration curves'!$D$52:$D$60,'[3]callibration curves'!$D$73:$D$78)</c:f>
              <c:numCache>
                <c:formatCode>General</c:formatCode>
                <c:ptCount val="15"/>
                <c:pt idx="0">
                  <c:v>242</c:v>
                </c:pt>
                <c:pt idx="1">
                  <c:v>121</c:v>
                </c:pt>
                <c:pt idx="2">
                  <c:v>60.5</c:v>
                </c:pt>
                <c:pt idx="3">
                  <c:v>242</c:v>
                </c:pt>
                <c:pt idx="4">
                  <c:v>121</c:v>
                </c:pt>
                <c:pt idx="5">
                  <c:v>60.5</c:v>
                </c:pt>
                <c:pt idx="6">
                  <c:v>242</c:v>
                </c:pt>
                <c:pt idx="7">
                  <c:v>121</c:v>
                </c:pt>
                <c:pt idx="8">
                  <c:v>60.5</c:v>
                </c:pt>
                <c:pt idx="9">
                  <c:v>1043.5</c:v>
                </c:pt>
                <c:pt idx="10">
                  <c:v>521.75</c:v>
                </c:pt>
                <c:pt idx="11">
                  <c:v>260.875</c:v>
                </c:pt>
                <c:pt idx="12">
                  <c:v>1043.5</c:v>
                </c:pt>
                <c:pt idx="13">
                  <c:v>521.75</c:v>
                </c:pt>
                <c:pt idx="14">
                  <c:v>260.875</c:v>
                </c:pt>
              </c:numCache>
            </c:numRef>
          </c:xVal>
          <c:yVal>
            <c:numRef>
              <c:f>('[3]callibration curves'!$E$52:$E$60,'[3]callibration curves'!$E$73:$E$78)</c:f>
              <c:numCache>
                <c:formatCode>General</c:formatCode>
                <c:ptCount val="15"/>
                <c:pt idx="0">
                  <c:v>0.16756666666666667</c:v>
                </c:pt>
                <c:pt idx="1">
                  <c:v>8.666666666666667E-2</c:v>
                </c:pt>
                <c:pt idx="2">
                  <c:v>4.4233333333333326E-2</c:v>
                </c:pt>
                <c:pt idx="3">
                  <c:v>0.16453333333333334</c:v>
                </c:pt>
                <c:pt idx="4">
                  <c:v>8.1833333333333327E-2</c:v>
                </c:pt>
                <c:pt idx="5">
                  <c:v>4.3533333333333334E-2</c:v>
                </c:pt>
                <c:pt idx="6">
                  <c:v>0.15966666666666665</c:v>
                </c:pt>
                <c:pt idx="7">
                  <c:v>8.2066666666666663E-2</c:v>
                </c:pt>
                <c:pt idx="8">
                  <c:v>4.6699999999999998E-2</c:v>
                </c:pt>
                <c:pt idx="9">
                  <c:v>1.3809666666666667</c:v>
                </c:pt>
                <c:pt idx="10">
                  <c:v>0.75509999999999999</c:v>
                </c:pt>
                <c:pt idx="11">
                  <c:v>0.39966666666666667</c:v>
                </c:pt>
                <c:pt idx="12">
                  <c:v>1.3808999999999998</c:v>
                </c:pt>
                <c:pt idx="13">
                  <c:v>0.77139999999999997</c:v>
                </c:pt>
                <c:pt idx="14">
                  <c:v>0.40460000000000002</c:v>
                </c:pt>
              </c:numCache>
            </c:numRef>
          </c:yVal>
          <c:smooth val="0"/>
        </c:ser>
        <c:ser>
          <c:idx val="3"/>
          <c:order val="3"/>
          <c:tx>
            <c:v>200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9050">
                <a:solidFill>
                  <a:srgbClr val="FFC000"/>
                </a:solidFill>
              </a:ln>
            </c:spPr>
            <c:trendlineType val="linear"/>
            <c:dispRSqr val="0"/>
            <c:dispEq val="0"/>
          </c:trendline>
          <c:xVal>
            <c:numRef>
              <c:f>'[3]callibration curves'!$D$122:$D$133</c:f>
              <c:numCache>
                <c:formatCode>General</c:formatCode>
                <c:ptCount val="12"/>
                <c:pt idx="0">
                  <c:v>1792</c:v>
                </c:pt>
                <c:pt idx="1">
                  <c:v>896</c:v>
                </c:pt>
                <c:pt idx="2">
                  <c:v>448</c:v>
                </c:pt>
                <c:pt idx="3">
                  <c:v>224</c:v>
                </c:pt>
                <c:pt idx="4">
                  <c:v>1792</c:v>
                </c:pt>
                <c:pt idx="5">
                  <c:v>896</c:v>
                </c:pt>
                <c:pt idx="6">
                  <c:v>448</c:v>
                </c:pt>
                <c:pt idx="7">
                  <c:v>224</c:v>
                </c:pt>
                <c:pt idx="8">
                  <c:v>1792</c:v>
                </c:pt>
                <c:pt idx="9">
                  <c:v>896</c:v>
                </c:pt>
                <c:pt idx="10">
                  <c:v>448</c:v>
                </c:pt>
                <c:pt idx="11">
                  <c:v>224</c:v>
                </c:pt>
              </c:numCache>
            </c:numRef>
          </c:xVal>
          <c:yVal>
            <c:numRef>
              <c:f>'[3]callibration curves'!$E$122:$E$133</c:f>
              <c:numCache>
                <c:formatCode>General</c:formatCode>
                <c:ptCount val="12"/>
                <c:pt idx="0">
                  <c:v>1.7266666666666666</c:v>
                </c:pt>
                <c:pt idx="1">
                  <c:v>0.98250000000000004</c:v>
                </c:pt>
                <c:pt idx="2">
                  <c:v>0.52156666666666662</c:v>
                </c:pt>
                <c:pt idx="3">
                  <c:v>0.25623333333333331</c:v>
                </c:pt>
                <c:pt idx="4">
                  <c:v>1.8600666666666665</c:v>
                </c:pt>
                <c:pt idx="5">
                  <c:v>1.0793333333333333</c:v>
                </c:pt>
                <c:pt idx="6">
                  <c:v>0.57873333333333332</c:v>
                </c:pt>
                <c:pt idx="7">
                  <c:v>0.28583333333333333</c:v>
                </c:pt>
                <c:pt idx="8">
                  <c:v>1.8591333333333335</c:v>
                </c:pt>
                <c:pt idx="9">
                  <c:v>1.0722333333333334</c:v>
                </c:pt>
                <c:pt idx="10">
                  <c:v>0.52933333333333332</c:v>
                </c:pt>
                <c:pt idx="11">
                  <c:v>0.28776666666666667</c:v>
                </c:pt>
              </c:numCache>
            </c:numRef>
          </c:yVal>
          <c:smooth val="0"/>
        </c:ser>
        <c:ser>
          <c:idx val="4"/>
          <c:order val="4"/>
          <c:tx>
            <c:v>500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9050">
                <a:solidFill>
                  <a:srgbClr val="7030A0"/>
                </a:solidFill>
              </a:ln>
            </c:spPr>
            <c:trendlineType val="linear"/>
            <c:dispRSqr val="0"/>
            <c:dispEq val="0"/>
          </c:trendline>
          <c:xVal>
            <c:numRef>
              <c:f>('[3]callibration curves'!$D$143:$D$158,'[3]callibration curves'!$D$162:$D$170)</c:f>
              <c:numCache>
                <c:formatCode>General</c:formatCode>
                <c:ptCount val="25"/>
                <c:pt idx="0">
                  <c:v>1251.875</c:v>
                </c:pt>
                <c:pt idx="1">
                  <c:v>500.75</c:v>
                </c:pt>
                <c:pt idx="2">
                  <c:v>250.375</c:v>
                </c:pt>
                <c:pt idx="3">
                  <c:v>125.1875</c:v>
                </c:pt>
                <c:pt idx="6">
                  <c:v>1251.875</c:v>
                </c:pt>
                <c:pt idx="7">
                  <c:v>500.75</c:v>
                </c:pt>
                <c:pt idx="8">
                  <c:v>250.375</c:v>
                </c:pt>
                <c:pt idx="9">
                  <c:v>125.1875</c:v>
                </c:pt>
                <c:pt idx="12">
                  <c:v>1251.875</c:v>
                </c:pt>
                <c:pt idx="13">
                  <c:v>500.75</c:v>
                </c:pt>
                <c:pt idx="14">
                  <c:v>250.375</c:v>
                </c:pt>
                <c:pt idx="15">
                  <c:v>125.1875</c:v>
                </c:pt>
                <c:pt idx="16">
                  <c:v>206.5</c:v>
                </c:pt>
                <c:pt idx="17">
                  <c:v>103.25</c:v>
                </c:pt>
                <c:pt idx="18">
                  <c:v>51.625</c:v>
                </c:pt>
                <c:pt idx="19">
                  <c:v>206.5</c:v>
                </c:pt>
                <c:pt idx="20">
                  <c:v>103.25</c:v>
                </c:pt>
                <c:pt idx="21">
                  <c:v>51.625</c:v>
                </c:pt>
                <c:pt idx="22">
                  <c:v>206.5</c:v>
                </c:pt>
                <c:pt idx="23">
                  <c:v>103.25</c:v>
                </c:pt>
                <c:pt idx="24">
                  <c:v>51.625</c:v>
                </c:pt>
              </c:numCache>
            </c:numRef>
          </c:xVal>
          <c:yVal>
            <c:numRef>
              <c:f>('[3]callibration curves'!$E$143:$E$158,'[3]callibration curves'!$E$162:$E$170)</c:f>
              <c:numCache>
                <c:formatCode>General</c:formatCode>
                <c:ptCount val="25"/>
                <c:pt idx="0">
                  <c:v>1.3455333333333332</c:v>
                </c:pt>
                <c:pt idx="1">
                  <c:v>0.55100000000000005</c:v>
                </c:pt>
                <c:pt idx="2">
                  <c:v>0.3039</c:v>
                </c:pt>
                <c:pt idx="3">
                  <c:v>0.1597666666666667</c:v>
                </c:pt>
                <c:pt idx="6">
                  <c:v>1.3867666666666667</c:v>
                </c:pt>
                <c:pt idx="7">
                  <c:v>0.58753333333333335</c:v>
                </c:pt>
                <c:pt idx="8">
                  <c:v>0.33233333333333337</c:v>
                </c:pt>
                <c:pt idx="9">
                  <c:v>0.17633333333333331</c:v>
                </c:pt>
                <c:pt idx="12">
                  <c:v>1.4056</c:v>
                </c:pt>
                <c:pt idx="13">
                  <c:v>0.64743333333333331</c:v>
                </c:pt>
                <c:pt idx="14">
                  <c:v>0.33383333333333337</c:v>
                </c:pt>
                <c:pt idx="15">
                  <c:v>0.17083333333333336</c:v>
                </c:pt>
                <c:pt idx="16">
                  <c:v>0.13773333333333335</c:v>
                </c:pt>
                <c:pt idx="17">
                  <c:v>7.3599999999999999E-2</c:v>
                </c:pt>
                <c:pt idx="18">
                  <c:v>3.9566666666666674E-2</c:v>
                </c:pt>
                <c:pt idx="19">
                  <c:v>0.14383333333333334</c:v>
                </c:pt>
                <c:pt idx="20">
                  <c:v>7.7100000000000002E-2</c:v>
                </c:pt>
                <c:pt idx="21">
                  <c:v>3.5499999999999997E-2</c:v>
                </c:pt>
                <c:pt idx="22">
                  <c:v>0.14426666666666668</c:v>
                </c:pt>
                <c:pt idx="23">
                  <c:v>7.0800000000000002E-2</c:v>
                </c:pt>
                <c:pt idx="24">
                  <c:v>3.953333333333333E-2</c:v>
                </c:pt>
              </c:numCache>
            </c:numRef>
          </c:yVal>
          <c:smooth val="0"/>
        </c:ser>
        <c:ser>
          <c:idx val="6"/>
          <c:order val="5"/>
          <c:tx>
            <c:v>SINK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ysClr val="windowText" lastClr="000000"/>
              </a:solidFill>
            </c:spPr>
          </c:marker>
          <c:dPt>
            <c:idx val="6"/>
            <c:marker>
              <c:spPr>
                <a:solidFill>
                  <a:srgbClr val="FF0000"/>
                </a:solidFill>
              </c:spPr>
            </c:marker>
            <c:bubble3D val="0"/>
          </c:dPt>
          <c:xVal>
            <c:numRef>
              <c:f>'OD CAL'!$L$3:$L$23</c:f>
              <c:numCache>
                <c:formatCode>0</c:formatCode>
                <c:ptCount val="21"/>
                <c:pt idx="0">
                  <c:v>337</c:v>
                </c:pt>
                <c:pt idx="2">
                  <c:v>155</c:v>
                </c:pt>
                <c:pt idx="4">
                  <c:v>193.68607219043011</c:v>
                </c:pt>
                <c:pt idx="6">
                  <c:v>538.47679141523884</c:v>
                </c:pt>
                <c:pt idx="8">
                  <c:v>123.78170564082023</c:v>
                </c:pt>
                <c:pt idx="10">
                  <c:v>453.87826274511417</c:v>
                </c:pt>
                <c:pt idx="12">
                  <c:v>439.62678936318827</c:v>
                </c:pt>
                <c:pt idx="14">
                  <c:v>232.7874503450027</c:v>
                </c:pt>
                <c:pt idx="19" formatCode="General">
                  <c:v>1490.1</c:v>
                </c:pt>
                <c:pt idx="20" formatCode="General">
                  <c:v>1556.2</c:v>
                </c:pt>
              </c:numCache>
            </c:numRef>
          </c:xVal>
          <c:yVal>
            <c:numRef>
              <c:f>'OD CAL'!$K$3:$K$23</c:f>
              <c:numCache>
                <c:formatCode>0.0000</c:formatCode>
                <c:ptCount val="21"/>
                <c:pt idx="0">
                  <c:v>0.54320000000000002</c:v>
                </c:pt>
                <c:pt idx="1">
                  <c:v>0.2727</c:v>
                </c:pt>
                <c:pt idx="2">
                  <c:v>0.2477</c:v>
                </c:pt>
                <c:pt idx="3">
                  <c:v>0.8619</c:v>
                </c:pt>
                <c:pt idx="4">
                  <c:v>0.43227777777777782</c:v>
                </c:pt>
                <c:pt idx="5">
                  <c:v>0.35747777777777778</c:v>
                </c:pt>
                <c:pt idx="6">
                  <c:v>0.50912222222222214</c:v>
                </c:pt>
                <c:pt idx="7">
                  <c:v>3.832222222222223E-2</c:v>
                </c:pt>
                <c:pt idx="8">
                  <c:v>0.2147222222222222</c:v>
                </c:pt>
                <c:pt idx="9">
                  <c:v>0.80488888888888899</c:v>
                </c:pt>
                <c:pt idx="10">
                  <c:v>0.5279666666666667</c:v>
                </c:pt>
                <c:pt idx="11">
                  <c:v>1.3280111111111113</c:v>
                </c:pt>
                <c:pt idx="12">
                  <c:v>0.62371111111111111</c:v>
                </c:pt>
                <c:pt idx="13">
                  <c:v>0.34707777777777782</c:v>
                </c:pt>
                <c:pt idx="14" formatCode="General">
                  <c:v>0.16047777777777777</c:v>
                </c:pt>
                <c:pt idx="15" formatCode="General">
                  <c:v>0.28561111111111109</c:v>
                </c:pt>
                <c:pt idx="16" formatCode="General">
                  <c:v>0.46035555555555557</c:v>
                </c:pt>
                <c:pt idx="19" formatCode="General">
                  <c:v>1.407</c:v>
                </c:pt>
                <c:pt idx="20" formatCode="General">
                  <c:v>1.4790000000000001</c:v>
                </c:pt>
              </c:numCache>
            </c:numRef>
          </c:yVal>
          <c:smooth val="0"/>
        </c:ser>
        <c:ser>
          <c:idx val="8"/>
          <c:order val="6"/>
          <c:tx>
            <c:v>Butyrometer capacity 100ml</c:v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xVal>
            <c:numRef>
              <c:f>'OD CAL'!$W$14:$W$15</c:f>
              <c:numCache>
                <c:formatCode>General</c:formatCode>
                <c:ptCount val="2"/>
                <c:pt idx="0">
                  <c:v>1000</c:v>
                </c:pt>
                <c:pt idx="1">
                  <c:v>1000</c:v>
                </c:pt>
              </c:numCache>
            </c:numRef>
          </c:xVal>
          <c:yVal>
            <c:numRef>
              <c:f>'OD CAL'!$X$14:$X$15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617520"/>
        <c:axId val="237617912"/>
      </c:scatterChart>
      <c:valAx>
        <c:axId val="23761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oil (mg/l)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37617912"/>
        <c:crosses val="autoZero"/>
        <c:crossBetween val="midCat"/>
      </c:valAx>
      <c:valAx>
        <c:axId val="2376179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 660nm</a:t>
                </a:r>
              </a:p>
            </c:rich>
          </c:tx>
          <c:layout>
            <c:manualLayout>
              <c:xMode val="edge"/>
              <c:yMode val="edge"/>
              <c:x val="1.1499325523812387E-2"/>
              <c:y val="0.4221539062839989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crossAx val="237617520"/>
        <c:crosses val="autoZero"/>
        <c:crossBetween val="midCat"/>
        <c:majorUnit val="0.5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9050">
                <a:solidFill>
                  <a:srgbClr val="0070C0"/>
                </a:solidFill>
              </a:ln>
            </c:spPr>
            <c:trendlineType val="linear"/>
            <c:dispRSqr val="0"/>
            <c:dispEq val="0"/>
          </c:trendline>
          <c:xVal>
            <c:numRef>
              <c:f>[3]fri!$N$3:$N$27</c:f>
              <c:numCache>
                <c:formatCode>General</c:formatCode>
                <c:ptCount val="25"/>
                <c:pt idx="0">
                  <c:v>528</c:v>
                </c:pt>
                <c:pt idx="1">
                  <c:v>264</c:v>
                </c:pt>
                <c:pt idx="2">
                  <c:v>132</c:v>
                </c:pt>
                <c:pt idx="3">
                  <c:v>528</c:v>
                </c:pt>
                <c:pt idx="4">
                  <c:v>264</c:v>
                </c:pt>
                <c:pt idx="5">
                  <c:v>132</c:v>
                </c:pt>
                <c:pt idx="6">
                  <c:v>528</c:v>
                </c:pt>
                <c:pt idx="7">
                  <c:v>264</c:v>
                </c:pt>
                <c:pt idx="8">
                  <c:v>132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209</c:v>
                </c:pt>
                <c:pt idx="17">
                  <c:v>104.5</c:v>
                </c:pt>
                <c:pt idx="18">
                  <c:v>52.25</c:v>
                </c:pt>
                <c:pt idx="19">
                  <c:v>209</c:v>
                </c:pt>
                <c:pt idx="20">
                  <c:v>104.5</c:v>
                </c:pt>
                <c:pt idx="21">
                  <c:v>52.25</c:v>
                </c:pt>
                <c:pt idx="22">
                  <c:v>209</c:v>
                </c:pt>
                <c:pt idx="23">
                  <c:v>104.5</c:v>
                </c:pt>
                <c:pt idx="24">
                  <c:v>52.25</c:v>
                </c:pt>
              </c:numCache>
            </c:numRef>
          </c:xVal>
          <c:yVal>
            <c:numRef>
              <c:f>[3]fri!$O$3:$O$27</c:f>
              <c:numCache>
                <c:formatCode>General</c:formatCode>
                <c:ptCount val="25"/>
                <c:pt idx="0">
                  <c:v>1.3356333333333332</c:v>
                </c:pt>
                <c:pt idx="1">
                  <c:v>0.77083333333333337</c:v>
                </c:pt>
                <c:pt idx="2">
                  <c:v>0.43823333333333331</c:v>
                </c:pt>
                <c:pt idx="3">
                  <c:v>1.3362999999999998</c:v>
                </c:pt>
                <c:pt idx="4">
                  <c:v>0.7685333333333334</c:v>
                </c:pt>
                <c:pt idx="5">
                  <c:v>0.45133333333333336</c:v>
                </c:pt>
                <c:pt idx="6">
                  <c:v>1.3252333333333333</c:v>
                </c:pt>
                <c:pt idx="7">
                  <c:v>0.77539999999999998</c:v>
                </c:pt>
                <c:pt idx="8">
                  <c:v>0.43443333333333339</c:v>
                </c:pt>
                <c:pt idx="15">
                  <c:v>0</c:v>
                </c:pt>
                <c:pt idx="16">
                  <c:v>0.84940000000000004</c:v>
                </c:pt>
                <c:pt idx="17">
                  <c:v>0.44496666666666668</c:v>
                </c:pt>
                <c:pt idx="18">
                  <c:v>0.2311</c:v>
                </c:pt>
                <c:pt idx="19">
                  <c:v>0.84209999999999996</c:v>
                </c:pt>
                <c:pt idx="20">
                  <c:v>0.44366666666666665</c:v>
                </c:pt>
                <c:pt idx="21">
                  <c:v>0.23860000000000001</c:v>
                </c:pt>
                <c:pt idx="22">
                  <c:v>0.83599999999999997</c:v>
                </c:pt>
                <c:pt idx="23">
                  <c:v>0.44046666666666673</c:v>
                </c:pt>
                <c:pt idx="24">
                  <c:v>0.23476666666666668</c:v>
                </c:pt>
              </c:numCache>
            </c:numRef>
          </c:yVal>
          <c:smooth val="0"/>
        </c:ser>
        <c:ser>
          <c:idx val="1"/>
          <c:order val="1"/>
          <c:tx>
            <c:v>30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('[3]callibration curves'!$D$25:$D$33,'[3]callibration curves'!$H$2:$H$35)</c:f>
              <c:numCache>
                <c:formatCode>General</c:formatCode>
                <c:ptCount val="43"/>
                <c:pt idx="0">
                  <c:v>341.5</c:v>
                </c:pt>
                <c:pt idx="1">
                  <c:v>170.75</c:v>
                </c:pt>
                <c:pt idx="2">
                  <c:v>85.375</c:v>
                </c:pt>
                <c:pt idx="3">
                  <c:v>341.5</c:v>
                </c:pt>
                <c:pt idx="4">
                  <c:v>170.75</c:v>
                </c:pt>
                <c:pt idx="5">
                  <c:v>85.375</c:v>
                </c:pt>
                <c:pt idx="6">
                  <c:v>341.5</c:v>
                </c:pt>
                <c:pt idx="7">
                  <c:v>170.75</c:v>
                </c:pt>
                <c:pt idx="8">
                  <c:v>85.375</c:v>
                </c:pt>
                <c:pt idx="9">
                  <c:v>556</c:v>
                </c:pt>
                <c:pt idx="10">
                  <c:v>278</c:v>
                </c:pt>
                <c:pt idx="11">
                  <c:v>139</c:v>
                </c:pt>
                <c:pt idx="12">
                  <c:v>556</c:v>
                </c:pt>
                <c:pt idx="13">
                  <c:v>278</c:v>
                </c:pt>
                <c:pt idx="14">
                  <c:v>139</c:v>
                </c:pt>
                <c:pt idx="15">
                  <c:v>556</c:v>
                </c:pt>
                <c:pt idx="16">
                  <c:v>278</c:v>
                </c:pt>
                <c:pt idx="17">
                  <c:v>139</c:v>
                </c:pt>
                <c:pt idx="18">
                  <c:v>0</c:v>
                </c:pt>
                <c:pt idx="19">
                  <c:v>1020.5</c:v>
                </c:pt>
                <c:pt idx="20">
                  <c:v>510.25</c:v>
                </c:pt>
                <c:pt idx="21">
                  <c:v>255.125</c:v>
                </c:pt>
                <c:pt idx="22">
                  <c:v>127.5625</c:v>
                </c:pt>
                <c:pt idx="23">
                  <c:v>1020.5</c:v>
                </c:pt>
                <c:pt idx="24">
                  <c:v>510.25</c:v>
                </c:pt>
                <c:pt idx="25">
                  <c:v>255.125</c:v>
                </c:pt>
                <c:pt idx="26">
                  <c:v>127.5625</c:v>
                </c:pt>
                <c:pt idx="27">
                  <c:v>1020.5</c:v>
                </c:pt>
                <c:pt idx="28">
                  <c:v>510.25</c:v>
                </c:pt>
                <c:pt idx="29">
                  <c:v>255.125</c:v>
                </c:pt>
                <c:pt idx="30">
                  <c:v>127.5625</c:v>
                </c:pt>
                <c:pt idx="32">
                  <c:v>0</c:v>
                </c:pt>
                <c:pt idx="33">
                  <c:v>1079.75</c:v>
                </c:pt>
                <c:pt idx="34">
                  <c:v>539.875</c:v>
                </c:pt>
                <c:pt idx="35">
                  <c:v>134.96875</c:v>
                </c:pt>
                <c:pt idx="36">
                  <c:v>67.484375</c:v>
                </c:pt>
                <c:pt idx="37">
                  <c:v>539.875</c:v>
                </c:pt>
                <c:pt idx="38">
                  <c:v>134.96875</c:v>
                </c:pt>
                <c:pt idx="39">
                  <c:v>67.484375</c:v>
                </c:pt>
                <c:pt idx="40">
                  <c:v>539.875</c:v>
                </c:pt>
                <c:pt idx="41">
                  <c:v>134.96875</c:v>
                </c:pt>
                <c:pt idx="42">
                  <c:v>67.484375</c:v>
                </c:pt>
              </c:numCache>
            </c:numRef>
          </c:xVal>
          <c:yVal>
            <c:numRef>
              <c:f>('[3]callibration curves'!$E$25:$E$33,'[3]callibration curves'!$I$2:$I$35)</c:f>
              <c:numCache>
                <c:formatCode>General</c:formatCode>
                <c:ptCount val="43"/>
                <c:pt idx="0">
                  <c:v>0.36166666666666664</c:v>
                </c:pt>
                <c:pt idx="1">
                  <c:v>0.17390000000000003</c:v>
                </c:pt>
                <c:pt idx="2">
                  <c:v>7.6633333333333331E-2</c:v>
                </c:pt>
                <c:pt idx="3">
                  <c:v>0.34359999999999996</c:v>
                </c:pt>
                <c:pt idx="4">
                  <c:v>0.1671</c:v>
                </c:pt>
                <c:pt idx="5">
                  <c:v>6.9900000000000004E-2</c:v>
                </c:pt>
                <c:pt idx="6">
                  <c:v>0.37836666666666668</c:v>
                </c:pt>
                <c:pt idx="7">
                  <c:v>0.19276666666666667</c:v>
                </c:pt>
                <c:pt idx="8">
                  <c:v>9.9466666666666662E-2</c:v>
                </c:pt>
                <c:pt idx="9">
                  <c:v>0.88096666666666668</c:v>
                </c:pt>
                <c:pt idx="10">
                  <c:v>0.45853333333333329</c:v>
                </c:pt>
                <c:pt idx="11">
                  <c:v>0.23756666666666668</c:v>
                </c:pt>
                <c:pt idx="12">
                  <c:v>0.78969999999999996</c:v>
                </c:pt>
                <c:pt idx="13">
                  <c:v>0.40889999999999999</c:v>
                </c:pt>
                <c:pt idx="14">
                  <c:v>0.20463333333333333</c:v>
                </c:pt>
                <c:pt idx="15">
                  <c:v>0.71803333333333341</c:v>
                </c:pt>
                <c:pt idx="16">
                  <c:v>0.36323333333333335</c:v>
                </c:pt>
                <c:pt idx="17">
                  <c:v>0.18353333333333333</c:v>
                </c:pt>
                <c:pt idx="18">
                  <c:v>0</c:v>
                </c:pt>
                <c:pt idx="19">
                  <c:v>1.7901999999999998</c:v>
                </c:pt>
                <c:pt idx="20">
                  <c:v>1.0900999999999998</c:v>
                </c:pt>
                <c:pt idx="21">
                  <c:v>0.58920000000000006</c:v>
                </c:pt>
                <c:pt idx="22">
                  <c:v>0.30193333333333333</c:v>
                </c:pt>
                <c:pt idx="23">
                  <c:v>1.7083666666666666</c:v>
                </c:pt>
                <c:pt idx="24">
                  <c:v>1.0124333333333333</c:v>
                </c:pt>
                <c:pt idx="25">
                  <c:v>0.5449666666666666</c:v>
                </c:pt>
                <c:pt idx="26">
                  <c:v>0.25866666666666666</c:v>
                </c:pt>
                <c:pt idx="27">
                  <c:v>1.6171</c:v>
                </c:pt>
                <c:pt idx="28">
                  <c:v>0.93520000000000003</c:v>
                </c:pt>
                <c:pt idx="29">
                  <c:v>0.49086666666666662</c:v>
                </c:pt>
                <c:pt idx="30">
                  <c:v>0.24566666666666667</c:v>
                </c:pt>
                <c:pt idx="32">
                  <c:v>0</c:v>
                </c:pt>
                <c:pt idx="33">
                  <c:v>1.9745666666666664</c:v>
                </c:pt>
                <c:pt idx="34">
                  <c:v>1.4589333333333332</c:v>
                </c:pt>
                <c:pt idx="35">
                  <c:v>0.42313333333333336</c:v>
                </c:pt>
                <c:pt idx="36">
                  <c:v>0.20309999999999997</c:v>
                </c:pt>
                <c:pt idx="37">
                  <c:v>1.3325666666666665</c:v>
                </c:pt>
                <c:pt idx="38">
                  <c:v>0.36726666666666663</c:v>
                </c:pt>
                <c:pt idx="39">
                  <c:v>0.16243333333333335</c:v>
                </c:pt>
                <c:pt idx="40">
                  <c:v>1.2579666666666667</c:v>
                </c:pt>
                <c:pt idx="41">
                  <c:v>0.33370000000000005</c:v>
                </c:pt>
                <c:pt idx="42">
                  <c:v>0.16273333333333331</c:v>
                </c:pt>
              </c:numCache>
            </c:numRef>
          </c:yVal>
          <c:smooth val="0"/>
        </c:ser>
        <c:ser>
          <c:idx val="4"/>
          <c:order val="2"/>
          <c:tx>
            <c:v>500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9050">
                <a:solidFill>
                  <a:srgbClr val="7030A0"/>
                </a:solidFill>
              </a:ln>
            </c:spPr>
            <c:trendlineType val="linear"/>
            <c:dispRSqr val="0"/>
            <c:dispEq val="0"/>
          </c:trendline>
          <c:xVal>
            <c:numRef>
              <c:f>('[3]callibration curves'!$D$143:$D$158,'[3]callibration curves'!$D$162:$D$170)</c:f>
              <c:numCache>
                <c:formatCode>General</c:formatCode>
                <c:ptCount val="25"/>
                <c:pt idx="0">
                  <c:v>1251.875</c:v>
                </c:pt>
                <c:pt idx="1">
                  <c:v>500.75</c:v>
                </c:pt>
                <c:pt idx="2">
                  <c:v>250.375</c:v>
                </c:pt>
                <c:pt idx="3">
                  <c:v>125.1875</c:v>
                </c:pt>
                <c:pt idx="6">
                  <c:v>1251.875</c:v>
                </c:pt>
                <c:pt idx="7">
                  <c:v>500.75</c:v>
                </c:pt>
                <c:pt idx="8">
                  <c:v>250.375</c:v>
                </c:pt>
                <c:pt idx="9">
                  <c:v>125.1875</c:v>
                </c:pt>
                <c:pt idx="12">
                  <c:v>1251.875</c:v>
                </c:pt>
                <c:pt idx="13">
                  <c:v>500.75</c:v>
                </c:pt>
                <c:pt idx="14">
                  <c:v>250.375</c:v>
                </c:pt>
                <c:pt idx="15">
                  <c:v>125.1875</c:v>
                </c:pt>
                <c:pt idx="16">
                  <c:v>206.5</c:v>
                </c:pt>
                <c:pt idx="17">
                  <c:v>103.25</c:v>
                </c:pt>
                <c:pt idx="18">
                  <c:v>51.625</c:v>
                </c:pt>
                <c:pt idx="19">
                  <c:v>206.5</c:v>
                </c:pt>
                <c:pt idx="20">
                  <c:v>103.25</c:v>
                </c:pt>
                <c:pt idx="21">
                  <c:v>51.625</c:v>
                </c:pt>
                <c:pt idx="22">
                  <c:v>206.5</c:v>
                </c:pt>
                <c:pt idx="23">
                  <c:v>103.25</c:v>
                </c:pt>
                <c:pt idx="24">
                  <c:v>51.625</c:v>
                </c:pt>
              </c:numCache>
            </c:numRef>
          </c:xVal>
          <c:yVal>
            <c:numRef>
              <c:f>('[3]callibration curves'!$E$143:$E$158,'[3]callibration curves'!$E$162:$E$170)</c:f>
              <c:numCache>
                <c:formatCode>General</c:formatCode>
                <c:ptCount val="25"/>
                <c:pt idx="0">
                  <c:v>1.3455333333333332</c:v>
                </c:pt>
                <c:pt idx="1">
                  <c:v>0.55100000000000005</c:v>
                </c:pt>
                <c:pt idx="2">
                  <c:v>0.3039</c:v>
                </c:pt>
                <c:pt idx="3">
                  <c:v>0.1597666666666667</c:v>
                </c:pt>
                <c:pt idx="6">
                  <c:v>1.3867666666666667</c:v>
                </c:pt>
                <c:pt idx="7">
                  <c:v>0.58753333333333335</c:v>
                </c:pt>
                <c:pt idx="8">
                  <c:v>0.33233333333333337</c:v>
                </c:pt>
                <c:pt idx="9">
                  <c:v>0.17633333333333331</c:v>
                </c:pt>
                <c:pt idx="12">
                  <c:v>1.4056</c:v>
                </c:pt>
                <c:pt idx="13">
                  <c:v>0.64743333333333331</c:v>
                </c:pt>
                <c:pt idx="14">
                  <c:v>0.33383333333333337</c:v>
                </c:pt>
                <c:pt idx="15">
                  <c:v>0.17083333333333336</c:v>
                </c:pt>
                <c:pt idx="16">
                  <c:v>0.13773333333333335</c:v>
                </c:pt>
                <c:pt idx="17">
                  <c:v>7.3599999999999999E-2</c:v>
                </c:pt>
                <c:pt idx="18">
                  <c:v>3.9566666666666674E-2</c:v>
                </c:pt>
                <c:pt idx="19">
                  <c:v>0.14383333333333334</c:v>
                </c:pt>
                <c:pt idx="20">
                  <c:v>7.7100000000000002E-2</c:v>
                </c:pt>
                <c:pt idx="21">
                  <c:v>3.5499999999999997E-2</c:v>
                </c:pt>
                <c:pt idx="22">
                  <c:v>0.14426666666666668</c:v>
                </c:pt>
                <c:pt idx="23">
                  <c:v>7.0800000000000002E-2</c:v>
                </c:pt>
                <c:pt idx="24">
                  <c:v>3.953333333333333E-2</c:v>
                </c:pt>
              </c:numCache>
            </c:numRef>
          </c:yVal>
          <c:smooth val="0"/>
        </c:ser>
        <c:ser>
          <c:idx val="6"/>
          <c:order val="3"/>
          <c:tx>
            <c:v>SINK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ysClr val="windowText" lastClr="000000"/>
              </a:solidFill>
            </c:spPr>
          </c:marker>
          <c:dPt>
            <c:idx val="6"/>
            <c:bubble3D val="0"/>
          </c:dPt>
          <c:trendline>
            <c:spPr>
              <a:ln>
                <a:prstDash val="dash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1874571742370364"/>
                  <c:y val="0.16336468046024413"/>
                </c:manualLayout>
              </c:layout>
              <c:numFmt formatCode="General" sourceLinked="0"/>
            </c:trendlineLbl>
          </c:trendline>
          <c:xVal>
            <c:numRef>
              <c:f>'OD CAL'!$L$3:$L$17</c:f>
              <c:numCache>
                <c:formatCode>0</c:formatCode>
                <c:ptCount val="15"/>
                <c:pt idx="0">
                  <c:v>337</c:v>
                </c:pt>
                <c:pt idx="2">
                  <c:v>155</c:v>
                </c:pt>
                <c:pt idx="4">
                  <c:v>193.68607219043011</c:v>
                </c:pt>
                <c:pt idx="6">
                  <c:v>538.47679141523884</c:v>
                </c:pt>
                <c:pt idx="8">
                  <c:v>123.78170564082023</c:v>
                </c:pt>
                <c:pt idx="10">
                  <c:v>453.87826274511417</c:v>
                </c:pt>
                <c:pt idx="12">
                  <c:v>439.62678936318827</c:v>
                </c:pt>
                <c:pt idx="14">
                  <c:v>232.7874503450027</c:v>
                </c:pt>
              </c:numCache>
            </c:numRef>
          </c:xVal>
          <c:yVal>
            <c:numRef>
              <c:f>'OD CAL'!$K$3:$K$17</c:f>
              <c:numCache>
                <c:formatCode>0.0000</c:formatCode>
                <c:ptCount val="15"/>
                <c:pt idx="0">
                  <c:v>0.54320000000000002</c:v>
                </c:pt>
                <c:pt idx="1">
                  <c:v>0.2727</c:v>
                </c:pt>
                <c:pt idx="2">
                  <c:v>0.2477</c:v>
                </c:pt>
                <c:pt idx="3">
                  <c:v>0.8619</c:v>
                </c:pt>
                <c:pt idx="4">
                  <c:v>0.43227777777777782</c:v>
                </c:pt>
                <c:pt idx="5">
                  <c:v>0.35747777777777778</c:v>
                </c:pt>
                <c:pt idx="6">
                  <c:v>0.50912222222222214</c:v>
                </c:pt>
                <c:pt idx="7">
                  <c:v>3.832222222222223E-2</c:v>
                </c:pt>
                <c:pt idx="8">
                  <c:v>0.2147222222222222</c:v>
                </c:pt>
                <c:pt idx="9">
                  <c:v>0.80488888888888899</c:v>
                </c:pt>
                <c:pt idx="10">
                  <c:v>0.5279666666666667</c:v>
                </c:pt>
                <c:pt idx="11">
                  <c:v>1.3280111111111113</c:v>
                </c:pt>
                <c:pt idx="12">
                  <c:v>0.62371111111111111</c:v>
                </c:pt>
                <c:pt idx="13">
                  <c:v>0.34707777777777782</c:v>
                </c:pt>
                <c:pt idx="14" formatCode="General">
                  <c:v>0.16047777777777777</c:v>
                </c:pt>
              </c:numCache>
            </c:numRef>
          </c:yVal>
          <c:smooth val="0"/>
        </c:ser>
        <c:ser>
          <c:idx val="7"/>
          <c:order val="4"/>
          <c:tx>
            <c:v>DW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ysClr val="windowText" lastClr="000000"/>
              </a:solidFill>
            </c:spPr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poly"/>
            <c:order val="2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'OD CAL'!$M$3:$M$19</c:f>
              <c:numCache>
                <c:formatCode>0</c:formatCode>
                <c:ptCount val="17"/>
                <c:pt idx="1">
                  <c:v>217</c:v>
                </c:pt>
                <c:pt idx="3">
                  <c:v>380</c:v>
                </c:pt>
                <c:pt idx="5">
                  <c:v>233.04861030686553</c:v>
                </c:pt>
                <c:pt idx="7">
                  <c:v>37.791805998480925</c:v>
                </c:pt>
                <c:pt idx="9">
                  <c:v>371.20823337130167</c:v>
                </c:pt>
                <c:pt idx="11">
                  <c:v>432.45618031081762</c:v>
                </c:pt>
                <c:pt idx="13">
                  <c:v>221.82882710793339</c:v>
                </c:pt>
                <c:pt idx="15">
                  <c:v>198.69345205122252</c:v>
                </c:pt>
                <c:pt idx="16">
                  <c:v>271.56945736134321</c:v>
                </c:pt>
              </c:numCache>
            </c:numRef>
          </c:xVal>
          <c:yVal>
            <c:numRef>
              <c:f>'OD CAL'!$K$3:$K$19</c:f>
              <c:numCache>
                <c:formatCode>0.0000</c:formatCode>
                <c:ptCount val="17"/>
                <c:pt idx="0">
                  <c:v>0.54320000000000002</c:v>
                </c:pt>
                <c:pt idx="1">
                  <c:v>0.2727</c:v>
                </c:pt>
                <c:pt idx="2">
                  <c:v>0.2477</c:v>
                </c:pt>
                <c:pt idx="3">
                  <c:v>0.8619</c:v>
                </c:pt>
                <c:pt idx="4">
                  <c:v>0.43227777777777782</c:v>
                </c:pt>
                <c:pt idx="5">
                  <c:v>0.35747777777777778</c:v>
                </c:pt>
                <c:pt idx="6">
                  <c:v>0.50912222222222214</c:v>
                </c:pt>
                <c:pt idx="7">
                  <c:v>3.832222222222223E-2</c:v>
                </c:pt>
                <c:pt idx="8">
                  <c:v>0.2147222222222222</c:v>
                </c:pt>
                <c:pt idx="9">
                  <c:v>0.80488888888888899</c:v>
                </c:pt>
                <c:pt idx="10">
                  <c:v>0.5279666666666667</c:v>
                </c:pt>
                <c:pt idx="11">
                  <c:v>1.3280111111111113</c:v>
                </c:pt>
                <c:pt idx="12">
                  <c:v>0.62371111111111111</c:v>
                </c:pt>
                <c:pt idx="13">
                  <c:v>0.34707777777777782</c:v>
                </c:pt>
                <c:pt idx="14" formatCode="General">
                  <c:v>0.16047777777777777</c:v>
                </c:pt>
                <c:pt idx="15" formatCode="General">
                  <c:v>0.28561111111111109</c:v>
                </c:pt>
                <c:pt idx="16" formatCode="General">
                  <c:v>0.46035555555555557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618696"/>
        <c:axId val="237619088"/>
      </c:scatterChart>
      <c:valAx>
        <c:axId val="237618696"/>
        <c:scaling>
          <c:orientation val="minMax"/>
          <c:max val="6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oil (mg/l)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37619088"/>
        <c:crosses val="autoZero"/>
        <c:crossBetween val="midCat"/>
      </c:valAx>
      <c:valAx>
        <c:axId val="237619088"/>
        <c:scaling>
          <c:orientation val="minMax"/>
          <c:max val="1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 660nm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crossAx val="237618696"/>
        <c:crosses val="autoZero"/>
        <c:crossBetween val="midCat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Sink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6386830812437345E-2"/>
                  <c:y val="-0.223429361721896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'OD CAL'!$N$3:$N$17</c:f>
              <c:numCache>
                <c:formatCode>0</c:formatCode>
                <c:ptCount val="15"/>
                <c:pt idx="0">
                  <c:v>119.81333333333333</c:v>
                </c:pt>
                <c:pt idx="2">
                  <c:v>141.76666666666665</c:v>
                </c:pt>
                <c:pt idx="4">
                  <c:v>102.78</c:v>
                </c:pt>
                <c:pt idx="6">
                  <c:v>179.66333333333333</c:v>
                </c:pt>
                <c:pt idx="8">
                  <c:v>334.58333333333331</c:v>
                </c:pt>
                <c:pt idx="10">
                  <c:v>190.1575</c:v>
                </c:pt>
                <c:pt idx="12">
                  <c:v>453.28000000000003</c:v>
                </c:pt>
                <c:pt idx="14">
                  <c:v>213.22666666666666</c:v>
                </c:pt>
              </c:numCache>
            </c:numRef>
          </c:xVal>
          <c:yVal>
            <c:numRef>
              <c:f>'OD CAL'!$P$3:$P$17</c:f>
              <c:numCache>
                <c:formatCode>0</c:formatCode>
                <c:ptCount val="15"/>
                <c:pt idx="0">
                  <c:v>60.598876615799725</c:v>
                </c:pt>
                <c:pt idx="2">
                  <c:v>65.566902134586925</c:v>
                </c:pt>
                <c:pt idx="4">
                  <c:v>39.603028073507382</c:v>
                </c:pt>
                <c:pt idx="6">
                  <c:v>58.530254464159476</c:v>
                </c:pt>
                <c:pt idx="8">
                  <c:v>33.22743035392039</c:v>
                </c:pt>
                <c:pt idx="10">
                  <c:v>23.306502283206637</c:v>
                </c:pt>
                <c:pt idx="12">
                  <c:v>34.962345609369649</c:v>
                </c:pt>
                <c:pt idx="14">
                  <c:v>25.597338884616597</c:v>
                </c:pt>
              </c:numCache>
            </c:numRef>
          </c:yVal>
          <c:smooth val="0"/>
        </c:ser>
        <c:ser>
          <c:idx val="1"/>
          <c:order val="1"/>
          <c:tx>
            <c:v>DW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8204849349949576"/>
                  <c:y val="-4.937283328600500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'OD CAL'!$O$4:$O$18</c:f>
              <c:numCache>
                <c:formatCode>0</c:formatCode>
                <c:ptCount val="15"/>
                <c:pt idx="0">
                  <c:v>18.566666666666666</c:v>
                </c:pt>
                <c:pt idx="2">
                  <c:v>24.95</c:v>
                </c:pt>
                <c:pt idx="4">
                  <c:v>38.646666666666668</c:v>
                </c:pt>
                <c:pt idx="6">
                  <c:v>25.691666666666666</c:v>
                </c:pt>
                <c:pt idx="8">
                  <c:v>30.116666666666667</c:v>
                </c:pt>
                <c:pt idx="10">
                  <c:v>9.4</c:v>
                </c:pt>
                <c:pt idx="12">
                  <c:v>33.299999999999997</c:v>
                </c:pt>
                <c:pt idx="14">
                  <c:v>29.324999999999999</c:v>
                </c:pt>
              </c:numCache>
            </c:numRef>
          </c:xVal>
          <c:yVal>
            <c:numRef>
              <c:f>'OD CAL'!$Q$4:$Q$18</c:f>
              <c:numCache>
                <c:formatCode>0</c:formatCode>
                <c:ptCount val="15"/>
                <c:pt idx="0">
                  <c:v>80.147550874776584</c:v>
                </c:pt>
                <c:pt idx="2">
                  <c:v>100</c:v>
                </c:pt>
                <c:pt idx="4" formatCode="0.0">
                  <c:v>78.817732593115764</c:v>
                </c:pt>
                <c:pt idx="6">
                  <c:v>100</c:v>
                </c:pt>
                <c:pt idx="8">
                  <c:v>100</c:v>
                </c:pt>
                <c:pt idx="10">
                  <c:v>91.29609294012441</c:v>
                </c:pt>
                <c:pt idx="12">
                  <c:v>100</c:v>
                </c:pt>
                <c:pt idx="14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619872"/>
        <c:axId val="237927648"/>
      </c:scatterChart>
      <c:valAx>
        <c:axId val="237619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Total surfactants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927648"/>
        <c:crosses val="autoZero"/>
        <c:crossBetween val="midCat"/>
      </c:valAx>
      <c:valAx>
        <c:axId val="237927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Emulsified FOG fraction (% total)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619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28"/>
          <c:y val="7.5667005219883801E-2"/>
          <c:w val="0.69637401574803148"/>
          <c:h val="0.82224186280359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COD!$V$1</c:f>
              <c:strCache>
                <c:ptCount val="1"/>
                <c:pt idx="0">
                  <c:v>COD D/W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COD!$W$2:$W$9</c:f>
                <c:numCache>
                  <c:formatCode>General</c:formatCode>
                  <c:ptCount val="8"/>
                  <c:pt idx="0">
                    <c:v>62.723673834201229</c:v>
                  </c:pt>
                  <c:pt idx="1">
                    <c:v>466.28853728137045</c:v>
                  </c:pt>
                  <c:pt idx="2">
                    <c:v>102.28409962959554</c:v>
                  </c:pt>
                  <c:pt idx="3">
                    <c:v>130.42665031009236</c:v>
                  </c:pt>
                  <c:pt idx="4">
                    <c:v>83.205457442094229</c:v>
                  </c:pt>
                  <c:pt idx="5">
                    <c:v>54.424599557893238</c:v>
                  </c:pt>
                  <c:pt idx="6">
                    <c:v>112.52719835830965</c:v>
                  </c:pt>
                  <c:pt idx="7">
                    <c:v>121.11748199349439</c:v>
                  </c:pt>
                </c:numCache>
              </c:numRef>
            </c:plus>
            <c:minus>
              <c:numRef>
                <c:f>COD!$W$2:$W$9</c:f>
                <c:numCache>
                  <c:formatCode>General</c:formatCode>
                  <c:ptCount val="8"/>
                  <c:pt idx="0">
                    <c:v>62.723673834201229</c:v>
                  </c:pt>
                  <c:pt idx="1">
                    <c:v>466.28853728137045</c:v>
                  </c:pt>
                  <c:pt idx="2">
                    <c:v>102.28409962959554</c:v>
                  </c:pt>
                  <c:pt idx="3">
                    <c:v>130.42665031009236</c:v>
                  </c:pt>
                  <c:pt idx="4">
                    <c:v>83.205457442094229</c:v>
                  </c:pt>
                  <c:pt idx="5">
                    <c:v>54.424599557893238</c:v>
                  </c:pt>
                  <c:pt idx="6">
                    <c:v>112.52719835830965</c:v>
                  </c:pt>
                  <c:pt idx="7">
                    <c:v>121.11748199349439</c:v>
                  </c:pt>
                </c:numCache>
              </c:numRef>
            </c:minus>
          </c:errBars>
          <c:cat>
            <c:strRef>
              <c:f>COD!$U$2:$U$9</c:f>
              <c:strCache>
                <c:ptCount val="8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</c:strCache>
            </c:strRef>
          </c:cat>
          <c:val>
            <c:numRef>
              <c:f>COD!$V$2:$V$9</c:f>
              <c:numCache>
                <c:formatCode>0</c:formatCode>
                <c:ptCount val="8"/>
                <c:pt idx="0">
                  <c:v>1714.4444444444443</c:v>
                </c:pt>
                <c:pt idx="1">
                  <c:v>2095</c:v>
                </c:pt>
                <c:pt idx="2">
                  <c:v>1591.1111111111111</c:v>
                </c:pt>
                <c:pt idx="3">
                  <c:v>1915</c:v>
                </c:pt>
                <c:pt idx="4">
                  <c:v>1747.7777777777778</c:v>
                </c:pt>
                <c:pt idx="5">
                  <c:v>1232.7777777777778</c:v>
                </c:pt>
                <c:pt idx="6">
                  <c:v>1445.2222222222222</c:v>
                </c:pt>
                <c:pt idx="7">
                  <c:v>1543.3333333333333</c:v>
                </c:pt>
              </c:numCache>
            </c:numRef>
          </c:val>
        </c:ser>
        <c:ser>
          <c:idx val="2"/>
          <c:order val="1"/>
          <c:tx>
            <c:v>Total</c:v>
          </c:tx>
          <c:invertIfNegative val="0"/>
          <c:errBars>
            <c:errBarType val="both"/>
            <c:errValType val="cust"/>
            <c:noEndCap val="0"/>
            <c:plus>
              <c:numRef>
                <c:f>COD!$AC$2:$AC$9</c:f>
                <c:numCache>
                  <c:formatCode>General</c:formatCode>
                  <c:ptCount val="8"/>
                  <c:pt idx="0">
                    <c:v>55.294453796282554</c:v>
                  </c:pt>
                  <c:pt idx="1">
                    <c:v>21.96495447621518</c:v>
                  </c:pt>
                  <c:pt idx="2">
                    <c:v>66.252383856409566</c:v>
                  </c:pt>
                  <c:pt idx="3">
                    <c:v>15.698862996956752</c:v>
                  </c:pt>
                  <c:pt idx="4">
                    <c:v>64.191725115567976</c:v>
                  </c:pt>
                  <c:pt idx="5">
                    <c:v>21.387975506468027</c:v>
                  </c:pt>
                  <c:pt idx="6">
                    <c:v>38.232860316950337</c:v>
                  </c:pt>
                  <c:pt idx="7">
                    <c:v>33.820420059603933</c:v>
                  </c:pt>
                </c:numCache>
              </c:numRef>
            </c:plus>
            <c:minus>
              <c:numRef>
                <c:f>COD!$AC$2:$AC$9</c:f>
                <c:numCache>
                  <c:formatCode>General</c:formatCode>
                  <c:ptCount val="8"/>
                  <c:pt idx="0">
                    <c:v>55.294453796282554</c:v>
                  </c:pt>
                  <c:pt idx="1">
                    <c:v>21.96495447621518</c:v>
                  </c:pt>
                  <c:pt idx="2">
                    <c:v>66.252383856409566</c:v>
                  </c:pt>
                  <c:pt idx="3">
                    <c:v>15.698862996956752</c:v>
                  </c:pt>
                  <c:pt idx="4">
                    <c:v>64.191725115567976</c:v>
                  </c:pt>
                  <c:pt idx="5">
                    <c:v>21.387975506468027</c:v>
                  </c:pt>
                  <c:pt idx="6">
                    <c:v>38.232860316950337</c:v>
                  </c:pt>
                  <c:pt idx="7">
                    <c:v>33.820420059603933</c:v>
                  </c:pt>
                </c:numCache>
              </c:numRef>
            </c:minus>
          </c:errBars>
          <c:val>
            <c:numRef>
              <c:f>COD!$AB$2:$AB$9</c:f>
              <c:numCache>
                <c:formatCode>0</c:formatCode>
                <c:ptCount val="8"/>
                <c:pt idx="0">
                  <c:v>278.38500385219334</c:v>
                </c:pt>
                <c:pt idx="1">
                  <c:v>379.97279565601769</c:v>
                </c:pt>
                <c:pt idx="2">
                  <c:v>306.10893079555711</c:v>
                </c:pt>
                <c:pt idx="3">
                  <c:v>371.20823337130167</c:v>
                </c:pt>
                <c:pt idx="4">
                  <c:v>476.64278373855507</c:v>
                </c:pt>
                <c:pt idx="5">
                  <c:v>221.82882710793339</c:v>
                </c:pt>
                <c:pt idx="6">
                  <c:v>198.69345205122252</c:v>
                </c:pt>
                <c:pt idx="7">
                  <c:v>271.56945736134321</c:v>
                </c:pt>
              </c:numCache>
            </c:numRef>
          </c:val>
        </c:ser>
        <c:ser>
          <c:idx val="1"/>
          <c:order val="2"/>
          <c:tx>
            <c:v>Emulsified</c:v>
          </c:tx>
          <c:invertIfNegative val="0"/>
          <c:errBars>
            <c:errBarType val="both"/>
            <c:errValType val="cust"/>
            <c:noEndCap val="0"/>
            <c:plus>
              <c:numRef>
                <c:f>COD!$AA$2:$AA$9</c:f>
                <c:numCache>
                  <c:formatCode>General</c:formatCode>
                  <c:ptCount val="8"/>
                  <c:pt idx="0">
                    <c:v>9.0433068901926887</c:v>
                  </c:pt>
                  <c:pt idx="1">
                    <c:v>21.96495447621518</c:v>
                  </c:pt>
                  <c:pt idx="2">
                    <c:v>1.3893155937300372</c:v>
                  </c:pt>
                  <c:pt idx="3">
                    <c:v>15.698862996956752</c:v>
                  </c:pt>
                  <c:pt idx="4">
                    <c:v>35.733313492503882</c:v>
                  </c:pt>
                  <c:pt idx="5">
                    <c:v>21.387975506468027</c:v>
                  </c:pt>
                  <c:pt idx="6">
                    <c:v>38.232860316950337</c:v>
                  </c:pt>
                  <c:pt idx="7">
                    <c:v>33.820420059603933</c:v>
                  </c:pt>
                </c:numCache>
              </c:numRef>
            </c:plus>
            <c:minus>
              <c:numRef>
                <c:f>COD!$AA$2:$AA$9</c:f>
                <c:numCache>
                  <c:formatCode>General</c:formatCode>
                  <c:ptCount val="8"/>
                  <c:pt idx="0">
                    <c:v>9.0433068901926887</c:v>
                  </c:pt>
                  <c:pt idx="1">
                    <c:v>21.96495447621518</c:v>
                  </c:pt>
                  <c:pt idx="2">
                    <c:v>1.3893155937300372</c:v>
                  </c:pt>
                  <c:pt idx="3">
                    <c:v>15.698862996956752</c:v>
                  </c:pt>
                  <c:pt idx="4">
                    <c:v>35.733313492503882</c:v>
                  </c:pt>
                  <c:pt idx="5">
                    <c:v>21.387975506468027</c:v>
                  </c:pt>
                  <c:pt idx="6">
                    <c:v>38.232860316950337</c:v>
                  </c:pt>
                  <c:pt idx="7">
                    <c:v>33.820420059603933</c:v>
                  </c:pt>
                </c:numCache>
              </c:numRef>
            </c:minus>
          </c:errBars>
          <c:val>
            <c:numRef>
              <c:f>COD!$Z$2:$Z$9</c:f>
              <c:numCache>
                <c:formatCode>0</c:formatCode>
                <c:ptCount val="8"/>
                <c:pt idx="0">
                  <c:v>216.98456968945399</c:v>
                </c:pt>
                <c:pt idx="1">
                  <c:v>379.97279565601769</c:v>
                </c:pt>
                <c:pt idx="2">
                  <c:v>233.04861030686553</c:v>
                </c:pt>
                <c:pt idx="3">
                  <c:v>371.20823337130167</c:v>
                </c:pt>
                <c:pt idx="4">
                  <c:v>432.45618031081762</c:v>
                </c:pt>
                <c:pt idx="5">
                  <c:v>221.82882710793339</c:v>
                </c:pt>
                <c:pt idx="6">
                  <c:v>198.69345205122252</c:v>
                </c:pt>
                <c:pt idx="7">
                  <c:v>271.56945736134321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928432"/>
        <c:axId val="237928824"/>
      </c:barChart>
      <c:catAx>
        <c:axId val="23792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928824"/>
        <c:crosses val="autoZero"/>
        <c:auto val="1"/>
        <c:lblAlgn val="ctr"/>
        <c:lblOffset val="100"/>
        <c:noMultiLvlLbl val="0"/>
      </c:catAx>
      <c:valAx>
        <c:axId val="23792882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237928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DW2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702755905511809"/>
                  <c:y val="0.134762685914260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COD!$AD$2:$AD$9</c:f>
              <c:numCache>
                <c:formatCode>0</c:formatCode>
                <c:ptCount val="8"/>
                <c:pt idx="0">
                  <c:v>629.25525209941657</c:v>
                </c:pt>
                <c:pt idx="1">
                  <c:v>1101.9211074024513</c:v>
                </c:pt>
                <c:pt idx="2">
                  <c:v>675.84096988990996</c:v>
                </c:pt>
                <c:pt idx="3">
                  <c:v>1076.5038767767749</c:v>
                </c:pt>
                <c:pt idx="4">
                  <c:v>1254.1229229013711</c:v>
                </c:pt>
                <c:pt idx="5">
                  <c:v>643.30359861300678</c:v>
                </c:pt>
                <c:pt idx="6">
                  <c:v>576.21101094854532</c:v>
                </c:pt>
                <c:pt idx="7">
                  <c:v>787.55142634789524</c:v>
                </c:pt>
              </c:numCache>
            </c:numRef>
          </c:xVal>
          <c:yVal>
            <c:numRef>
              <c:f>COD!$V$2:$V$9</c:f>
              <c:numCache>
                <c:formatCode>0</c:formatCode>
                <c:ptCount val="8"/>
                <c:pt idx="0">
                  <c:v>1714.4444444444443</c:v>
                </c:pt>
                <c:pt idx="1">
                  <c:v>2095</c:v>
                </c:pt>
                <c:pt idx="2">
                  <c:v>1591.1111111111111</c:v>
                </c:pt>
                <c:pt idx="3">
                  <c:v>1915</c:v>
                </c:pt>
                <c:pt idx="4">
                  <c:v>1747.7777777777778</c:v>
                </c:pt>
                <c:pt idx="5">
                  <c:v>1232.7777777777778</c:v>
                </c:pt>
                <c:pt idx="6">
                  <c:v>1445.2222222222222</c:v>
                </c:pt>
                <c:pt idx="7">
                  <c:v>1543.3333333333333</c:v>
                </c:pt>
              </c:numCache>
            </c:numRef>
          </c:yVal>
          <c:smooth val="0"/>
        </c:ser>
        <c:ser>
          <c:idx val="1"/>
          <c:order val="1"/>
          <c:tx>
            <c:v>Sink2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4036964129483815E-2"/>
                  <c:y val="-3.240740740740740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COD!$O$2:$O$9</c:f>
              <c:numCache>
                <c:formatCode>0</c:formatCode>
                <c:ptCount val="8"/>
                <c:pt idx="0">
                  <c:v>976.81351415524989</c:v>
                </c:pt>
                <c:pt idx="1">
                  <c:v>449.34039382858992</c:v>
                </c:pt>
                <c:pt idx="2">
                  <c:v>561.68960935224732</c:v>
                </c:pt>
                <c:pt idx="3">
                  <c:v>1561.5826951041927</c:v>
                </c:pt>
                <c:pt idx="4">
                  <c:v>358.96694635837866</c:v>
                </c:pt>
                <c:pt idx="5">
                  <c:v>1316.246961960831</c:v>
                </c:pt>
                <c:pt idx="6">
                  <c:v>1274.9176891532459</c:v>
                </c:pt>
                <c:pt idx="7">
                  <c:v>675.08360600050776</c:v>
                </c:pt>
              </c:numCache>
            </c:numRef>
          </c:xVal>
          <c:yVal>
            <c:numRef>
              <c:f>COD!$G$2:$G$9</c:f>
              <c:numCache>
                <c:formatCode>0</c:formatCode>
                <c:ptCount val="8"/>
                <c:pt idx="0">
                  <c:v>2810.5555555555557</c:v>
                </c:pt>
                <c:pt idx="1">
                  <c:v>2394.4444444444443</c:v>
                </c:pt>
                <c:pt idx="2">
                  <c:v>2467.2222222222222</c:v>
                </c:pt>
                <c:pt idx="3">
                  <c:v>3606.1111111111113</c:v>
                </c:pt>
                <c:pt idx="4">
                  <c:v>1519.4444444444443</c:v>
                </c:pt>
                <c:pt idx="5">
                  <c:v>3085</c:v>
                </c:pt>
                <c:pt idx="6">
                  <c:v>3422.2222222222222</c:v>
                </c:pt>
                <c:pt idx="7">
                  <c:v>1198.8888888888889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929608"/>
        <c:axId val="237930000"/>
      </c:scatterChart>
      <c:valAx>
        <c:axId val="237929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FOG CODth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930000"/>
        <c:crosses val="autoZero"/>
        <c:crossBetween val="midCat"/>
      </c:valAx>
      <c:valAx>
        <c:axId val="237930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COD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929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'colab graphs'!$Q$3</c:f>
              <c:strCache>
                <c:ptCount val="1"/>
                <c:pt idx="0">
                  <c:v>Emulsified</c:v>
                </c:pt>
              </c:strCache>
            </c:strRef>
          </c:tx>
          <c:invertIfNegative val="0"/>
          <c:errBars>
            <c:errBarType val="both"/>
            <c:errValType val="fixedVal"/>
            <c:noEndCap val="1"/>
            <c:val val="0"/>
            <c:spPr>
              <a:ln>
                <a:noFill/>
              </a:ln>
            </c:spPr>
          </c:errBars>
          <c:cat>
            <c:strRef>
              <c:f>'[1]colab graphs'!$AJ$1:$AX$2</c:f>
              <c:strCache>
                <c:ptCount val="15"/>
              </c:strCache>
            </c:strRef>
          </c:cat>
          <c:val>
            <c:numRef>
              <c:f>'colab graphs'!$S$3:$AH$3</c:f>
              <c:numCache>
                <c:formatCode>0</c:formatCode>
                <c:ptCount val="16"/>
                <c:pt idx="0">
                  <c:v>154.94496338916895</c:v>
                </c:pt>
                <c:pt idx="1">
                  <c:v>193.68607219043011</c:v>
                </c:pt>
                <c:pt idx="2">
                  <c:v>538.47679141523884</c:v>
                </c:pt>
                <c:pt idx="3">
                  <c:v>123.78170564082023</c:v>
                </c:pt>
                <c:pt idx="4">
                  <c:v>453.87826274511417</c:v>
                </c:pt>
                <c:pt idx="5">
                  <c:v>439.62678936318827</c:v>
                </c:pt>
                <c:pt idx="6">
                  <c:v>232.7874503450027</c:v>
                </c:pt>
                <c:pt idx="8">
                  <c:v>216.98456968945399</c:v>
                </c:pt>
                <c:pt idx="9">
                  <c:v>379.97279565601769</c:v>
                </c:pt>
                <c:pt idx="10">
                  <c:v>233.04861030686553</c:v>
                </c:pt>
                <c:pt idx="11">
                  <c:v>371.20823337130167</c:v>
                </c:pt>
                <c:pt idx="12">
                  <c:v>432.45618031081762</c:v>
                </c:pt>
                <c:pt idx="13">
                  <c:v>221.82882710793339</c:v>
                </c:pt>
                <c:pt idx="14">
                  <c:v>198.69345205122252</c:v>
                </c:pt>
                <c:pt idx="15">
                  <c:v>271.56945736134321</c:v>
                </c:pt>
              </c:numCache>
            </c:numRef>
          </c:val>
        </c:ser>
        <c:ser>
          <c:idx val="1"/>
          <c:order val="1"/>
          <c:tx>
            <c:strRef>
              <c:f>'colab graphs'!$Q$4</c:f>
              <c:strCache>
                <c:ptCount val="1"/>
                <c:pt idx="0">
                  <c:v>Free</c:v>
                </c:pt>
              </c:strCache>
            </c:strRef>
          </c:tx>
          <c:invertIfNegative val="0"/>
          <c:cat>
            <c:strRef>
              <c:f>'[1]colab graphs'!$AJ$1:$AX$2</c:f>
              <c:strCache>
                <c:ptCount val="15"/>
              </c:strCache>
            </c:strRef>
          </c:cat>
          <c:val>
            <c:numRef>
              <c:f>'colab graphs'!$S$4:$AH$4</c:f>
              <c:numCache>
                <c:formatCode>0</c:formatCode>
                <c:ptCount val="16"/>
                <c:pt idx="0">
                  <c:v>82.539492903488807</c:v>
                </c:pt>
                <c:pt idx="1">
                  <c:v>351.74034448499924</c:v>
                </c:pt>
                <c:pt idx="2">
                  <c:v>462.23465587007604</c:v>
                </c:pt>
                <c:pt idx="3">
                  <c:v>275.17435461608017</c:v>
                </c:pt>
                <c:pt idx="4">
                  <c:v>1568.6830934249799</c:v>
                </c:pt>
                <c:pt idx="5">
                  <c:v>875.51096940238074</c:v>
                </c:pt>
                <c:pt idx="6">
                  <c:v>724.09428347026028</c:v>
                </c:pt>
                <c:pt idx="8">
                  <c:v>61.400434162739366</c:v>
                </c:pt>
                <c:pt idx="9">
                  <c:v>0</c:v>
                </c:pt>
                <c:pt idx="10">
                  <c:v>73.060320488691545</c:v>
                </c:pt>
                <c:pt idx="11">
                  <c:v>0</c:v>
                </c:pt>
                <c:pt idx="12">
                  <c:v>44.186603427737438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140948080"/>
        <c:axId val="141592240"/>
      </c:barChart>
      <c:scatterChart>
        <c:scatterStyle val="lineMarker"/>
        <c:varyColors val="0"/>
        <c:ser>
          <c:idx val="5"/>
          <c:order val="2"/>
          <c:tx>
            <c:v>Total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'colab graphs'!$S$13:$AH$13</c:f>
                <c:numCache>
                  <c:formatCode>General</c:formatCode>
                  <c:ptCount val="16"/>
                  <c:pt idx="0">
                    <c:v>18.431704099500507</c:v>
                  </c:pt>
                  <c:pt idx="1">
                    <c:v>293.86329161397157</c:v>
                  </c:pt>
                  <c:pt idx="2">
                    <c:v>493.26798313883819</c:v>
                  </c:pt>
                  <c:pt idx="3">
                    <c:v>145.62040726124098</c:v>
                  </c:pt>
                  <c:pt idx="4">
                    <c:v>440.80537459769107</c:v>
                  </c:pt>
                  <c:pt idx="5">
                    <c:v>428.2873154124228</c:v>
                  </c:pt>
                  <c:pt idx="6">
                    <c:v>402.23866545568819</c:v>
                  </c:pt>
                  <c:pt idx="8">
                    <c:v>55.294453796282554</c:v>
                  </c:pt>
                  <c:pt idx="9">
                    <c:v>21.96495447621518</c:v>
                  </c:pt>
                  <c:pt idx="10">
                    <c:v>66.252383856409566</c:v>
                  </c:pt>
                  <c:pt idx="11">
                    <c:v>15.698862996956752</c:v>
                  </c:pt>
                  <c:pt idx="12">
                    <c:v>64.191725115567976</c:v>
                  </c:pt>
                  <c:pt idx="13">
                    <c:v>21.387975506468027</c:v>
                  </c:pt>
                  <c:pt idx="14">
                    <c:v>38.232860316950337</c:v>
                  </c:pt>
                  <c:pt idx="15">
                    <c:v>33.820420059603933</c:v>
                  </c:pt>
                </c:numCache>
              </c:numRef>
            </c:plus>
            <c:minus>
              <c:numRef>
                <c:f>'colab graphs'!$S$13:$AH$13</c:f>
                <c:numCache>
                  <c:formatCode>General</c:formatCode>
                  <c:ptCount val="16"/>
                  <c:pt idx="0">
                    <c:v>18.431704099500507</c:v>
                  </c:pt>
                  <c:pt idx="1">
                    <c:v>293.86329161397157</c:v>
                  </c:pt>
                  <c:pt idx="2">
                    <c:v>493.26798313883819</c:v>
                  </c:pt>
                  <c:pt idx="3">
                    <c:v>145.62040726124098</c:v>
                  </c:pt>
                  <c:pt idx="4">
                    <c:v>440.80537459769107</c:v>
                  </c:pt>
                  <c:pt idx="5">
                    <c:v>428.2873154124228</c:v>
                  </c:pt>
                  <c:pt idx="6">
                    <c:v>402.23866545568819</c:v>
                  </c:pt>
                  <c:pt idx="8">
                    <c:v>55.294453796282554</c:v>
                  </c:pt>
                  <c:pt idx="9">
                    <c:v>21.96495447621518</c:v>
                  </c:pt>
                  <c:pt idx="10">
                    <c:v>66.252383856409566</c:v>
                  </c:pt>
                  <c:pt idx="11">
                    <c:v>15.698862996956752</c:v>
                  </c:pt>
                  <c:pt idx="12">
                    <c:v>64.191725115567976</c:v>
                  </c:pt>
                  <c:pt idx="13">
                    <c:v>21.387975506468027</c:v>
                  </c:pt>
                  <c:pt idx="14">
                    <c:v>38.232860316950337</c:v>
                  </c:pt>
                  <c:pt idx="15">
                    <c:v>33.820420059603933</c:v>
                  </c:pt>
                </c:numCache>
              </c:numRef>
            </c:minus>
          </c:errBars>
          <c:yVal>
            <c:numRef>
              <c:f>'colab graphs'!$S$5:$AH$5</c:f>
              <c:numCache>
                <c:formatCode>0</c:formatCode>
                <c:ptCount val="16"/>
                <c:pt idx="0">
                  <c:v>237.4844562926578</c:v>
                </c:pt>
                <c:pt idx="1">
                  <c:v>545.42641667542932</c:v>
                </c:pt>
                <c:pt idx="2">
                  <c:v>1000.711447285315</c:v>
                </c:pt>
                <c:pt idx="3">
                  <c:v>398.9560602569004</c:v>
                </c:pt>
                <c:pt idx="4">
                  <c:v>2022.5613561700939</c:v>
                </c:pt>
                <c:pt idx="5">
                  <c:v>1315.1377587655691</c:v>
                </c:pt>
                <c:pt idx="6">
                  <c:v>956.88173381526303</c:v>
                </c:pt>
                <c:pt idx="8">
                  <c:v>278.38500385219334</c:v>
                </c:pt>
                <c:pt idx="9">
                  <c:v>379.97279565601769</c:v>
                </c:pt>
                <c:pt idx="10">
                  <c:v>306.10893079555711</c:v>
                </c:pt>
                <c:pt idx="11">
                  <c:v>371.20823337130167</c:v>
                </c:pt>
                <c:pt idx="12">
                  <c:v>476.64278373855507</c:v>
                </c:pt>
                <c:pt idx="13">
                  <c:v>221.82882710793339</c:v>
                </c:pt>
                <c:pt idx="14">
                  <c:v>198.69345205122252</c:v>
                </c:pt>
                <c:pt idx="15">
                  <c:v>271.56945736134321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948080"/>
        <c:axId val="141592240"/>
      </c:scatterChart>
      <c:catAx>
        <c:axId val="14094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1592240"/>
        <c:crosses val="autoZero"/>
        <c:auto val="1"/>
        <c:lblAlgn val="ctr"/>
        <c:lblOffset val="100"/>
        <c:noMultiLvlLbl val="0"/>
      </c:catAx>
      <c:valAx>
        <c:axId val="141592240"/>
        <c:scaling>
          <c:orientation val="minMax"/>
          <c:max val="3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Concentration (mg/l)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40948080"/>
        <c:crosses val="autoZero"/>
        <c:crossBetween val="between"/>
      </c:valAx>
    </c:plotArea>
    <c:legend>
      <c:legendPos val="t"/>
      <c:legendEntry>
        <c:idx val="2"/>
        <c:delete val="1"/>
      </c:legendEntry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'colab graphs'!$Q$3</c:f>
              <c:strCache>
                <c:ptCount val="1"/>
                <c:pt idx="0">
                  <c:v>Emulsified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'colab graphs'!$R$11:$AH$11</c:f>
                <c:numCache>
                  <c:formatCode>General</c:formatCode>
                  <c:ptCount val="17"/>
                  <c:pt idx="0">
                    <c:v>55.782909255421906</c:v>
                  </c:pt>
                  <c:pt idx="1">
                    <c:v>9.556726673229754</c:v>
                  </c:pt>
                  <c:pt idx="2">
                    <c:v>39.110395214533732</c:v>
                  </c:pt>
                  <c:pt idx="3">
                    <c:v>118.4906471989828</c:v>
                  </c:pt>
                  <c:pt idx="4">
                    <c:v>39.017161155297288</c:v>
                  </c:pt>
                  <c:pt idx="5">
                    <c:v>78.773741544263146</c:v>
                  </c:pt>
                  <c:pt idx="6">
                    <c:v>100.97210493703192</c:v>
                  </c:pt>
                  <c:pt idx="7">
                    <c:v>59.962791754027648</c:v>
                  </c:pt>
                  <c:pt idx="9">
                    <c:v>9.0433068901926887</c:v>
                  </c:pt>
                  <c:pt idx="10">
                    <c:v>21.96495447621518</c:v>
                  </c:pt>
                  <c:pt idx="11">
                    <c:v>1.3893155937300372</c:v>
                  </c:pt>
                  <c:pt idx="12">
                    <c:v>15.698862996956752</c:v>
                  </c:pt>
                  <c:pt idx="13">
                    <c:v>35.733313492503882</c:v>
                  </c:pt>
                  <c:pt idx="14">
                    <c:v>21.387975506468027</c:v>
                  </c:pt>
                  <c:pt idx="15">
                    <c:v>38.232860316950337</c:v>
                  </c:pt>
                  <c:pt idx="16">
                    <c:v>33.820420059603933</c:v>
                  </c:pt>
                </c:numCache>
              </c:numRef>
            </c:plus>
            <c:minus>
              <c:numRef>
                <c:f>'colab graphs'!$R$11:$AH$11</c:f>
                <c:numCache>
                  <c:formatCode>General</c:formatCode>
                  <c:ptCount val="17"/>
                  <c:pt idx="0">
                    <c:v>55.782909255421906</c:v>
                  </c:pt>
                  <c:pt idx="1">
                    <c:v>9.556726673229754</c:v>
                  </c:pt>
                  <c:pt idx="2">
                    <c:v>39.110395214533732</c:v>
                  </c:pt>
                  <c:pt idx="3">
                    <c:v>118.4906471989828</c:v>
                  </c:pt>
                  <c:pt idx="4">
                    <c:v>39.017161155297288</c:v>
                  </c:pt>
                  <c:pt idx="5">
                    <c:v>78.773741544263146</c:v>
                  </c:pt>
                  <c:pt idx="6">
                    <c:v>100.97210493703192</c:v>
                  </c:pt>
                  <c:pt idx="7">
                    <c:v>59.962791754027648</c:v>
                  </c:pt>
                  <c:pt idx="9">
                    <c:v>9.0433068901926887</c:v>
                  </c:pt>
                  <c:pt idx="10">
                    <c:v>21.96495447621518</c:v>
                  </c:pt>
                  <c:pt idx="11">
                    <c:v>1.3893155937300372</c:v>
                  </c:pt>
                  <c:pt idx="12">
                    <c:v>15.698862996956752</c:v>
                  </c:pt>
                  <c:pt idx="13">
                    <c:v>35.733313492503882</c:v>
                  </c:pt>
                  <c:pt idx="14">
                    <c:v>21.387975506468027</c:v>
                  </c:pt>
                  <c:pt idx="15">
                    <c:v>38.232860316950337</c:v>
                  </c:pt>
                  <c:pt idx="16">
                    <c:v>33.820420059603933</c:v>
                  </c:pt>
                </c:numCache>
              </c:numRef>
            </c:minus>
          </c:errBars>
          <c:cat>
            <c:multiLvlStrRef>
              <c:f>'colab graphs'!$R$1:$AH$2</c:f>
              <c:multiLvlStrCache>
                <c:ptCount val="17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9">
                    <c:v>A</c:v>
                  </c:pt>
                  <c:pt idx="10">
                    <c:v>B</c:v>
                  </c:pt>
                  <c:pt idx="11">
                    <c:v>C</c:v>
                  </c:pt>
                  <c:pt idx="12">
                    <c:v>D</c:v>
                  </c:pt>
                  <c:pt idx="13">
                    <c:v>E</c:v>
                  </c:pt>
                  <c:pt idx="14">
                    <c:v>F</c:v>
                  </c:pt>
                  <c:pt idx="15">
                    <c:v>G</c:v>
                  </c:pt>
                  <c:pt idx="16">
                    <c:v>H</c:v>
                  </c:pt>
                </c:lvl>
                <c:lvl>
                  <c:pt idx="0">
                    <c:v>Sink</c:v>
                  </c:pt>
                  <c:pt idx="9">
                    <c:v>Dishwasher</c:v>
                  </c:pt>
                </c:lvl>
              </c:multiLvlStrCache>
            </c:multiLvlStrRef>
          </c:cat>
          <c:val>
            <c:numRef>
              <c:f>'colab graphs'!$R$3:$AH$3</c:f>
              <c:numCache>
                <c:formatCode>0</c:formatCode>
                <c:ptCount val="17"/>
                <c:pt idx="0" formatCode="0.0">
                  <c:v>336.83224626043102</c:v>
                </c:pt>
                <c:pt idx="1">
                  <c:v>154.94496338916895</c:v>
                </c:pt>
                <c:pt idx="2">
                  <c:v>193.68607219043011</c:v>
                </c:pt>
                <c:pt idx="3">
                  <c:v>538.47679141523884</c:v>
                </c:pt>
                <c:pt idx="4">
                  <c:v>123.78170564082023</c:v>
                </c:pt>
                <c:pt idx="5">
                  <c:v>453.87826274511417</c:v>
                </c:pt>
                <c:pt idx="6">
                  <c:v>439.62678936318827</c:v>
                </c:pt>
                <c:pt idx="7">
                  <c:v>232.7874503450027</c:v>
                </c:pt>
                <c:pt idx="9">
                  <c:v>216.98456968945399</c:v>
                </c:pt>
                <c:pt idx="10">
                  <c:v>379.97279565601769</c:v>
                </c:pt>
                <c:pt idx="11">
                  <c:v>233.04861030686553</c:v>
                </c:pt>
                <c:pt idx="12">
                  <c:v>371.20823337130167</c:v>
                </c:pt>
                <c:pt idx="13">
                  <c:v>432.45618031081762</c:v>
                </c:pt>
                <c:pt idx="14">
                  <c:v>221.82882710793339</c:v>
                </c:pt>
                <c:pt idx="15">
                  <c:v>198.69345205122252</c:v>
                </c:pt>
                <c:pt idx="16">
                  <c:v>271.56945736134321</c:v>
                </c:pt>
              </c:numCache>
            </c:numRef>
          </c:val>
        </c:ser>
        <c:ser>
          <c:idx val="1"/>
          <c:order val="1"/>
          <c:tx>
            <c:strRef>
              <c:f>'colab graphs'!$Q$4</c:f>
              <c:strCache>
                <c:ptCount val="1"/>
                <c:pt idx="0">
                  <c:v>Free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'colab graphs'!$R$12:$AH$12</c:f>
                <c:numCache>
                  <c:formatCode>General</c:formatCode>
                  <c:ptCount val="17"/>
                  <c:pt idx="0">
                    <c:v>68.947388217606743</c:v>
                  </c:pt>
                  <c:pt idx="1">
                    <c:v>23.167559151832222</c:v>
                  </c:pt>
                  <c:pt idx="2">
                    <c:v>254.81729558164071</c:v>
                  </c:pt>
                  <c:pt idx="3">
                    <c:v>395.0249610855667</c:v>
                  </c:pt>
                  <c:pt idx="4">
                    <c:v>142.52477667881573</c:v>
                  </c:pt>
                  <c:pt idx="5">
                    <c:v>462.24941313011402</c:v>
                  </c:pt>
                  <c:pt idx="6">
                    <c:v>372.87132336633232</c:v>
                  </c:pt>
                  <c:pt idx="7">
                    <c:v>344.08393056147321</c:v>
                  </c:pt>
                  <c:pt idx="9">
                    <c:v>54.694488823726545</c:v>
                  </c:pt>
                  <c:pt idx="10">
                    <c:v>0</c:v>
                  </c:pt>
                  <c:pt idx="11">
                    <c:v>66.319219242075008</c:v>
                  </c:pt>
                  <c:pt idx="12">
                    <c:v>0</c:v>
                  </c:pt>
                  <c:pt idx="13">
                    <c:v>30.766436483841307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'colab graphs'!$R$12:$AH$12</c:f>
                <c:numCache>
                  <c:formatCode>General</c:formatCode>
                  <c:ptCount val="17"/>
                  <c:pt idx="0">
                    <c:v>68.947388217606743</c:v>
                  </c:pt>
                  <c:pt idx="1">
                    <c:v>23.167559151832222</c:v>
                  </c:pt>
                  <c:pt idx="2">
                    <c:v>254.81729558164071</c:v>
                  </c:pt>
                  <c:pt idx="3">
                    <c:v>395.0249610855667</c:v>
                  </c:pt>
                  <c:pt idx="4">
                    <c:v>142.52477667881573</c:v>
                  </c:pt>
                  <c:pt idx="5">
                    <c:v>462.24941313011402</c:v>
                  </c:pt>
                  <c:pt idx="6">
                    <c:v>372.87132336633232</c:v>
                  </c:pt>
                  <c:pt idx="7">
                    <c:v>344.08393056147321</c:v>
                  </c:pt>
                  <c:pt idx="9">
                    <c:v>54.694488823726545</c:v>
                  </c:pt>
                  <c:pt idx="10">
                    <c:v>0</c:v>
                  </c:pt>
                  <c:pt idx="11">
                    <c:v>66.319219242075008</c:v>
                  </c:pt>
                  <c:pt idx="12">
                    <c:v>0</c:v>
                  </c:pt>
                  <c:pt idx="13">
                    <c:v>30.766436483841307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>
                <a:solidFill>
                  <a:schemeClr val="tx1">
                    <a:shade val="95000"/>
                    <a:satMod val="105000"/>
                  </a:schemeClr>
                </a:solidFill>
                <a:prstDash val="dashDot"/>
              </a:ln>
            </c:spPr>
          </c:errBars>
          <c:cat>
            <c:multiLvlStrRef>
              <c:f>'colab graphs'!$R$1:$AH$2</c:f>
              <c:multiLvlStrCache>
                <c:ptCount val="17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9">
                    <c:v>A</c:v>
                  </c:pt>
                  <c:pt idx="10">
                    <c:v>B</c:v>
                  </c:pt>
                  <c:pt idx="11">
                    <c:v>C</c:v>
                  </c:pt>
                  <c:pt idx="12">
                    <c:v>D</c:v>
                  </c:pt>
                  <c:pt idx="13">
                    <c:v>E</c:v>
                  </c:pt>
                  <c:pt idx="14">
                    <c:v>F</c:v>
                  </c:pt>
                  <c:pt idx="15">
                    <c:v>G</c:v>
                  </c:pt>
                  <c:pt idx="16">
                    <c:v>H</c:v>
                  </c:pt>
                </c:lvl>
                <c:lvl>
                  <c:pt idx="0">
                    <c:v>Sink</c:v>
                  </c:pt>
                  <c:pt idx="9">
                    <c:v>Dishwasher</c:v>
                  </c:pt>
                </c:lvl>
              </c:multiLvlStrCache>
            </c:multiLvlStrRef>
          </c:cat>
          <c:val>
            <c:numRef>
              <c:f>'colab graphs'!$R$4:$AH$4</c:f>
              <c:numCache>
                <c:formatCode>0</c:formatCode>
                <c:ptCount val="17"/>
                <c:pt idx="0" formatCode="0.0">
                  <c:v>221.0819308810353</c:v>
                </c:pt>
                <c:pt idx="1">
                  <c:v>82.539492903488807</c:v>
                </c:pt>
                <c:pt idx="2">
                  <c:v>351.74034448499924</c:v>
                </c:pt>
                <c:pt idx="3">
                  <c:v>462.23465587007604</c:v>
                </c:pt>
                <c:pt idx="4">
                  <c:v>275.17435461608017</c:v>
                </c:pt>
                <c:pt idx="5">
                  <c:v>1568.6830934249799</c:v>
                </c:pt>
                <c:pt idx="6">
                  <c:v>875.51096940238074</c:v>
                </c:pt>
                <c:pt idx="7">
                  <c:v>724.09428347026028</c:v>
                </c:pt>
                <c:pt idx="9">
                  <c:v>61.400434162739366</c:v>
                </c:pt>
                <c:pt idx="10">
                  <c:v>0</c:v>
                </c:pt>
                <c:pt idx="11">
                  <c:v>73.060320488691545</c:v>
                </c:pt>
                <c:pt idx="12">
                  <c:v>0</c:v>
                </c:pt>
                <c:pt idx="13">
                  <c:v>44.186603427737438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overlap val="100"/>
        <c:axId val="141593024"/>
        <c:axId val="141593416"/>
      </c:barChart>
      <c:barChart>
        <c:barDir val="col"/>
        <c:grouping val="clustered"/>
        <c:varyColors val="0"/>
        <c:ser>
          <c:idx val="2"/>
          <c:order val="2"/>
          <c:tx>
            <c:strRef>
              <c:f>'colab graphs'!$Q$6</c:f>
              <c:strCache>
                <c:ptCount val="1"/>
                <c:pt idx="0">
                  <c:v>blank 1</c:v>
                </c:pt>
              </c:strCache>
            </c:strRef>
          </c:tx>
          <c:invertIfNegative val="0"/>
          <c:cat>
            <c:strRef>
              <c:f>'colab graphs'!$R$1:$AC$1</c:f>
              <c:strCache>
                <c:ptCount val="10"/>
                <c:pt idx="0">
                  <c:v>Sink</c:v>
                </c:pt>
                <c:pt idx="9">
                  <c:v>Dishwasher</c:v>
                </c:pt>
              </c:strCache>
            </c:strRef>
          </c:cat>
          <c:val>
            <c:numRef>
              <c:f>'colab graphs'!$S$6:$AH$6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tx>
            <c:strRef>
              <c:f>'colab graphs'!$Q$7</c:f>
              <c:strCache>
                <c:ptCount val="1"/>
                <c:pt idx="0">
                  <c:v>blank 2</c:v>
                </c:pt>
              </c:strCache>
            </c:strRef>
          </c:tx>
          <c:invertIfNegative val="0"/>
          <c:cat>
            <c:strRef>
              <c:f>'colab graphs'!$R$1:$AC$1</c:f>
              <c:strCache>
                <c:ptCount val="10"/>
                <c:pt idx="0">
                  <c:v>Sink</c:v>
                </c:pt>
                <c:pt idx="9">
                  <c:v>Dishwasher</c:v>
                </c:pt>
              </c:strCache>
            </c:strRef>
          </c:cat>
          <c:val>
            <c:numRef>
              <c:f>'colab graphs'!$S$7:$AH$7</c:f>
              <c:numCache>
                <c:formatCode>General</c:formatCode>
                <c:ptCount val="16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1594200"/>
        <c:axId val="141593808"/>
      </c:barChart>
      <c:catAx>
        <c:axId val="14159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1400" b="0"/>
            </a:pPr>
            <a:endParaRPr lang="en-US"/>
          </a:p>
        </c:txPr>
        <c:crossAx val="141593416"/>
        <c:crosses val="autoZero"/>
        <c:auto val="1"/>
        <c:lblAlgn val="ctr"/>
        <c:lblOffset val="100"/>
        <c:noMultiLvlLbl val="0"/>
      </c:catAx>
      <c:valAx>
        <c:axId val="141593416"/>
        <c:scaling>
          <c:orientation val="minMax"/>
          <c:max val="2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FOG (mg/l)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41593024"/>
        <c:crosses val="autoZero"/>
        <c:crossBetween val="between"/>
      </c:valAx>
      <c:valAx>
        <c:axId val="141593808"/>
        <c:scaling>
          <c:orientation val="minMax"/>
          <c:max val="2500"/>
        </c:scaling>
        <c:delete val="1"/>
        <c:axPos val="r"/>
        <c:numFmt formatCode="General" sourceLinked="1"/>
        <c:majorTickMark val="out"/>
        <c:minorTickMark val="none"/>
        <c:tickLblPos val="nextTo"/>
        <c:crossAx val="141594200"/>
        <c:crosses val="max"/>
        <c:crossBetween val="between"/>
      </c:valAx>
      <c:catAx>
        <c:axId val="141594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593808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9408005903898879"/>
          <c:y val="3.9332703068645648E-2"/>
          <c:w val="0.47341696342967426"/>
          <c:h val="6.0016558238429225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Sink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4317432195975502"/>
                  <c:y val="-0.182037766112569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'colab graphs'!$R$8:$Y$8</c:f>
              <c:numCache>
                <c:formatCode>0</c:formatCode>
                <c:ptCount val="8"/>
                <c:pt idx="0">
                  <c:v>2810.5555555555557</c:v>
                </c:pt>
                <c:pt idx="1">
                  <c:v>2394.4444444444443</c:v>
                </c:pt>
                <c:pt idx="2">
                  <c:v>2467.2222222222222</c:v>
                </c:pt>
                <c:pt idx="3">
                  <c:v>3606.1111111111113</c:v>
                </c:pt>
                <c:pt idx="4">
                  <c:v>1519.4444444444443</c:v>
                </c:pt>
                <c:pt idx="5">
                  <c:v>3085</c:v>
                </c:pt>
                <c:pt idx="6">
                  <c:v>3422.2222222222222</c:v>
                </c:pt>
                <c:pt idx="7">
                  <c:v>1198.8888888888889</c:v>
                </c:pt>
              </c:numCache>
            </c:numRef>
          </c:xVal>
          <c:yVal>
            <c:numRef>
              <c:f>'colab graphs'!$R$5:$Y$5</c:f>
              <c:numCache>
                <c:formatCode>0</c:formatCode>
                <c:ptCount val="8"/>
                <c:pt idx="0">
                  <c:v>557.91417714146644</c:v>
                </c:pt>
                <c:pt idx="1">
                  <c:v>237.4844562926578</c:v>
                </c:pt>
                <c:pt idx="2">
                  <c:v>545.42641667542932</c:v>
                </c:pt>
                <c:pt idx="3">
                  <c:v>1000.711447285315</c:v>
                </c:pt>
                <c:pt idx="4">
                  <c:v>398.9560602569004</c:v>
                </c:pt>
                <c:pt idx="5">
                  <c:v>2022.5613561700939</c:v>
                </c:pt>
                <c:pt idx="6">
                  <c:v>1315.1377587655691</c:v>
                </c:pt>
                <c:pt idx="7">
                  <c:v>956.88173381526303</c:v>
                </c:pt>
              </c:numCache>
            </c:numRef>
          </c:yVal>
          <c:smooth val="0"/>
        </c:ser>
        <c:ser>
          <c:idx val="1"/>
          <c:order val="1"/>
          <c:tx>
            <c:v>DW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140944881889763"/>
                  <c:y val="-3.077354913969087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'colab graphs'!$AA$8:$AH$8</c:f>
              <c:numCache>
                <c:formatCode>0</c:formatCode>
                <c:ptCount val="8"/>
                <c:pt idx="0">
                  <c:v>1714.4444444444443</c:v>
                </c:pt>
                <c:pt idx="1">
                  <c:v>2186.4285714285716</c:v>
                </c:pt>
                <c:pt idx="2">
                  <c:v>1591.1111111111111</c:v>
                </c:pt>
                <c:pt idx="3">
                  <c:v>1915</c:v>
                </c:pt>
                <c:pt idx="4">
                  <c:v>1747.7777777777778</c:v>
                </c:pt>
                <c:pt idx="5">
                  <c:v>1232.7777777777778</c:v>
                </c:pt>
                <c:pt idx="6">
                  <c:v>1445.2222222222222</c:v>
                </c:pt>
                <c:pt idx="7">
                  <c:v>1543.3333333333333</c:v>
                </c:pt>
              </c:numCache>
            </c:numRef>
          </c:xVal>
          <c:yVal>
            <c:numRef>
              <c:f>'colab graphs'!$AA$5:$AH$5</c:f>
              <c:numCache>
                <c:formatCode>0</c:formatCode>
                <c:ptCount val="8"/>
                <c:pt idx="0">
                  <c:v>278.38500385219334</c:v>
                </c:pt>
                <c:pt idx="1">
                  <c:v>379.97279565601769</c:v>
                </c:pt>
                <c:pt idx="2">
                  <c:v>306.10893079555711</c:v>
                </c:pt>
                <c:pt idx="3">
                  <c:v>371.20823337130167</c:v>
                </c:pt>
                <c:pt idx="4">
                  <c:v>476.64278373855507</c:v>
                </c:pt>
                <c:pt idx="5">
                  <c:v>221.82882710793339</c:v>
                </c:pt>
                <c:pt idx="6">
                  <c:v>198.69345205122252</c:v>
                </c:pt>
                <c:pt idx="7">
                  <c:v>271.56945736134321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566984"/>
        <c:axId val="141567376"/>
      </c:scatterChart>
      <c:valAx>
        <c:axId val="141566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COD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67376"/>
        <c:crosses val="autoZero"/>
        <c:crossBetween val="midCat"/>
      </c:valAx>
      <c:valAx>
        <c:axId val="1415673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FOG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66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excluding</a:t>
            </a:r>
            <a:r>
              <a:rPr lang="en-GB" sz="1100" baseline="0"/>
              <a:t> 15/11. hatched bar is estimate</a:t>
            </a:r>
            <a:endParaRPr lang="en-GB" sz="11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[1]Sheet1!$Q$3</c:f>
              <c:strCache>
                <c:ptCount val="1"/>
                <c:pt idx="0">
                  <c:v>Emulsified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pattFill prst="wdDnDiag">
                <a:fgClr>
                  <a:srgbClr val="0070C0"/>
                </a:fgClr>
                <a:bgClr>
                  <a:schemeClr val="bg1"/>
                </a:bgClr>
              </a:pattFill>
              <a:ln w="6350">
                <a:noFill/>
              </a:ln>
            </c:spPr>
          </c:dPt>
          <c:errBars>
            <c:errBarType val="both"/>
            <c:errValType val="cust"/>
            <c:noEndCap val="0"/>
            <c:plus>
              <c:numRef>
                <c:f>[1]Sheet1!$G$2:$G$18</c:f>
                <c:numCache>
                  <c:formatCode>General</c:formatCode>
                  <c:ptCount val="17"/>
                  <c:pt idx="0">
                    <c:v>55.782909255421906</c:v>
                  </c:pt>
                  <c:pt idx="1">
                    <c:v>9.556726673229754</c:v>
                  </c:pt>
                  <c:pt idx="2">
                    <c:v>39.110395214533732</c:v>
                  </c:pt>
                  <c:pt idx="3">
                    <c:v>118.4906471989828</c:v>
                  </c:pt>
                  <c:pt idx="4">
                    <c:v>39.017161155297288</c:v>
                  </c:pt>
                  <c:pt idx="5">
                    <c:v>78.773741544263146</c:v>
                  </c:pt>
                  <c:pt idx="6">
                    <c:v>100.97210493703192</c:v>
                  </c:pt>
                  <c:pt idx="7">
                    <c:v>59.962791754027648</c:v>
                  </c:pt>
                  <c:pt idx="9">
                    <c:v>9.0433068901926887</c:v>
                  </c:pt>
                  <c:pt idx="10">
                    <c:v>21.96495447621518</c:v>
                  </c:pt>
                  <c:pt idx="11">
                    <c:v>1.3893155937300372</c:v>
                  </c:pt>
                  <c:pt idx="12">
                    <c:v>15.698862996956752</c:v>
                  </c:pt>
                  <c:pt idx="13">
                    <c:v>35.733313492503882</c:v>
                  </c:pt>
                  <c:pt idx="14">
                    <c:v>21.387975506468027</c:v>
                  </c:pt>
                  <c:pt idx="15">
                    <c:v>38.232860316950337</c:v>
                  </c:pt>
                  <c:pt idx="16">
                    <c:v>33.820420059603933</c:v>
                  </c:pt>
                </c:numCache>
              </c:numRef>
            </c:plus>
            <c:minus>
              <c:numRef>
                <c:f>[1]Sheet1!$G$2:$G$18</c:f>
                <c:numCache>
                  <c:formatCode>General</c:formatCode>
                  <c:ptCount val="17"/>
                  <c:pt idx="0">
                    <c:v>55.782909255421906</c:v>
                  </c:pt>
                  <c:pt idx="1">
                    <c:v>9.556726673229754</c:v>
                  </c:pt>
                  <c:pt idx="2">
                    <c:v>39.110395214533732</c:v>
                  </c:pt>
                  <c:pt idx="3">
                    <c:v>118.4906471989828</c:v>
                  </c:pt>
                  <c:pt idx="4">
                    <c:v>39.017161155297288</c:v>
                  </c:pt>
                  <c:pt idx="5">
                    <c:v>78.773741544263146</c:v>
                  </c:pt>
                  <c:pt idx="6">
                    <c:v>100.97210493703192</c:v>
                  </c:pt>
                  <c:pt idx="7">
                    <c:v>59.962791754027648</c:v>
                  </c:pt>
                  <c:pt idx="9">
                    <c:v>9.0433068901926887</c:v>
                  </c:pt>
                  <c:pt idx="10">
                    <c:v>21.96495447621518</c:v>
                  </c:pt>
                  <c:pt idx="11">
                    <c:v>1.3893155937300372</c:v>
                  </c:pt>
                  <c:pt idx="12">
                    <c:v>15.698862996956752</c:v>
                  </c:pt>
                  <c:pt idx="13">
                    <c:v>35.733313492503882</c:v>
                  </c:pt>
                  <c:pt idx="14">
                    <c:v>21.387975506468027</c:v>
                  </c:pt>
                  <c:pt idx="15">
                    <c:v>38.232860316950337</c:v>
                  </c:pt>
                  <c:pt idx="16">
                    <c:v>33.820420059603933</c:v>
                  </c:pt>
                </c:numCache>
              </c:numRef>
            </c:minus>
          </c:errBars>
          <c:cat>
            <c:strRef>
              <c:f>[1]Sheet1!$C$2:$C$18</c:f>
              <c:strCache>
                <c:ptCount val="17"/>
                <c:pt idx="0">
                  <c:v>Sink 1</c:v>
                </c:pt>
                <c:pt idx="1">
                  <c:v>3</c:v>
                </c:pt>
                <c:pt idx="2">
                  <c:v>8</c:v>
                </c:pt>
                <c:pt idx="3">
                  <c:v>10</c:v>
                </c:pt>
                <c:pt idx="4">
                  <c:v>17</c:v>
                </c:pt>
                <c:pt idx="5">
                  <c:v>24</c:v>
                </c:pt>
                <c:pt idx="6">
                  <c:v>1D</c:v>
                </c:pt>
                <c:pt idx="7">
                  <c:v>6D</c:v>
                </c:pt>
                <c:pt idx="9">
                  <c:v>DW 1</c:v>
                </c:pt>
                <c:pt idx="10">
                  <c:v>3</c:v>
                </c:pt>
                <c:pt idx="11">
                  <c:v>8</c:v>
                </c:pt>
                <c:pt idx="12">
                  <c:v>17</c:v>
                </c:pt>
                <c:pt idx="13">
                  <c:v>24</c:v>
                </c:pt>
                <c:pt idx="14">
                  <c:v>1D</c:v>
                </c:pt>
                <c:pt idx="15">
                  <c:v>6D</c:v>
                </c:pt>
                <c:pt idx="16">
                  <c:v>8D</c:v>
                </c:pt>
              </c:strCache>
            </c:strRef>
          </c:cat>
          <c:val>
            <c:numRef>
              <c:f>[1]Sheet1!$F$2:$F$18</c:f>
              <c:numCache>
                <c:formatCode>General</c:formatCode>
                <c:ptCount val="17"/>
                <c:pt idx="0">
                  <c:v>336.83224626043102</c:v>
                </c:pt>
                <c:pt idx="1">
                  <c:v>154.94496338916895</c:v>
                </c:pt>
                <c:pt idx="2">
                  <c:v>193.68607219043011</c:v>
                </c:pt>
                <c:pt idx="3">
                  <c:v>538.47679141523884</c:v>
                </c:pt>
                <c:pt idx="4">
                  <c:v>123.78170564082023</c:v>
                </c:pt>
                <c:pt idx="5">
                  <c:v>453.87826274511417</c:v>
                </c:pt>
                <c:pt idx="6">
                  <c:v>439.62678936318827</c:v>
                </c:pt>
                <c:pt idx="7">
                  <c:v>232.7874503450027</c:v>
                </c:pt>
                <c:pt idx="9">
                  <c:v>216.98456968945399</c:v>
                </c:pt>
                <c:pt idx="10">
                  <c:v>379.97279565601769</c:v>
                </c:pt>
                <c:pt idx="11">
                  <c:v>233.04861030686553</c:v>
                </c:pt>
                <c:pt idx="12">
                  <c:v>371.20823337130167</c:v>
                </c:pt>
                <c:pt idx="13">
                  <c:v>432.45618031081762</c:v>
                </c:pt>
                <c:pt idx="14">
                  <c:v>221.82882710793339</c:v>
                </c:pt>
                <c:pt idx="15">
                  <c:v>198.69345205122252</c:v>
                </c:pt>
                <c:pt idx="16">
                  <c:v>271.56945736134321</c:v>
                </c:pt>
              </c:numCache>
            </c:numRef>
          </c:val>
        </c:ser>
        <c:ser>
          <c:idx val="1"/>
          <c:order val="1"/>
          <c:tx>
            <c:strRef>
              <c:f>[1]Sheet1!$Q$4</c:f>
              <c:strCache>
                <c:ptCount val="1"/>
                <c:pt idx="0">
                  <c:v>Free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[1]Sheet1!$I$2:$I$18</c:f>
                <c:numCache>
                  <c:formatCode>General</c:formatCode>
                  <c:ptCount val="17"/>
                  <c:pt idx="0">
                    <c:v>68.947388217606743</c:v>
                  </c:pt>
                  <c:pt idx="1">
                    <c:v>23.167559151832222</c:v>
                  </c:pt>
                  <c:pt idx="2">
                    <c:v>254.81729558164071</c:v>
                  </c:pt>
                  <c:pt idx="3">
                    <c:v>395.0249610855667</c:v>
                  </c:pt>
                  <c:pt idx="4">
                    <c:v>142.52477667881573</c:v>
                  </c:pt>
                  <c:pt idx="5">
                    <c:v>462.24941313011402</c:v>
                  </c:pt>
                  <c:pt idx="6">
                    <c:v>372.87132336633232</c:v>
                  </c:pt>
                  <c:pt idx="7">
                    <c:v>344.08393056147321</c:v>
                  </c:pt>
                  <c:pt idx="9">
                    <c:v>54.694488823726545</c:v>
                  </c:pt>
                  <c:pt idx="10">
                    <c:v>0</c:v>
                  </c:pt>
                  <c:pt idx="11">
                    <c:v>66.319219242075008</c:v>
                  </c:pt>
                  <c:pt idx="12">
                    <c:v>0</c:v>
                  </c:pt>
                  <c:pt idx="13">
                    <c:v>30.766436483841307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[1]Sheet1!$I$2:$I$18</c:f>
                <c:numCache>
                  <c:formatCode>General</c:formatCode>
                  <c:ptCount val="17"/>
                  <c:pt idx="0">
                    <c:v>68.947388217606743</c:v>
                  </c:pt>
                  <c:pt idx="1">
                    <c:v>23.167559151832222</c:v>
                  </c:pt>
                  <c:pt idx="2">
                    <c:v>254.81729558164071</c:v>
                  </c:pt>
                  <c:pt idx="3">
                    <c:v>395.0249610855667</c:v>
                  </c:pt>
                  <c:pt idx="4">
                    <c:v>142.52477667881573</c:v>
                  </c:pt>
                  <c:pt idx="5">
                    <c:v>462.24941313011402</c:v>
                  </c:pt>
                  <c:pt idx="6">
                    <c:v>372.87132336633232</c:v>
                  </c:pt>
                  <c:pt idx="7">
                    <c:v>344.08393056147321</c:v>
                  </c:pt>
                  <c:pt idx="9">
                    <c:v>54.694488823726545</c:v>
                  </c:pt>
                  <c:pt idx="10">
                    <c:v>0</c:v>
                  </c:pt>
                  <c:pt idx="11">
                    <c:v>66.319219242075008</c:v>
                  </c:pt>
                  <c:pt idx="12">
                    <c:v>0</c:v>
                  </c:pt>
                  <c:pt idx="13">
                    <c:v>30.766436483841307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</c:errBars>
          <c:cat>
            <c:strRef>
              <c:f>[1]Sheet1!$C$2:$C$18</c:f>
              <c:strCache>
                <c:ptCount val="17"/>
                <c:pt idx="0">
                  <c:v>Sink 1</c:v>
                </c:pt>
                <c:pt idx="1">
                  <c:v>3</c:v>
                </c:pt>
                <c:pt idx="2">
                  <c:v>8</c:v>
                </c:pt>
                <c:pt idx="3">
                  <c:v>10</c:v>
                </c:pt>
                <c:pt idx="4">
                  <c:v>17</c:v>
                </c:pt>
                <c:pt idx="5">
                  <c:v>24</c:v>
                </c:pt>
                <c:pt idx="6">
                  <c:v>1D</c:v>
                </c:pt>
                <c:pt idx="7">
                  <c:v>6D</c:v>
                </c:pt>
                <c:pt idx="9">
                  <c:v>DW 1</c:v>
                </c:pt>
                <c:pt idx="10">
                  <c:v>3</c:v>
                </c:pt>
                <c:pt idx="11">
                  <c:v>8</c:v>
                </c:pt>
                <c:pt idx="12">
                  <c:v>17</c:v>
                </c:pt>
                <c:pt idx="13">
                  <c:v>24</c:v>
                </c:pt>
                <c:pt idx="14">
                  <c:v>1D</c:v>
                </c:pt>
                <c:pt idx="15">
                  <c:v>6D</c:v>
                </c:pt>
                <c:pt idx="16">
                  <c:v>8D</c:v>
                </c:pt>
              </c:strCache>
            </c:strRef>
          </c:cat>
          <c:val>
            <c:numRef>
              <c:f>[1]Sheet1!$H$2:$H$18</c:f>
              <c:numCache>
                <c:formatCode>General</c:formatCode>
                <c:ptCount val="17"/>
                <c:pt idx="0">
                  <c:v>221.0819308810353</c:v>
                </c:pt>
                <c:pt idx="1">
                  <c:v>82.539492903488807</c:v>
                </c:pt>
                <c:pt idx="2">
                  <c:v>351.74034448499924</c:v>
                </c:pt>
                <c:pt idx="3">
                  <c:v>462.23465587007604</c:v>
                </c:pt>
                <c:pt idx="4">
                  <c:v>275.17435461608017</c:v>
                </c:pt>
                <c:pt idx="5">
                  <c:v>1568.6830934249799</c:v>
                </c:pt>
                <c:pt idx="6">
                  <c:v>875.51096940238074</c:v>
                </c:pt>
                <c:pt idx="7">
                  <c:v>724.09428347026028</c:v>
                </c:pt>
                <c:pt idx="9">
                  <c:v>61.400434162739366</c:v>
                </c:pt>
                <c:pt idx="10">
                  <c:v>0</c:v>
                </c:pt>
                <c:pt idx="11">
                  <c:v>73.060320488691545</c:v>
                </c:pt>
                <c:pt idx="12">
                  <c:v>0</c:v>
                </c:pt>
                <c:pt idx="13">
                  <c:v>44.186603427737438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141568160"/>
        <c:axId val="141568552"/>
      </c:barChart>
      <c:barChart>
        <c:barDir val="col"/>
        <c:grouping val="clustered"/>
        <c:varyColors val="0"/>
        <c:ser>
          <c:idx val="2"/>
          <c:order val="2"/>
          <c:tx>
            <c:strRef>
              <c:f>[1]Sheet1!$Q$6</c:f>
              <c:strCache>
                <c:ptCount val="1"/>
                <c:pt idx="0">
                  <c:v>blank 1</c:v>
                </c:pt>
              </c:strCache>
            </c:strRef>
          </c:tx>
          <c:invertIfNegative val="0"/>
          <c:val>
            <c:numRef>
              <c:f>[1]Sheet1!$R$6:$Z$6</c:f>
              <c:numCache>
                <c:formatCode>General</c:formatCode>
                <c:ptCount val="9"/>
              </c:numCache>
            </c:numRef>
          </c:val>
        </c:ser>
        <c:ser>
          <c:idx val="3"/>
          <c:order val="3"/>
          <c:tx>
            <c:strRef>
              <c:f>[1]Sheet1!$Q$7</c:f>
              <c:strCache>
                <c:ptCount val="1"/>
                <c:pt idx="0">
                  <c:v>blank 2</c:v>
                </c:pt>
              </c:strCache>
            </c:strRef>
          </c:tx>
          <c:invertIfNegative val="0"/>
          <c:val>
            <c:numRef>
              <c:f>[1]Sheet1!$R$7:$Z$7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69336"/>
        <c:axId val="141568944"/>
      </c:barChart>
      <c:catAx>
        <c:axId val="14156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568552"/>
        <c:crosses val="autoZero"/>
        <c:auto val="1"/>
        <c:lblAlgn val="ctr"/>
        <c:lblOffset val="100"/>
        <c:tickLblSkip val="1"/>
        <c:noMultiLvlLbl val="0"/>
      </c:catAx>
      <c:valAx>
        <c:axId val="141568552"/>
        <c:scaling>
          <c:orientation val="minMax"/>
          <c:max val="3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FOG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568160"/>
        <c:crosses val="autoZero"/>
        <c:crossBetween val="between"/>
      </c:valAx>
      <c:valAx>
        <c:axId val="141568944"/>
        <c:scaling>
          <c:orientation val="minMax"/>
          <c:max val="9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41569336"/>
        <c:crosses val="max"/>
        <c:crossBetween val="between"/>
      </c:valAx>
      <c:catAx>
        <c:axId val="141569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41568944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2"/>
        <c:delete val="1"/>
      </c:legendEntry>
      <c:legendEntry>
        <c:idx val="3"/>
        <c:delete val="1"/>
      </c:legendEntry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 to N'!$X$3</c:f>
              <c:strCache>
                <c:ptCount val="1"/>
                <c:pt idx="0">
                  <c:v>FOG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 to N'!$Y$6:$AA$6</c:f>
                <c:numCache>
                  <c:formatCode>General</c:formatCode>
                  <c:ptCount val="3"/>
                  <c:pt idx="0">
                    <c:v>221.25673534653328</c:v>
                  </c:pt>
                  <c:pt idx="1">
                    <c:v>104.98715771962607</c:v>
                  </c:pt>
                  <c:pt idx="2">
                    <c:v>189.55053842675446</c:v>
                  </c:pt>
                </c:numCache>
              </c:numRef>
            </c:plus>
            <c:minus>
              <c:numRef>
                <c:f>'C to N'!$Y$6:$AA$6</c:f>
                <c:numCache>
                  <c:formatCode>General</c:formatCode>
                  <c:ptCount val="3"/>
                  <c:pt idx="0">
                    <c:v>221.25673534653328</c:v>
                  </c:pt>
                  <c:pt idx="1">
                    <c:v>104.98715771962607</c:v>
                  </c:pt>
                  <c:pt idx="2">
                    <c:v>189.55053842675446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 to N'!$Y$2:$AA$2</c:f>
              <c:strCache>
                <c:ptCount val="3"/>
                <c:pt idx="0">
                  <c:v>SINK</c:v>
                </c:pt>
                <c:pt idx="1">
                  <c:v>ME</c:v>
                </c:pt>
                <c:pt idx="2">
                  <c:v>DW</c:v>
                </c:pt>
              </c:strCache>
            </c:strRef>
          </c:cat>
          <c:val>
            <c:numRef>
              <c:f>'C to N'!$Y$3:$AA$3</c:f>
              <c:numCache>
                <c:formatCode>0</c:formatCode>
                <c:ptCount val="3"/>
                <c:pt idx="0">
                  <c:v>502.82039583333335</c:v>
                </c:pt>
                <c:pt idx="1">
                  <c:v>219.37095833333333</c:v>
                </c:pt>
                <c:pt idx="2">
                  <c:v>296.55822916666665</c:v>
                </c:pt>
              </c:numCache>
            </c:numRef>
          </c:val>
        </c:ser>
        <c:ser>
          <c:idx val="1"/>
          <c:order val="1"/>
          <c:tx>
            <c:strRef>
              <c:f>'C to N'!$X$4</c:f>
              <c:strCache>
                <c:ptCount val="1"/>
                <c:pt idx="0">
                  <c:v>Carbohydrate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 to N'!$Y$7:$AA$7</c:f>
                <c:numCache>
                  <c:formatCode>General</c:formatCode>
                  <c:ptCount val="3"/>
                  <c:pt idx="0">
                    <c:v>130.04618567988075</c:v>
                  </c:pt>
                  <c:pt idx="1">
                    <c:v>63.028815753314319</c:v>
                  </c:pt>
                  <c:pt idx="2">
                    <c:v>515.7616944028739</c:v>
                  </c:pt>
                </c:numCache>
              </c:numRef>
            </c:plus>
            <c:minus>
              <c:numRef>
                <c:f>'C to N'!$Y$7:$AA$7</c:f>
                <c:numCache>
                  <c:formatCode>General</c:formatCode>
                  <c:ptCount val="3"/>
                  <c:pt idx="0">
                    <c:v>130.04618567988075</c:v>
                  </c:pt>
                  <c:pt idx="1">
                    <c:v>63.028815753314319</c:v>
                  </c:pt>
                  <c:pt idx="2">
                    <c:v>515.7616944028739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 to N'!$Y$2:$AA$2</c:f>
              <c:strCache>
                <c:ptCount val="3"/>
                <c:pt idx="0">
                  <c:v>SINK</c:v>
                </c:pt>
                <c:pt idx="1">
                  <c:v>ME</c:v>
                </c:pt>
                <c:pt idx="2">
                  <c:v>DW</c:v>
                </c:pt>
              </c:strCache>
            </c:strRef>
          </c:cat>
          <c:val>
            <c:numRef>
              <c:f>'C to N'!$Y$4:$AA$4</c:f>
              <c:numCache>
                <c:formatCode>0</c:formatCode>
                <c:ptCount val="3"/>
                <c:pt idx="0">
                  <c:v>230.91714071240631</c:v>
                </c:pt>
                <c:pt idx="1">
                  <c:v>258.47786820925552</c:v>
                </c:pt>
                <c:pt idx="2">
                  <c:v>648.18376221192227</c:v>
                </c:pt>
              </c:numCache>
            </c:numRef>
          </c:val>
        </c:ser>
        <c:ser>
          <c:idx val="2"/>
          <c:order val="2"/>
          <c:tx>
            <c:strRef>
              <c:f>'C to N'!$X$5</c:f>
              <c:strCache>
                <c:ptCount val="1"/>
                <c:pt idx="0">
                  <c:v>Protein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 to N'!$Y$8:$AA$8</c:f>
                <c:numCache>
                  <c:formatCode>General</c:formatCode>
                  <c:ptCount val="3"/>
                  <c:pt idx="0">
                    <c:v>38.955275271676157</c:v>
                  </c:pt>
                  <c:pt idx="1">
                    <c:v>47.994855040849593</c:v>
                  </c:pt>
                  <c:pt idx="2">
                    <c:v>71.718113059362494</c:v>
                  </c:pt>
                </c:numCache>
              </c:numRef>
            </c:plus>
            <c:minus>
              <c:numRef>
                <c:f>'C to N'!$Y$8:$AA$8</c:f>
                <c:numCache>
                  <c:formatCode>General</c:formatCode>
                  <c:ptCount val="3"/>
                  <c:pt idx="0">
                    <c:v>38.955275271676157</c:v>
                  </c:pt>
                  <c:pt idx="1">
                    <c:v>47.994855040849593</c:v>
                  </c:pt>
                  <c:pt idx="2">
                    <c:v>71.718113059362494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 to N'!$Y$2:$AA$2</c:f>
              <c:strCache>
                <c:ptCount val="3"/>
                <c:pt idx="0">
                  <c:v>SINK</c:v>
                </c:pt>
                <c:pt idx="1">
                  <c:v>ME</c:v>
                </c:pt>
                <c:pt idx="2">
                  <c:v>DW</c:v>
                </c:pt>
              </c:strCache>
            </c:strRef>
          </c:cat>
          <c:val>
            <c:numRef>
              <c:f>'C to N'!$Y$5:$AA$5</c:f>
              <c:numCache>
                <c:formatCode>0.0</c:formatCode>
                <c:ptCount val="3"/>
                <c:pt idx="0">
                  <c:v>57.469666666666669</c:v>
                </c:pt>
                <c:pt idx="1">
                  <c:v>123.78671969696971</c:v>
                </c:pt>
                <c:pt idx="2">
                  <c:v>229.97422727272726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100"/>
        <c:axId val="141241872"/>
        <c:axId val="141242264"/>
      </c:barChart>
      <c:catAx>
        <c:axId val="14124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42264"/>
        <c:crosses val="autoZero"/>
        <c:auto val="1"/>
        <c:lblAlgn val="ctr"/>
        <c:lblOffset val="100"/>
        <c:noMultiLvlLbl val="0"/>
      </c:catAx>
      <c:valAx>
        <c:axId val="141242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Carbon</a:t>
                </a:r>
                <a:r>
                  <a:rPr lang="en-US" baseline="0"/>
                  <a:t> </a:t>
                </a:r>
                <a:r>
                  <a:rPr lang="en-US"/>
                  <a:t>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4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CODt v TOCth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Sink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8694098485399788"/>
                  <c:y val="-0.202523636217253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 to N'!$F$3:$F$10</c:f>
              <c:numCache>
                <c:formatCode>0</c:formatCode>
                <c:ptCount val="8"/>
                <c:pt idx="0" formatCode="General">
                  <c:v>1981.6666666666667</c:v>
                </c:pt>
                <c:pt idx="1">
                  <c:v>5363.333333333333</c:v>
                </c:pt>
                <c:pt idx="2">
                  <c:v>1553.3333333333333</c:v>
                </c:pt>
                <c:pt idx="3">
                  <c:v>2466.6666666666665</c:v>
                </c:pt>
                <c:pt idx="4">
                  <c:v>3798.3333333333335</c:v>
                </c:pt>
                <c:pt idx="5">
                  <c:v>4078.3333333333335</c:v>
                </c:pt>
                <c:pt idx="6">
                  <c:v>1481.6666666666667</c:v>
                </c:pt>
                <c:pt idx="7">
                  <c:v>2368.3333333333335</c:v>
                </c:pt>
              </c:numCache>
            </c:numRef>
          </c:xVal>
          <c:yVal>
            <c:numRef>
              <c:f>'C to N'!$P$3:$P$10</c:f>
              <c:numCache>
                <c:formatCode>0</c:formatCode>
                <c:ptCount val="8"/>
                <c:pt idx="0">
                  <c:v>621.20192307692309</c:v>
                </c:pt>
                <c:pt idx="1">
                  <c:v>1314.0295897435899</c:v>
                </c:pt>
                <c:pt idx="2">
                  <c:v>440.35402564102571</c:v>
                </c:pt>
                <c:pt idx="3">
                  <c:v>561.79806122448986</c:v>
                </c:pt>
                <c:pt idx="4">
                  <c:v>1139.2105986394558</c:v>
                </c:pt>
                <c:pt idx="5">
                  <c:v>1012.5119625850341</c:v>
                </c:pt>
                <c:pt idx="6">
                  <c:v>522.19419718309859</c:v>
                </c:pt>
                <c:pt idx="7">
                  <c:v>718.35726760563387</c:v>
                </c:pt>
              </c:numCache>
            </c:numRef>
          </c:yVal>
          <c:smooth val="0"/>
        </c:ser>
        <c:ser>
          <c:idx val="1"/>
          <c:order val="1"/>
          <c:tx>
            <c:v>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85990500204439"/>
                  <c:y val="-0.112778738041859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 to N'!$F$14:$F$21</c:f>
              <c:numCache>
                <c:formatCode>0</c:formatCode>
                <c:ptCount val="8"/>
                <c:pt idx="0">
                  <c:v>2130</c:v>
                </c:pt>
                <c:pt idx="1">
                  <c:v>3846.6666666666665</c:v>
                </c:pt>
                <c:pt idx="2">
                  <c:v>2581.6666666666665</c:v>
                </c:pt>
                <c:pt idx="3">
                  <c:v>2358</c:v>
                </c:pt>
                <c:pt idx="4">
                  <c:v>1250</c:v>
                </c:pt>
                <c:pt idx="5">
                  <c:v>3240</c:v>
                </c:pt>
                <c:pt idx="6">
                  <c:v>2463.3333333333335</c:v>
                </c:pt>
                <c:pt idx="7">
                  <c:v>3350</c:v>
                </c:pt>
              </c:numCache>
            </c:numRef>
          </c:xVal>
          <c:yVal>
            <c:numRef>
              <c:f>'C to N'!$P$14:$P$21</c:f>
              <c:numCache>
                <c:formatCode>0</c:formatCode>
                <c:ptCount val="8"/>
                <c:pt idx="0">
                  <c:v>402.9096478873239</c:v>
                </c:pt>
                <c:pt idx="1">
                  <c:v>750.9955915492958</c:v>
                </c:pt>
                <c:pt idx="2">
                  <c:v>493.5690046948356</c:v>
                </c:pt>
                <c:pt idx="4">
                  <c:v>381.26759090909093</c:v>
                </c:pt>
                <c:pt idx="5">
                  <c:v>758.80487121212127</c:v>
                </c:pt>
                <c:pt idx="6">
                  <c:v>525.5274393939394</c:v>
                </c:pt>
                <c:pt idx="7">
                  <c:v>777.78602272727289</c:v>
                </c:pt>
              </c:numCache>
            </c:numRef>
          </c:yVal>
          <c:smooth val="0"/>
        </c:ser>
        <c:ser>
          <c:idx val="2"/>
          <c:order val="2"/>
          <c:tx>
            <c:v>DW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853745262981686"/>
                  <c:y val="0.262391928462817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 to N'!$F$25:$F$32</c:f>
              <c:numCache>
                <c:formatCode>0</c:formatCode>
                <c:ptCount val="8"/>
                <c:pt idx="0">
                  <c:v>4470</c:v>
                </c:pt>
                <c:pt idx="1">
                  <c:v>3840</c:v>
                </c:pt>
                <c:pt idx="2">
                  <c:v>4080</c:v>
                </c:pt>
                <c:pt idx="3">
                  <c:v>3761.6666666666665</c:v>
                </c:pt>
                <c:pt idx="4">
                  <c:v>5305</c:v>
                </c:pt>
                <c:pt idx="5">
                  <c:v>3484</c:v>
                </c:pt>
                <c:pt idx="6">
                  <c:v>4951.666666666667</c:v>
                </c:pt>
                <c:pt idx="7">
                  <c:v>2305</c:v>
                </c:pt>
              </c:numCache>
            </c:numRef>
          </c:xVal>
          <c:yVal>
            <c:numRef>
              <c:f>'C to N'!$P$25:$P$32</c:f>
              <c:numCache>
                <c:formatCode>0</c:formatCode>
                <c:ptCount val="8"/>
                <c:pt idx="0">
                  <c:v>1114.7693333333334</c:v>
                </c:pt>
                <c:pt idx="1">
                  <c:v>997.40074822695033</c:v>
                </c:pt>
                <c:pt idx="2">
                  <c:v>817.79243971631195</c:v>
                </c:pt>
                <c:pt idx="3">
                  <c:v>1182.7328971631205</c:v>
                </c:pt>
                <c:pt idx="4">
                  <c:v>1298.1510641025641</c:v>
                </c:pt>
                <c:pt idx="6">
                  <c:v>2242.980110516934</c:v>
                </c:pt>
                <c:pt idx="7">
                  <c:v>781.81539393939397</c:v>
                </c:pt>
              </c:numCache>
            </c:numRef>
          </c:yVal>
          <c:smooth val="0"/>
        </c:ser>
        <c:ser>
          <c:idx val="3"/>
          <c:order val="3"/>
          <c:tx>
            <c:v>All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1089744152881611E-3"/>
                  <c:y val="-0.10067109148749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FFC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('C to N'!$F$3:$F$10,'C to N'!$F$14:$F$21,'C to N'!$F$25:$F$32)</c:f>
              <c:numCache>
                <c:formatCode>0</c:formatCode>
                <c:ptCount val="24"/>
                <c:pt idx="0" formatCode="General">
                  <c:v>1981.6666666666667</c:v>
                </c:pt>
                <c:pt idx="1">
                  <c:v>5363.333333333333</c:v>
                </c:pt>
                <c:pt idx="2">
                  <c:v>1553.3333333333333</c:v>
                </c:pt>
                <c:pt idx="3">
                  <c:v>2466.6666666666665</c:v>
                </c:pt>
                <c:pt idx="4">
                  <c:v>3798.3333333333335</c:v>
                </c:pt>
                <c:pt idx="5">
                  <c:v>4078.3333333333335</c:v>
                </c:pt>
                <c:pt idx="6">
                  <c:v>1481.6666666666667</c:v>
                </c:pt>
                <c:pt idx="7">
                  <c:v>2368.3333333333335</c:v>
                </c:pt>
                <c:pt idx="8">
                  <c:v>2130</c:v>
                </c:pt>
                <c:pt idx="9">
                  <c:v>3846.6666666666665</c:v>
                </c:pt>
                <c:pt idx="10">
                  <c:v>2581.6666666666665</c:v>
                </c:pt>
                <c:pt idx="11">
                  <c:v>2358</c:v>
                </c:pt>
                <c:pt idx="12">
                  <c:v>1250</c:v>
                </c:pt>
                <c:pt idx="13">
                  <c:v>3240</c:v>
                </c:pt>
                <c:pt idx="14">
                  <c:v>2463.3333333333335</c:v>
                </c:pt>
                <c:pt idx="15">
                  <c:v>3350</c:v>
                </c:pt>
                <c:pt idx="16">
                  <c:v>4470</c:v>
                </c:pt>
                <c:pt idx="17">
                  <c:v>3840</c:v>
                </c:pt>
                <c:pt idx="18">
                  <c:v>4080</c:v>
                </c:pt>
                <c:pt idx="19">
                  <c:v>3761.6666666666665</c:v>
                </c:pt>
                <c:pt idx="20">
                  <c:v>5305</c:v>
                </c:pt>
                <c:pt idx="21">
                  <c:v>3484</c:v>
                </c:pt>
                <c:pt idx="22">
                  <c:v>4951.666666666667</c:v>
                </c:pt>
                <c:pt idx="23">
                  <c:v>2305</c:v>
                </c:pt>
              </c:numCache>
            </c:numRef>
          </c:xVal>
          <c:yVal>
            <c:numRef>
              <c:f>('C to N'!$P$3:$P$10,'C to N'!$P$14:$P$21,'C to N'!$P$25:$P$32)</c:f>
              <c:numCache>
                <c:formatCode>0</c:formatCode>
                <c:ptCount val="24"/>
                <c:pt idx="0">
                  <c:v>621.20192307692309</c:v>
                </c:pt>
                <c:pt idx="1">
                  <c:v>1314.0295897435899</c:v>
                </c:pt>
                <c:pt idx="2">
                  <c:v>440.35402564102571</c:v>
                </c:pt>
                <c:pt idx="3">
                  <c:v>561.79806122448986</c:v>
                </c:pt>
                <c:pt idx="4">
                  <c:v>1139.2105986394558</c:v>
                </c:pt>
                <c:pt idx="5">
                  <c:v>1012.5119625850341</c:v>
                </c:pt>
                <c:pt idx="6">
                  <c:v>522.19419718309859</c:v>
                </c:pt>
                <c:pt idx="7">
                  <c:v>718.35726760563387</c:v>
                </c:pt>
                <c:pt idx="8">
                  <c:v>402.9096478873239</c:v>
                </c:pt>
                <c:pt idx="9">
                  <c:v>750.9955915492958</c:v>
                </c:pt>
                <c:pt idx="10">
                  <c:v>493.5690046948356</c:v>
                </c:pt>
                <c:pt idx="12">
                  <c:v>381.26759090909093</c:v>
                </c:pt>
                <c:pt idx="13">
                  <c:v>758.80487121212127</c:v>
                </c:pt>
                <c:pt idx="14">
                  <c:v>525.5274393939394</c:v>
                </c:pt>
                <c:pt idx="15">
                  <c:v>777.78602272727289</c:v>
                </c:pt>
                <c:pt idx="16">
                  <c:v>1114.7693333333334</c:v>
                </c:pt>
                <c:pt idx="17">
                  <c:v>997.40074822695033</c:v>
                </c:pt>
                <c:pt idx="18">
                  <c:v>817.79243971631195</c:v>
                </c:pt>
                <c:pt idx="19">
                  <c:v>1182.7328971631205</c:v>
                </c:pt>
                <c:pt idx="20">
                  <c:v>1298.1510641025641</c:v>
                </c:pt>
                <c:pt idx="22">
                  <c:v>2242.980110516934</c:v>
                </c:pt>
                <c:pt idx="23">
                  <c:v>781.81539393939397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243440"/>
        <c:axId val="141243832"/>
      </c:scatterChart>
      <c:valAx>
        <c:axId val="141243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CODt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43832"/>
        <c:crosses val="autoZero"/>
        <c:crossBetween val="midCat"/>
      </c:valAx>
      <c:valAx>
        <c:axId val="141243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Calculated TOC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43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CODs v TOCth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Sink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8694098485399788"/>
                  <c:y val="-0.202523636217253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 to N'!$E$3:$E$10</c:f>
              <c:numCache>
                <c:formatCode>0</c:formatCode>
                <c:ptCount val="8"/>
                <c:pt idx="0" formatCode="General">
                  <c:v>530</c:v>
                </c:pt>
                <c:pt idx="1">
                  <c:v>1698.3333333333333</c:v>
                </c:pt>
                <c:pt idx="2">
                  <c:v>960</c:v>
                </c:pt>
                <c:pt idx="3">
                  <c:v>1010</c:v>
                </c:pt>
                <c:pt idx="4">
                  <c:v>2035</c:v>
                </c:pt>
                <c:pt idx="5">
                  <c:v>2685</c:v>
                </c:pt>
                <c:pt idx="6">
                  <c:v>953.33333333333337</c:v>
                </c:pt>
                <c:pt idx="7">
                  <c:v>705</c:v>
                </c:pt>
              </c:numCache>
            </c:numRef>
          </c:xVal>
          <c:yVal>
            <c:numRef>
              <c:f>'C to N'!$P$3:$P$10</c:f>
              <c:numCache>
                <c:formatCode>0</c:formatCode>
                <c:ptCount val="8"/>
                <c:pt idx="0">
                  <c:v>621.20192307692309</c:v>
                </c:pt>
                <c:pt idx="1">
                  <c:v>1314.0295897435899</c:v>
                </c:pt>
                <c:pt idx="2">
                  <c:v>440.35402564102571</c:v>
                </c:pt>
                <c:pt idx="3">
                  <c:v>561.79806122448986</c:v>
                </c:pt>
                <c:pt idx="4">
                  <c:v>1139.2105986394558</c:v>
                </c:pt>
                <c:pt idx="5">
                  <c:v>1012.5119625850341</c:v>
                </c:pt>
                <c:pt idx="6">
                  <c:v>522.19419718309859</c:v>
                </c:pt>
                <c:pt idx="7">
                  <c:v>718.35726760563387</c:v>
                </c:pt>
              </c:numCache>
            </c:numRef>
          </c:yVal>
          <c:smooth val="0"/>
        </c:ser>
        <c:ser>
          <c:idx val="1"/>
          <c:order val="1"/>
          <c:tx>
            <c:v>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2724146096933191E-2"/>
                  <c:y val="-0.153482526045974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 to N'!$E$14:$E$21</c:f>
              <c:numCache>
                <c:formatCode>0</c:formatCode>
                <c:ptCount val="8"/>
                <c:pt idx="0">
                  <c:v>1025</c:v>
                </c:pt>
                <c:pt idx="1">
                  <c:v>1790</c:v>
                </c:pt>
                <c:pt idx="2">
                  <c:v>1518.3333333333333</c:v>
                </c:pt>
                <c:pt idx="3">
                  <c:v>1222</c:v>
                </c:pt>
                <c:pt idx="4">
                  <c:v>308.66666666666669</c:v>
                </c:pt>
                <c:pt idx="5">
                  <c:v>1321.6666666666667</c:v>
                </c:pt>
                <c:pt idx="6">
                  <c:v>995</c:v>
                </c:pt>
                <c:pt idx="7">
                  <c:v>1101.6666666666667</c:v>
                </c:pt>
              </c:numCache>
            </c:numRef>
          </c:xVal>
          <c:yVal>
            <c:numRef>
              <c:f>'C to N'!$P$14:$P$21</c:f>
              <c:numCache>
                <c:formatCode>0</c:formatCode>
                <c:ptCount val="8"/>
                <c:pt idx="0">
                  <c:v>402.9096478873239</c:v>
                </c:pt>
                <c:pt idx="1">
                  <c:v>750.9955915492958</c:v>
                </c:pt>
                <c:pt idx="2">
                  <c:v>493.5690046948356</c:v>
                </c:pt>
                <c:pt idx="4">
                  <c:v>381.26759090909093</c:v>
                </c:pt>
                <c:pt idx="5">
                  <c:v>758.80487121212127</c:v>
                </c:pt>
                <c:pt idx="6">
                  <c:v>525.5274393939394</c:v>
                </c:pt>
                <c:pt idx="7">
                  <c:v>777.78602272727289</c:v>
                </c:pt>
              </c:numCache>
            </c:numRef>
          </c:yVal>
          <c:smooth val="0"/>
        </c:ser>
        <c:ser>
          <c:idx val="2"/>
          <c:order val="2"/>
          <c:tx>
            <c:v>DW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853745262981686"/>
                  <c:y val="0.262391928462817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 to N'!$E$25:$E$32</c:f>
              <c:numCache>
                <c:formatCode>0</c:formatCode>
                <c:ptCount val="8"/>
                <c:pt idx="0">
                  <c:v>2681.6666666666665</c:v>
                </c:pt>
                <c:pt idx="1">
                  <c:v>3206.6666666666665</c:v>
                </c:pt>
                <c:pt idx="2">
                  <c:v>3175</c:v>
                </c:pt>
                <c:pt idx="3">
                  <c:v>1820.3333333333333</c:v>
                </c:pt>
                <c:pt idx="4">
                  <c:v>2093.3333333333335</c:v>
                </c:pt>
                <c:pt idx="5">
                  <c:v>717.33333333333337</c:v>
                </c:pt>
                <c:pt idx="6">
                  <c:v>3646.6666666666665</c:v>
                </c:pt>
                <c:pt idx="7">
                  <c:v>1148.3333333333333</c:v>
                </c:pt>
              </c:numCache>
            </c:numRef>
          </c:xVal>
          <c:yVal>
            <c:numRef>
              <c:f>'C to N'!$P$25:$P$32</c:f>
              <c:numCache>
                <c:formatCode>0</c:formatCode>
                <c:ptCount val="8"/>
                <c:pt idx="0">
                  <c:v>1114.7693333333334</c:v>
                </c:pt>
                <c:pt idx="1">
                  <c:v>997.40074822695033</c:v>
                </c:pt>
                <c:pt idx="2">
                  <c:v>817.79243971631195</c:v>
                </c:pt>
                <c:pt idx="3">
                  <c:v>1182.7328971631205</c:v>
                </c:pt>
                <c:pt idx="4">
                  <c:v>1298.1510641025641</c:v>
                </c:pt>
                <c:pt idx="6">
                  <c:v>2242.980110516934</c:v>
                </c:pt>
                <c:pt idx="7">
                  <c:v>781.81539393939397</c:v>
                </c:pt>
              </c:numCache>
            </c:numRef>
          </c:yVal>
          <c:smooth val="0"/>
        </c:ser>
        <c:ser>
          <c:idx val="3"/>
          <c:order val="3"/>
          <c:tx>
            <c:v>All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1089744152881611E-3"/>
                  <c:y val="-0.10067109148749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FFC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('C to N'!$E$3:$E$10,'C to N'!$E$14:$E$21,'C to N'!$E$25:$E$32)</c:f>
              <c:numCache>
                <c:formatCode>0</c:formatCode>
                <c:ptCount val="24"/>
                <c:pt idx="0" formatCode="General">
                  <c:v>530</c:v>
                </c:pt>
                <c:pt idx="1">
                  <c:v>1698.3333333333333</c:v>
                </c:pt>
                <c:pt idx="2">
                  <c:v>960</c:v>
                </c:pt>
                <c:pt idx="3">
                  <c:v>1010</c:v>
                </c:pt>
                <c:pt idx="4">
                  <c:v>2035</c:v>
                </c:pt>
                <c:pt idx="5">
                  <c:v>2685</c:v>
                </c:pt>
                <c:pt idx="6">
                  <c:v>953.33333333333337</c:v>
                </c:pt>
                <c:pt idx="7">
                  <c:v>705</c:v>
                </c:pt>
                <c:pt idx="8">
                  <c:v>1025</c:v>
                </c:pt>
                <c:pt idx="9">
                  <c:v>1790</c:v>
                </c:pt>
                <c:pt idx="10">
                  <c:v>1518.3333333333333</c:v>
                </c:pt>
                <c:pt idx="11">
                  <c:v>1222</c:v>
                </c:pt>
                <c:pt idx="12">
                  <c:v>308.66666666666669</c:v>
                </c:pt>
                <c:pt idx="13">
                  <c:v>1321.6666666666667</c:v>
                </c:pt>
                <c:pt idx="14">
                  <c:v>995</c:v>
                </c:pt>
                <c:pt idx="15">
                  <c:v>1101.6666666666667</c:v>
                </c:pt>
                <c:pt idx="16">
                  <c:v>2681.6666666666665</c:v>
                </c:pt>
                <c:pt idx="17">
                  <c:v>3206.6666666666665</c:v>
                </c:pt>
                <c:pt idx="18">
                  <c:v>3175</c:v>
                </c:pt>
                <c:pt idx="19">
                  <c:v>1820.3333333333333</c:v>
                </c:pt>
                <c:pt idx="20">
                  <c:v>2093.3333333333335</c:v>
                </c:pt>
                <c:pt idx="21">
                  <c:v>717.33333333333337</c:v>
                </c:pt>
                <c:pt idx="22">
                  <c:v>3646.6666666666665</c:v>
                </c:pt>
                <c:pt idx="23">
                  <c:v>1148.3333333333333</c:v>
                </c:pt>
              </c:numCache>
            </c:numRef>
          </c:xVal>
          <c:yVal>
            <c:numRef>
              <c:f>('C to N'!$P$3:$P$10,'C to N'!$P$14:$P$21,'C to N'!$P$25:$P$32)</c:f>
              <c:numCache>
                <c:formatCode>0</c:formatCode>
                <c:ptCount val="24"/>
                <c:pt idx="0">
                  <c:v>621.20192307692309</c:v>
                </c:pt>
                <c:pt idx="1">
                  <c:v>1314.0295897435899</c:v>
                </c:pt>
                <c:pt idx="2">
                  <c:v>440.35402564102571</c:v>
                </c:pt>
                <c:pt idx="3">
                  <c:v>561.79806122448986</c:v>
                </c:pt>
                <c:pt idx="4">
                  <c:v>1139.2105986394558</c:v>
                </c:pt>
                <c:pt idx="5">
                  <c:v>1012.5119625850341</c:v>
                </c:pt>
                <c:pt idx="6">
                  <c:v>522.19419718309859</c:v>
                </c:pt>
                <c:pt idx="7">
                  <c:v>718.35726760563387</c:v>
                </c:pt>
                <c:pt idx="8">
                  <c:v>402.9096478873239</c:v>
                </c:pt>
                <c:pt idx="9">
                  <c:v>750.9955915492958</c:v>
                </c:pt>
                <c:pt idx="10">
                  <c:v>493.5690046948356</c:v>
                </c:pt>
                <c:pt idx="12">
                  <c:v>381.26759090909093</c:v>
                </c:pt>
                <c:pt idx="13">
                  <c:v>758.80487121212127</c:v>
                </c:pt>
                <c:pt idx="14">
                  <c:v>525.5274393939394</c:v>
                </c:pt>
                <c:pt idx="15">
                  <c:v>777.78602272727289</c:v>
                </c:pt>
                <c:pt idx="16">
                  <c:v>1114.7693333333334</c:v>
                </c:pt>
                <c:pt idx="17">
                  <c:v>997.40074822695033</c:v>
                </c:pt>
                <c:pt idx="18">
                  <c:v>817.79243971631195</c:v>
                </c:pt>
                <c:pt idx="19">
                  <c:v>1182.7328971631205</c:v>
                </c:pt>
                <c:pt idx="20">
                  <c:v>1298.1510641025641</c:v>
                </c:pt>
                <c:pt idx="22">
                  <c:v>2242.980110516934</c:v>
                </c:pt>
                <c:pt idx="23">
                  <c:v>781.81539393939397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244224"/>
        <c:axId val="141244616"/>
      </c:scatterChart>
      <c:valAx>
        <c:axId val="141244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CODs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44616"/>
        <c:crosses val="autoZero"/>
        <c:crossBetween val="midCat"/>
      </c:valAx>
      <c:valAx>
        <c:axId val="1412446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Calculated TOC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44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235310</xdr:colOff>
      <xdr:row>16</xdr:row>
      <xdr:rowOff>153957</xdr:rowOff>
    </xdr:from>
    <xdr:to>
      <xdr:col>23</xdr:col>
      <xdr:colOff>21404</xdr:colOff>
      <xdr:row>39</xdr:row>
      <xdr:rowOff>20013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299663</xdr:colOff>
      <xdr:row>21</xdr:row>
      <xdr:rowOff>37110</xdr:rowOff>
    </xdr:from>
    <xdr:to>
      <xdr:col>14</xdr:col>
      <xdr:colOff>32107</xdr:colOff>
      <xdr:row>48</xdr:row>
      <xdr:rowOff>73269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52</xdr:col>
      <xdr:colOff>1</xdr:colOff>
      <xdr:row>24</xdr:row>
      <xdr:rowOff>0</xdr:rowOff>
    </xdr:from>
    <xdr:to>
      <xdr:col>60</xdr:col>
      <xdr:colOff>556518</xdr:colOff>
      <xdr:row>58</xdr:row>
      <xdr:rowOff>173182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300103</xdr:colOff>
      <xdr:row>14</xdr:row>
      <xdr:rowOff>9090</xdr:rowOff>
    </xdr:from>
    <xdr:to>
      <xdr:col>27</xdr:col>
      <xdr:colOff>417387</xdr:colOff>
      <xdr:row>36</xdr:row>
      <xdr:rowOff>42809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519308</xdr:colOff>
      <xdr:row>7</xdr:row>
      <xdr:rowOff>96293</xdr:rowOff>
    </xdr:from>
    <xdr:to>
      <xdr:col>41</xdr:col>
      <xdr:colOff>250520</xdr:colOff>
      <xdr:row>22</xdr:row>
      <xdr:rowOff>99424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25</xdr:row>
      <xdr:rowOff>57150</xdr:rowOff>
    </xdr:from>
    <xdr:to>
      <xdr:col>14</xdr:col>
      <xdr:colOff>5305</xdr:colOff>
      <xdr:row>47</xdr:row>
      <xdr:rowOff>167642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286338</xdr:colOff>
      <xdr:row>6</xdr:row>
      <xdr:rowOff>30975</xdr:rowOff>
    </xdr:from>
    <xdr:to>
      <xdr:col>36</xdr:col>
      <xdr:colOff>9978</xdr:colOff>
      <xdr:row>21</xdr:row>
      <xdr:rowOff>148010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244128</xdr:colOff>
      <xdr:row>15</xdr:row>
      <xdr:rowOff>32612</xdr:rowOff>
    </xdr:from>
    <xdr:to>
      <xdr:col>34</xdr:col>
      <xdr:colOff>418169</xdr:colOff>
      <xdr:row>37</xdr:row>
      <xdr:rowOff>23233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545945</xdr:colOff>
      <xdr:row>23</xdr:row>
      <xdr:rowOff>23231</xdr:rowOff>
    </xdr:from>
    <xdr:to>
      <xdr:col>27</xdr:col>
      <xdr:colOff>1010579</xdr:colOff>
      <xdr:row>42</xdr:row>
      <xdr:rowOff>104542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269488</xdr:colOff>
      <xdr:row>22</xdr:row>
      <xdr:rowOff>80382</xdr:rowOff>
    </xdr:from>
    <xdr:to>
      <xdr:col>41</xdr:col>
      <xdr:colOff>592409</xdr:colOff>
      <xdr:row>36</xdr:row>
      <xdr:rowOff>163552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38</xdr:row>
      <xdr:rowOff>0</xdr:rowOff>
    </xdr:from>
    <xdr:to>
      <xdr:col>41</xdr:col>
      <xdr:colOff>322921</xdr:colOff>
      <xdr:row>52</xdr:row>
      <xdr:rowOff>141249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490189</xdr:colOff>
      <xdr:row>19</xdr:row>
      <xdr:rowOff>91998</xdr:rowOff>
    </xdr:from>
    <xdr:to>
      <xdr:col>27</xdr:col>
      <xdr:colOff>975732</xdr:colOff>
      <xdr:row>34</xdr:row>
      <xdr:rowOff>35777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437345</xdr:colOff>
      <xdr:row>4</xdr:row>
      <xdr:rowOff>251676</xdr:rowOff>
    </xdr:from>
    <xdr:to>
      <xdr:col>48</xdr:col>
      <xdr:colOff>160985</xdr:colOff>
      <xdr:row>19</xdr:row>
      <xdr:rowOff>43467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720379</xdr:colOff>
      <xdr:row>8</xdr:row>
      <xdr:rowOff>148769</xdr:rowOff>
    </xdr:from>
    <xdr:to>
      <xdr:col>42</xdr:col>
      <xdr:colOff>383323</xdr:colOff>
      <xdr:row>31</xdr:row>
      <xdr:rowOff>69695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57150</xdr:colOff>
      <xdr:row>1</xdr:row>
      <xdr:rowOff>19050</xdr:rowOff>
    </xdr:from>
    <xdr:to>
      <xdr:col>24</xdr:col>
      <xdr:colOff>238124</xdr:colOff>
      <xdr:row>11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333376</xdr:colOff>
      <xdr:row>1</xdr:row>
      <xdr:rowOff>0</xdr:rowOff>
    </xdr:from>
    <xdr:to>
      <xdr:col>30</xdr:col>
      <xdr:colOff>142876</xdr:colOff>
      <xdr:row>10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180975</xdr:colOff>
      <xdr:row>10</xdr:row>
      <xdr:rowOff>95250</xdr:rowOff>
    </xdr:from>
    <xdr:to>
      <xdr:col>24</xdr:col>
      <xdr:colOff>228601</xdr:colOff>
      <xdr:row>21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590550</xdr:colOff>
      <xdr:row>11</xdr:row>
      <xdr:rowOff>66675</xdr:rowOff>
    </xdr:from>
    <xdr:to>
      <xdr:col>29</xdr:col>
      <xdr:colOff>447675</xdr:colOff>
      <xdr:row>21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28574</xdr:colOff>
      <xdr:row>23</xdr:row>
      <xdr:rowOff>28575</xdr:rowOff>
    </xdr:from>
    <xdr:to>
      <xdr:col>24</xdr:col>
      <xdr:colOff>323849</xdr:colOff>
      <xdr:row>45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476250</xdr:colOff>
      <xdr:row>23</xdr:row>
      <xdr:rowOff>171450</xdr:rowOff>
    </xdr:from>
    <xdr:to>
      <xdr:col>30</xdr:col>
      <xdr:colOff>190500</xdr:colOff>
      <xdr:row>45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680927</xdr:colOff>
      <xdr:row>25</xdr:row>
      <xdr:rowOff>70037</xdr:rowOff>
    </xdr:from>
    <xdr:to>
      <xdr:col>14</xdr:col>
      <xdr:colOff>84045</xdr:colOff>
      <xdr:row>38</xdr:row>
      <xdr:rowOff>177211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54908</xdr:colOff>
      <xdr:row>13</xdr:row>
      <xdr:rowOff>103094</xdr:rowOff>
    </xdr:from>
    <xdr:to>
      <xdr:col>32</xdr:col>
      <xdr:colOff>83483</xdr:colOff>
      <xdr:row>32</xdr:row>
      <xdr:rowOff>179294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531628</xdr:colOff>
      <xdr:row>6</xdr:row>
      <xdr:rowOff>99680</xdr:rowOff>
    </xdr:from>
    <xdr:to>
      <xdr:col>42</xdr:col>
      <xdr:colOff>322169</xdr:colOff>
      <xdr:row>30</xdr:row>
      <xdr:rowOff>14006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434227</xdr:colOff>
      <xdr:row>24</xdr:row>
      <xdr:rowOff>42023</xdr:rowOff>
    </xdr:from>
    <xdr:to>
      <xdr:col>21</xdr:col>
      <xdr:colOff>339397</xdr:colOff>
      <xdr:row>43</xdr:row>
      <xdr:rowOff>118223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586475</xdr:colOff>
      <xdr:row>31</xdr:row>
      <xdr:rowOff>19472</xdr:rowOff>
    </xdr:from>
    <xdr:to>
      <xdr:col>38</xdr:col>
      <xdr:colOff>208018</xdr:colOff>
      <xdr:row>47</xdr:row>
      <xdr:rowOff>87586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</xdr:colOff>
      <xdr:row>12</xdr:row>
      <xdr:rowOff>123825</xdr:rowOff>
    </xdr:from>
    <xdr:to>
      <xdr:col>34</xdr:col>
      <xdr:colOff>466725</xdr:colOff>
      <xdr:row>27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62631</xdr:colOff>
      <xdr:row>18</xdr:row>
      <xdr:rowOff>115867</xdr:rowOff>
    </xdr:from>
    <xdr:to>
      <xdr:col>25</xdr:col>
      <xdr:colOff>498432</xdr:colOff>
      <xdr:row>33</xdr:row>
      <xdr:rowOff>118998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81225/Dropbox/stream/FOG%20QUANTIFICATION%20METHOD%20DEVELOPMENT/COLAB/COLAB%20MART%20ANNA%20(Recover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81225/Dropbox/stream/RESULTS/WW%20RESULTS%20PROT%20AMMENDED%20(Autosave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e/Dropbox/stream/FOG%20QUANTIFICATION%20METHOD%20DEVELOPMENT/Copy%20of%20turbidity%20cal%20curv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81225/Dropbox/stream/FOG%20QUANTIFICATION%20METHOD%20DEVELOPMENT/COLAB/Copy%20of%20Copy%20of%20COD%20analysis%20(Recover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BER SPE"/>
      <sheetName val="METHOD"/>
      <sheetName val="OD CAL"/>
      <sheetName val="surfactants"/>
      <sheetName val="summary"/>
      <sheetName val="Sheet1"/>
      <sheetName val="colab graphs"/>
      <sheetName val="analysis"/>
    </sheetNames>
    <sheetDataSet>
      <sheetData sheetId="0">
        <row r="2">
          <cell r="AX2">
            <v>557.91417714146644</v>
          </cell>
          <cell r="AY2">
            <v>38.472166799171383</v>
          </cell>
          <cell r="AZ2">
            <v>336.83224626043102</v>
          </cell>
          <cell r="BA2">
            <v>55.782909255421906</v>
          </cell>
          <cell r="BB2">
            <v>221.0819308810353</v>
          </cell>
          <cell r="BC2">
            <v>68.947388217606743</v>
          </cell>
          <cell r="BD2">
            <v>60.598876615799725</v>
          </cell>
          <cell r="BE2">
            <v>10.896264063154025</v>
          </cell>
          <cell r="BF2" t="str">
            <v>NA</v>
          </cell>
        </row>
        <row r="3">
          <cell r="AX3">
            <v>237.4844562926578</v>
          </cell>
          <cell r="AY3">
            <v>18.431704099500507</v>
          </cell>
          <cell r="AZ3">
            <v>154.94496338916895</v>
          </cell>
          <cell r="BA3">
            <v>9.556726673229754</v>
          </cell>
          <cell r="BB3">
            <v>82.539492903488807</v>
          </cell>
          <cell r="BC3">
            <v>23.167559151832222</v>
          </cell>
          <cell r="BD3">
            <v>65.566902134586925</v>
          </cell>
          <cell r="BE3">
            <v>2.6579048642306575</v>
          </cell>
          <cell r="BF3">
            <v>267.8157490800653</v>
          </cell>
          <cell r="BG3">
            <v>56.633689210986134</v>
          </cell>
        </row>
        <row r="4">
          <cell r="AX4">
            <v>545.42641667542932</v>
          </cell>
          <cell r="AY4">
            <v>293.86329161397157</v>
          </cell>
          <cell r="AZ4">
            <v>193.68607219043011</v>
          </cell>
          <cell r="BA4">
            <v>39.110395214533732</v>
          </cell>
          <cell r="BB4">
            <v>351.74034448499924</v>
          </cell>
          <cell r="BC4">
            <v>254.81729558164071</v>
          </cell>
          <cell r="BD4">
            <v>39.603028073507382</v>
          </cell>
          <cell r="BE4">
            <v>11.547874857665882</v>
          </cell>
          <cell r="BF4">
            <v>732.51215709268843</v>
          </cell>
          <cell r="BG4">
            <v>47.414058795613407</v>
          </cell>
        </row>
        <row r="5">
          <cell r="AV5">
            <v>42684</v>
          </cell>
          <cell r="AX5">
            <v>1000.711447285315</v>
          </cell>
          <cell r="AY5">
            <v>493.26798313883819</v>
          </cell>
          <cell r="AZ5">
            <v>538.47679141523884</v>
          </cell>
          <cell r="BA5">
            <v>118.4906471989828</v>
          </cell>
          <cell r="BB5">
            <v>462.23465587007604</v>
          </cell>
          <cell r="BC5">
            <v>395.0249610855667</v>
          </cell>
        </row>
        <row r="6">
          <cell r="AX6">
            <v>398.9560602569004</v>
          </cell>
          <cell r="AY6">
            <v>145.62040726124098</v>
          </cell>
          <cell r="AZ6">
            <v>123.78170564082023</v>
          </cell>
          <cell r="BA6">
            <v>39.017161155297288</v>
          </cell>
          <cell r="BB6">
            <v>275.17435461608017</v>
          </cell>
          <cell r="BC6">
            <v>142.52477667881573</v>
          </cell>
          <cell r="BD6">
            <v>33.22743035392039</v>
          </cell>
          <cell r="BE6">
            <v>13.135638186830432</v>
          </cell>
          <cell r="BF6">
            <v>273.81600663187356</v>
          </cell>
          <cell r="BG6">
            <v>69.235022073690217</v>
          </cell>
        </row>
        <row r="7">
          <cell r="AV7">
            <v>42698</v>
          </cell>
          <cell r="AX7">
            <v>2022.5613561700939</v>
          </cell>
          <cell r="AY7">
            <v>440.80537459769107</v>
          </cell>
          <cell r="AZ7">
            <v>453.87826274511417</v>
          </cell>
          <cell r="BA7">
            <v>78.773741544263146</v>
          </cell>
          <cell r="BB7">
            <v>1568.6830934249799</v>
          </cell>
          <cell r="BC7">
            <v>462.24941313011402</v>
          </cell>
          <cell r="BD7">
            <v>23.306502283206637</v>
          </cell>
          <cell r="BE7">
            <v>7.6353993903132773</v>
          </cell>
          <cell r="BF7">
            <v>1639.5124823590957</v>
          </cell>
          <cell r="BG7">
            <v>1242.3276309222915</v>
          </cell>
          <cell r="BH7" t="str">
            <v>solid+liquid</v>
          </cell>
        </row>
        <row r="8">
          <cell r="AX8">
            <v>1315.1377587655691</v>
          </cell>
          <cell r="AY8">
            <v>428.2873154124228</v>
          </cell>
          <cell r="AZ8">
            <v>439.62678936318827</v>
          </cell>
          <cell r="BA8">
            <v>100.97210493703192</v>
          </cell>
          <cell r="BB8">
            <v>875.51096940238074</v>
          </cell>
          <cell r="BC8">
            <v>372.87132336633232</v>
          </cell>
          <cell r="BD8">
            <v>34.962345609369649</v>
          </cell>
          <cell r="BE8">
            <v>8.36326892029685</v>
          </cell>
          <cell r="BF8">
            <v>891.53075458489354</v>
          </cell>
          <cell r="BG8">
            <v>94.603401920908269</v>
          </cell>
        </row>
        <row r="9">
          <cell r="AX9">
            <v>956.88173381526303</v>
          </cell>
          <cell r="AY9">
            <v>402.23866545568819</v>
          </cell>
          <cell r="AZ9">
            <v>232.7874503450027</v>
          </cell>
          <cell r="BA9">
            <v>59.962791754027648</v>
          </cell>
          <cell r="BB9">
            <v>724.09428347026028</v>
          </cell>
          <cell r="BC9">
            <v>344.08393056147321</v>
          </cell>
          <cell r="BD9">
            <v>25.597338884616597</v>
          </cell>
          <cell r="BE9">
            <v>4.0975492897586756</v>
          </cell>
          <cell r="BF9">
            <v>601.95795391691399</v>
          </cell>
          <cell r="BG9">
            <v>42.872308191501666</v>
          </cell>
          <cell r="BH9" t="str">
            <v>red oil</v>
          </cell>
        </row>
        <row r="11">
          <cell r="AX11">
            <v>278.38500385219334</v>
          </cell>
          <cell r="AY11">
            <v>55.294453796282554</v>
          </cell>
          <cell r="AZ11">
            <v>216.98456968945399</v>
          </cell>
          <cell r="BA11">
            <v>9.0433068901926887</v>
          </cell>
          <cell r="BB11">
            <v>61.400434162739366</v>
          </cell>
          <cell r="BC11">
            <v>54.694488823726545</v>
          </cell>
          <cell r="BD11">
            <v>80.147550874776584</v>
          </cell>
          <cell r="BE11">
            <v>17.317406695946399</v>
          </cell>
          <cell r="BF11" t="str">
            <v>NA</v>
          </cell>
        </row>
        <row r="12">
          <cell r="AX12">
            <v>379.97279565601769</v>
          </cell>
          <cell r="AY12">
            <v>21.96495447621518</v>
          </cell>
          <cell r="AZ12">
            <v>379.97279565601769</v>
          </cell>
          <cell r="BA12">
            <v>21.96495447621518</v>
          </cell>
          <cell r="BB12">
            <v>0</v>
          </cell>
          <cell r="BC12">
            <v>0</v>
          </cell>
          <cell r="BD12">
            <v>100</v>
          </cell>
          <cell r="BE12">
            <v>1.0048591735576161E-14</v>
          </cell>
          <cell r="BF12">
            <v>185.50010299904352</v>
          </cell>
          <cell r="BG12">
            <v>13.282084503298812</v>
          </cell>
        </row>
        <row r="13">
          <cell r="AX13">
            <v>306.10893079555711</v>
          </cell>
          <cell r="AY13">
            <v>66.252383856409566</v>
          </cell>
          <cell r="AZ13">
            <v>233.04861030686553</v>
          </cell>
          <cell r="BA13">
            <v>1.3893155937300372</v>
          </cell>
          <cell r="BB13">
            <v>73.060320488691545</v>
          </cell>
          <cell r="BC13">
            <v>66.319219242075008</v>
          </cell>
          <cell r="BD13">
            <v>78.817732593115764</v>
          </cell>
          <cell r="BE13">
            <v>18.741901730816807</v>
          </cell>
          <cell r="BF13">
            <v>100.91030257403573</v>
          </cell>
          <cell r="BG13">
            <v>13.714420434991727</v>
          </cell>
        </row>
        <row r="14">
          <cell r="AX14">
            <v>37.791805998480925</v>
          </cell>
          <cell r="AY14">
            <v>4.0272031647561191</v>
          </cell>
          <cell r="AZ14">
            <v>37.791805998480925</v>
          </cell>
          <cell r="BA14">
            <v>4.0272031647561191</v>
          </cell>
          <cell r="BB14">
            <v>0</v>
          </cell>
          <cell r="BC14">
            <v>0</v>
          </cell>
          <cell r="BD14">
            <v>100</v>
          </cell>
          <cell r="BE14">
            <v>0</v>
          </cell>
          <cell r="BF14">
            <v>23.672432593573433</v>
          </cell>
          <cell r="BG14">
            <v>4.0777016344746508</v>
          </cell>
        </row>
        <row r="15">
          <cell r="AS15">
            <v>439.62678936318827</v>
          </cell>
          <cell r="AX15">
            <v>371.20823337130167</v>
          </cell>
          <cell r="AY15">
            <v>15.698862996956752</v>
          </cell>
          <cell r="AZ15">
            <v>371.20823337130167</v>
          </cell>
          <cell r="BA15">
            <v>15.698862996956752</v>
          </cell>
          <cell r="BB15">
            <v>0</v>
          </cell>
          <cell r="BC15">
            <v>0</v>
          </cell>
          <cell r="BD15">
            <v>100</v>
          </cell>
          <cell r="BE15">
            <v>0</v>
          </cell>
          <cell r="BF15">
            <v>122.29201273631293</v>
          </cell>
          <cell r="BG15">
            <v>24.933270689577547</v>
          </cell>
        </row>
        <row r="16">
          <cell r="AT16">
            <v>221.82882710793339</v>
          </cell>
          <cell r="AX16">
            <v>476.64278373855507</v>
          </cell>
          <cell r="AY16">
            <v>64.191725115567976</v>
          </cell>
          <cell r="AZ16">
            <v>432.45618031081762</v>
          </cell>
          <cell r="BA16">
            <v>35.733313492503882</v>
          </cell>
          <cell r="BB16">
            <v>44.186603427737438</v>
          </cell>
          <cell r="BC16">
            <v>30.766436483841307</v>
          </cell>
          <cell r="BD16">
            <v>91.29609294012441</v>
          </cell>
          <cell r="BE16">
            <v>5.9725576249798022</v>
          </cell>
          <cell r="BF16">
            <v>304.01550748723025</v>
          </cell>
          <cell r="BG16">
            <v>44.030315796187978</v>
          </cell>
          <cell r="BH16" t="str">
            <v>liquid</v>
          </cell>
        </row>
        <row r="17">
          <cell r="AX17">
            <v>221.82882710793339</v>
          </cell>
          <cell r="AY17">
            <v>21.387975506468027</v>
          </cell>
          <cell r="AZ17">
            <v>221.82882710793339</v>
          </cell>
          <cell r="BA17">
            <v>21.387975506468027</v>
          </cell>
          <cell r="BB17">
            <v>0</v>
          </cell>
          <cell r="BC17">
            <v>0</v>
          </cell>
          <cell r="BD17">
            <v>100</v>
          </cell>
          <cell r="BE17">
            <v>0</v>
          </cell>
          <cell r="BF17">
            <v>128.74104063267768</v>
          </cell>
          <cell r="BG17">
            <v>17.753809693337285</v>
          </cell>
        </row>
        <row r="18">
          <cell r="AX18">
            <v>198.69345205122252</v>
          </cell>
          <cell r="AY18">
            <v>38.232860316950337</v>
          </cell>
          <cell r="AZ18">
            <v>198.69345205122252</v>
          </cell>
          <cell r="BA18">
            <v>38.232860316950337</v>
          </cell>
          <cell r="BB18">
            <v>0</v>
          </cell>
          <cell r="BC18">
            <v>0</v>
          </cell>
          <cell r="BD18">
            <v>100</v>
          </cell>
          <cell r="BE18">
            <v>0</v>
          </cell>
          <cell r="BF18">
            <v>129.58960263629922</v>
          </cell>
          <cell r="BG18">
            <v>7.1208561618752304</v>
          </cell>
          <cell r="BH18" t="str">
            <v>yellow oil</v>
          </cell>
        </row>
        <row r="35">
          <cell r="AB35">
            <v>58.530254464159476</v>
          </cell>
        </row>
        <row r="61">
          <cell r="Y61">
            <v>453.87826274511417</v>
          </cell>
        </row>
        <row r="69">
          <cell r="Y69">
            <v>432.45618031081762</v>
          </cell>
        </row>
        <row r="90">
          <cell r="Y90">
            <v>232.7874503450027</v>
          </cell>
        </row>
        <row r="96">
          <cell r="Y96">
            <v>198.69345205122252</v>
          </cell>
        </row>
        <row r="102">
          <cell r="Y102">
            <v>271.56945736134321</v>
          </cell>
        </row>
      </sheetData>
      <sheetData sheetId="1"/>
      <sheetData sheetId="2">
        <row r="3">
          <cell r="V3">
            <v>0.54320000000000002</v>
          </cell>
          <cell r="Z3">
            <v>0.2727</v>
          </cell>
        </row>
        <row r="4">
          <cell r="V4">
            <v>0.2477</v>
          </cell>
          <cell r="Z4">
            <v>0.8619</v>
          </cell>
        </row>
        <row r="5">
          <cell r="V5">
            <v>0.43227777777777782</v>
          </cell>
          <cell r="Z5">
            <v>0.35747777777777778</v>
          </cell>
        </row>
        <row r="6">
          <cell r="V6">
            <v>0.50912222222222214</v>
          </cell>
        </row>
        <row r="7">
          <cell r="Z7">
            <v>3.832222222222223E-2</v>
          </cell>
        </row>
        <row r="8">
          <cell r="V8">
            <v>0.2147222222222222</v>
          </cell>
          <cell r="Z8">
            <v>0.80488888888888899</v>
          </cell>
        </row>
        <row r="9">
          <cell r="V9">
            <v>0.5279666666666667</v>
          </cell>
          <cell r="Z9">
            <v>1.3280111111111113</v>
          </cell>
        </row>
        <row r="10">
          <cell r="V10">
            <v>0.62371111111111111</v>
          </cell>
          <cell r="Z10">
            <v>0.34707777777777782</v>
          </cell>
        </row>
        <row r="11">
          <cell r="V11">
            <v>0.16047777777777777</v>
          </cell>
          <cell r="Z11">
            <v>0.28561111111111109</v>
          </cell>
        </row>
        <row r="12">
          <cell r="Z12">
            <v>0.46035555555555557</v>
          </cell>
        </row>
      </sheetData>
      <sheetData sheetId="3">
        <row r="3">
          <cell r="T3">
            <v>86.666666666666671</v>
          </cell>
          <cell r="V3">
            <v>33.146666666666668</v>
          </cell>
          <cell r="X3">
            <v>119.81333333333333</v>
          </cell>
          <cell r="Y3">
            <v>1.8999999999999997</v>
          </cell>
          <cell r="Z3">
            <v>16.666666666666668</v>
          </cell>
          <cell r="AA3">
            <v>18.566666666666666</v>
          </cell>
          <cell r="AD3">
            <v>7.06</v>
          </cell>
          <cell r="AE3">
            <v>11.608000000000001</v>
          </cell>
        </row>
        <row r="4">
          <cell r="T4">
            <v>110.83333333333333</v>
          </cell>
          <cell r="V4">
            <v>30.933333333333334</v>
          </cell>
          <cell r="X4">
            <v>141.76666666666665</v>
          </cell>
          <cell r="Y4">
            <v>2.2166666666666663</v>
          </cell>
          <cell r="Z4">
            <v>22.733333333333334</v>
          </cell>
          <cell r="AA4">
            <v>24.95</v>
          </cell>
          <cell r="AD4">
            <v>6.673</v>
          </cell>
          <cell r="AE4">
            <v>11.558999999999999</v>
          </cell>
        </row>
        <row r="5">
          <cell r="T5">
            <v>65.833333333333329</v>
          </cell>
          <cell r="V5">
            <v>36.946666666666665</v>
          </cell>
          <cell r="X5">
            <v>102.78</v>
          </cell>
          <cell r="Y5">
            <v>1.7</v>
          </cell>
          <cell r="Z5">
            <v>36.946666666666665</v>
          </cell>
          <cell r="AA5">
            <v>38.646666666666668</v>
          </cell>
          <cell r="AD5">
            <v>6.4349999999999996</v>
          </cell>
          <cell r="AE5">
            <v>11.43</v>
          </cell>
        </row>
        <row r="6">
          <cell r="T6">
            <v>147.91666666666666</v>
          </cell>
          <cell r="V6">
            <v>31.746666666666666</v>
          </cell>
          <cell r="X6">
            <v>179.66333333333333</v>
          </cell>
          <cell r="AD6">
            <v>6.6760000000000002</v>
          </cell>
        </row>
        <row r="7">
          <cell r="Y7">
            <v>1.3999999999999997</v>
          </cell>
          <cell r="Z7">
            <v>24.291666666666668</v>
          </cell>
          <cell r="AA7">
            <v>25.691666666666666</v>
          </cell>
          <cell r="AE7">
            <v>11.771000000000001</v>
          </cell>
        </row>
        <row r="8">
          <cell r="T8">
            <v>277.5</v>
          </cell>
          <cell r="V8">
            <v>57.083333333333336</v>
          </cell>
          <cell r="X8">
            <v>334.58333333333331</v>
          </cell>
          <cell r="Y8">
            <v>2.1583333333333337</v>
          </cell>
          <cell r="Z8">
            <v>27.958333333333332</v>
          </cell>
          <cell r="AA8">
            <v>30.116666666666667</v>
          </cell>
          <cell r="AD8">
            <v>7.0030000000000001</v>
          </cell>
          <cell r="AE8">
            <v>11.878</v>
          </cell>
        </row>
        <row r="9">
          <cell r="T9">
            <v>183.4375</v>
          </cell>
          <cell r="V9">
            <v>6.72</v>
          </cell>
          <cell r="X9">
            <v>190.1575</v>
          </cell>
          <cell r="Y9">
            <v>1.8687500000000001</v>
          </cell>
          <cell r="Z9">
            <v>7.53125</v>
          </cell>
          <cell r="AA9">
            <v>9.4</v>
          </cell>
          <cell r="AD9">
            <v>6.6449999999999996</v>
          </cell>
          <cell r="AE9">
            <v>11.686999999999999</v>
          </cell>
        </row>
        <row r="10">
          <cell r="S10">
            <v>42705</v>
          </cell>
          <cell r="T10">
            <v>380</v>
          </cell>
          <cell r="V10">
            <v>73.280000000000015</v>
          </cell>
          <cell r="X10">
            <v>453.28000000000003</v>
          </cell>
          <cell r="Y10">
            <v>3.75</v>
          </cell>
          <cell r="Z10">
            <v>29.549999999999997</v>
          </cell>
          <cell r="AA10">
            <v>33.299999999999997</v>
          </cell>
          <cell r="AD10">
            <v>6.76</v>
          </cell>
          <cell r="AE10">
            <v>11.641999999999999</v>
          </cell>
        </row>
        <row r="11">
          <cell r="S11">
            <v>42710</v>
          </cell>
          <cell r="T11">
            <v>186.66666666666666</v>
          </cell>
          <cell r="V11">
            <v>26.560000000000002</v>
          </cell>
          <cell r="X11">
            <v>213.22666666666666</v>
          </cell>
          <cell r="Y11">
            <v>2.1</v>
          </cell>
          <cell r="Z11">
            <v>27.224999999999998</v>
          </cell>
          <cell r="AA11">
            <v>29.324999999999999</v>
          </cell>
          <cell r="AD11">
            <v>6.85</v>
          </cell>
          <cell r="AE11">
            <v>11.21</v>
          </cell>
        </row>
        <row r="12">
          <cell r="S12">
            <v>42712</v>
          </cell>
          <cell r="AE12">
            <v>11.598125</v>
          </cell>
        </row>
        <row r="13">
          <cell r="T13">
            <v>179.85677083333334</v>
          </cell>
          <cell r="V13">
            <v>37.052083333333336</v>
          </cell>
          <cell r="Y13">
            <v>2.13671875</v>
          </cell>
          <cell r="Z13">
            <v>24.11286458333333</v>
          </cell>
        </row>
        <row r="27">
          <cell r="T27">
            <v>351.22648809523804</v>
          </cell>
          <cell r="U27">
            <v>834.93333333333328</v>
          </cell>
          <cell r="V27">
            <v>102.78</v>
          </cell>
          <cell r="X27"/>
          <cell r="Y27"/>
        </row>
        <row r="28">
          <cell r="T28">
            <v>42.142000000000003</v>
          </cell>
          <cell r="U28">
            <v>96.2</v>
          </cell>
          <cell r="V28">
            <v>9.4</v>
          </cell>
          <cell r="X28"/>
        </row>
        <row r="29">
          <cell r="X29"/>
        </row>
      </sheetData>
      <sheetData sheetId="4"/>
      <sheetData sheetId="5">
        <row r="2">
          <cell r="C2" t="str">
            <v>Sink 1</v>
          </cell>
          <cell r="D2">
            <v>557.91417714146644</v>
          </cell>
          <cell r="E2">
            <v>38.472166799171383</v>
          </cell>
          <cell r="F2">
            <v>336.83224626043102</v>
          </cell>
          <cell r="G2">
            <v>55.782909255421906</v>
          </cell>
          <cell r="H2">
            <v>221.0819308810353</v>
          </cell>
          <cell r="I2">
            <v>68.947388217606743</v>
          </cell>
          <cell r="L2" t="str">
            <v>NA</v>
          </cell>
        </row>
        <row r="3">
          <cell r="C3">
            <v>3</v>
          </cell>
          <cell r="D3">
            <v>237.4844562926578</v>
          </cell>
          <cell r="E3">
            <v>18.431704099500507</v>
          </cell>
          <cell r="F3">
            <v>154.94496338916895</v>
          </cell>
          <cell r="G3">
            <v>9.556726673229754</v>
          </cell>
          <cell r="H3">
            <v>82.539492903488807</v>
          </cell>
          <cell r="I3">
            <v>23.167559151832222</v>
          </cell>
          <cell r="L3">
            <v>267.8157490800653</v>
          </cell>
          <cell r="M3">
            <v>56.633689210986134</v>
          </cell>
          <cell r="Q3" t="str">
            <v>Emulsified</v>
          </cell>
        </row>
        <row r="4">
          <cell r="C4">
            <v>8</v>
          </cell>
          <cell r="D4">
            <v>545.42641667542932</v>
          </cell>
          <cell r="E4">
            <v>293.86329161397157</v>
          </cell>
          <cell r="F4">
            <v>193.68607219043011</v>
          </cell>
          <cell r="G4">
            <v>39.110395214533732</v>
          </cell>
          <cell r="H4">
            <v>351.74034448499924</v>
          </cell>
          <cell r="I4">
            <v>254.81729558164071</v>
          </cell>
          <cell r="L4">
            <v>732.51215709268843</v>
          </cell>
          <cell r="M4">
            <v>47.414058795613407</v>
          </cell>
          <cell r="Q4" t="str">
            <v>Free</v>
          </cell>
        </row>
        <row r="5">
          <cell r="C5">
            <v>10</v>
          </cell>
          <cell r="F5">
            <v>538.47679141523884</v>
          </cell>
          <cell r="G5">
            <v>118.4906471989828</v>
          </cell>
          <cell r="H5">
            <v>462.23465587007604</v>
          </cell>
          <cell r="I5">
            <v>395.0249610855667</v>
          </cell>
        </row>
        <row r="6">
          <cell r="C6">
            <v>17</v>
          </cell>
          <cell r="D6">
            <v>398.9560602569004</v>
          </cell>
          <cell r="E6">
            <v>145.62040726124098</v>
          </cell>
          <cell r="F6">
            <v>123.78170564082023</v>
          </cell>
          <cell r="G6">
            <v>39.017161155297288</v>
          </cell>
          <cell r="H6">
            <v>275.17435461608017</v>
          </cell>
          <cell r="I6">
            <v>142.52477667881573</v>
          </cell>
          <cell r="L6">
            <v>273.81600663187356</v>
          </cell>
          <cell r="M6">
            <v>69.235022073690217</v>
          </cell>
          <cell r="Q6" t="str">
            <v>blank 1</v>
          </cell>
        </row>
        <row r="7">
          <cell r="C7">
            <v>24</v>
          </cell>
          <cell r="D7">
            <v>2022.5613561700939</v>
          </cell>
          <cell r="E7">
            <v>440.80537459769107</v>
          </cell>
          <cell r="F7">
            <v>453.87826274511417</v>
          </cell>
          <cell r="G7">
            <v>78.773741544263146</v>
          </cell>
          <cell r="H7">
            <v>1568.6830934249799</v>
          </cell>
          <cell r="I7">
            <v>462.24941313011402</v>
          </cell>
          <cell r="L7">
            <v>1639.5124823590957</v>
          </cell>
          <cell r="M7">
            <v>1242.3276309222915</v>
          </cell>
          <cell r="Q7" t="str">
            <v>blank 2</v>
          </cell>
          <cell r="R7" t="str">
            <v xml:space="preserve"> </v>
          </cell>
        </row>
        <row r="8">
          <cell r="C8" t="str">
            <v>1D</v>
          </cell>
          <cell r="D8">
            <v>1315.1377587655691</v>
          </cell>
          <cell r="E8">
            <v>428.2873154124228</v>
          </cell>
          <cell r="F8">
            <v>439.62678936318827</v>
          </cell>
          <cell r="G8">
            <v>100.97210493703192</v>
          </cell>
          <cell r="H8">
            <v>875.51096940238074</v>
          </cell>
          <cell r="I8">
            <v>372.87132336633232</v>
          </cell>
          <cell r="L8">
            <v>891.53075458489354</v>
          </cell>
          <cell r="M8">
            <v>94.603401920908269</v>
          </cell>
        </row>
        <row r="9">
          <cell r="C9" t="str">
            <v>6D</v>
          </cell>
          <cell r="D9">
            <v>956.88173381526303</v>
          </cell>
          <cell r="E9">
            <v>402.23866545568819</v>
          </cell>
          <cell r="F9">
            <v>232.7874503450027</v>
          </cell>
          <cell r="G9">
            <v>59.962791754027648</v>
          </cell>
          <cell r="H9">
            <v>724.09428347026028</v>
          </cell>
          <cell r="I9">
            <v>344.08393056147321</v>
          </cell>
          <cell r="L9">
            <v>601.95795391691399</v>
          </cell>
          <cell r="M9">
            <v>42.872308191501666</v>
          </cell>
        </row>
        <row r="10">
          <cell r="C10"/>
          <cell r="F10"/>
          <cell r="G10"/>
          <cell r="H10"/>
          <cell r="I10"/>
        </row>
        <row r="11">
          <cell r="C11" t="str">
            <v>DW 1</v>
          </cell>
          <cell r="D11">
            <v>278.38500385219334</v>
          </cell>
          <cell r="E11">
            <v>55.294453796282554</v>
          </cell>
          <cell r="F11">
            <v>216.98456968945399</v>
          </cell>
          <cell r="G11">
            <v>9.0433068901926887</v>
          </cell>
          <cell r="H11">
            <v>61.400434162739366</v>
          </cell>
          <cell r="I11">
            <v>54.694488823726545</v>
          </cell>
          <cell r="L11" t="str">
            <v>NA</v>
          </cell>
        </row>
        <row r="12">
          <cell r="C12">
            <v>3</v>
          </cell>
          <cell r="D12">
            <v>379.97279565601769</v>
          </cell>
          <cell r="E12">
            <v>21.96495447621518</v>
          </cell>
          <cell r="F12">
            <v>379.97279565601769</v>
          </cell>
          <cell r="G12">
            <v>21.96495447621518</v>
          </cell>
          <cell r="H12">
            <v>0</v>
          </cell>
          <cell r="I12">
            <v>0</v>
          </cell>
          <cell r="L12">
            <v>185.50010299904352</v>
          </cell>
          <cell r="M12">
            <v>13.282084503298812</v>
          </cell>
        </row>
        <row r="13">
          <cell r="C13">
            <v>8</v>
          </cell>
          <cell r="D13">
            <v>306.10893079555711</v>
          </cell>
          <cell r="E13">
            <v>66.252383856409566</v>
          </cell>
          <cell r="F13">
            <v>233.04861030686553</v>
          </cell>
          <cell r="G13">
            <v>1.3893155937300372</v>
          </cell>
          <cell r="H13">
            <v>73.060320488691545</v>
          </cell>
          <cell r="I13">
            <v>66.319219242075008</v>
          </cell>
          <cell r="L13">
            <v>100.91030257403573</v>
          </cell>
          <cell r="M13">
            <v>13.714420434991727</v>
          </cell>
        </row>
        <row r="14">
          <cell r="C14">
            <v>17</v>
          </cell>
          <cell r="D14">
            <v>371.20823337130167</v>
          </cell>
          <cell r="E14">
            <v>15.698862996956752</v>
          </cell>
          <cell r="F14">
            <v>371.20823337130167</v>
          </cell>
          <cell r="G14">
            <v>15.698862996956752</v>
          </cell>
          <cell r="H14">
            <v>0</v>
          </cell>
          <cell r="I14">
            <v>0</v>
          </cell>
          <cell r="L14">
            <v>122.29201273631293</v>
          </cell>
          <cell r="M14">
            <v>24.933270689577547</v>
          </cell>
        </row>
        <row r="15">
          <cell r="C15">
            <v>24</v>
          </cell>
          <cell r="D15">
            <v>476.64278373855507</v>
          </cell>
          <cell r="E15">
            <v>64.191725115567976</v>
          </cell>
          <cell r="F15">
            <v>432.45618031081762</v>
          </cell>
          <cell r="G15">
            <v>35.733313492503882</v>
          </cell>
          <cell r="H15">
            <v>44.186603427737438</v>
          </cell>
          <cell r="I15">
            <v>30.766436483841307</v>
          </cell>
          <cell r="L15">
            <v>304.01550748723025</v>
          </cell>
          <cell r="M15">
            <v>44.030315796187978</v>
          </cell>
        </row>
        <row r="16">
          <cell r="C16" t="str">
            <v>1D</v>
          </cell>
          <cell r="D16">
            <v>221.82882710793339</v>
          </cell>
          <cell r="E16">
            <v>21.387975506468027</v>
          </cell>
          <cell r="F16">
            <v>221.82882710793339</v>
          </cell>
          <cell r="G16">
            <v>21.387975506468027</v>
          </cell>
          <cell r="H16">
            <v>0</v>
          </cell>
          <cell r="I16">
            <v>0</v>
          </cell>
          <cell r="L16">
            <v>128.74104063267768</v>
          </cell>
          <cell r="M16">
            <v>17.753809693337285</v>
          </cell>
        </row>
        <row r="17">
          <cell r="C17" t="str">
            <v>6D</v>
          </cell>
          <cell r="D17">
            <v>198.69345205122252</v>
          </cell>
          <cell r="E17">
            <v>38.232860316950337</v>
          </cell>
          <cell r="F17">
            <v>198.69345205122252</v>
          </cell>
          <cell r="G17">
            <v>38.232860316950337</v>
          </cell>
          <cell r="H17">
            <v>0</v>
          </cell>
          <cell r="I17">
            <v>0</v>
          </cell>
          <cell r="L17">
            <v>129.58960263629922</v>
          </cell>
          <cell r="M17">
            <v>7.1208561618752304</v>
          </cell>
        </row>
        <row r="18">
          <cell r="C18" t="str">
            <v>8D</v>
          </cell>
          <cell r="D18">
            <v>271.56945736134321</v>
          </cell>
          <cell r="E18">
            <v>33.820420059603933</v>
          </cell>
          <cell r="F18">
            <v>271.56945736134321</v>
          </cell>
          <cell r="G18">
            <v>33.820420059603933</v>
          </cell>
          <cell r="H18">
            <v>0</v>
          </cell>
          <cell r="I18">
            <v>0</v>
          </cell>
          <cell r="L18">
            <v>104.30233134068051</v>
          </cell>
          <cell r="M18">
            <v>14.033212396034161</v>
          </cell>
        </row>
        <row r="20">
          <cell r="D20">
            <v>37.791805998480925</v>
          </cell>
          <cell r="E20">
            <v>4.0272031647561191</v>
          </cell>
          <cell r="L20">
            <v>23.672432593573433</v>
          </cell>
          <cell r="M20">
            <v>4.0777016344746508</v>
          </cell>
        </row>
      </sheetData>
      <sheetData sheetId="6">
        <row r="1">
          <cell r="AJ1"/>
          <cell r="AK1"/>
          <cell r="AL1"/>
          <cell r="AM1"/>
          <cell r="AN1"/>
          <cell r="AO1"/>
          <cell r="AQ1"/>
          <cell r="AR1"/>
          <cell r="AS1"/>
          <cell r="AT1"/>
          <cell r="AU1"/>
          <cell r="AV1"/>
          <cell r="AW1"/>
          <cell r="AX1"/>
        </row>
        <row r="2">
          <cell r="AJ2"/>
          <cell r="AK2"/>
          <cell r="AL2"/>
          <cell r="AM2"/>
          <cell r="AN2"/>
          <cell r="AO2"/>
          <cell r="AQ2"/>
          <cell r="AR2"/>
          <cell r="AS2"/>
          <cell r="AT2"/>
          <cell r="AU2"/>
          <cell r="AV2"/>
          <cell r="AW2"/>
          <cell r="AX2"/>
        </row>
      </sheetData>
      <sheetData sheetId="7">
        <row r="1">
          <cell r="E1" t="str">
            <v>COD sink</v>
          </cell>
          <cell r="R1" t="str">
            <v>COD D/W</v>
          </cell>
        </row>
        <row r="2">
          <cell r="C2">
            <v>42684</v>
          </cell>
          <cell r="D2" t="str">
            <v>d</v>
          </cell>
          <cell r="E2">
            <v>3606.1111111111113</v>
          </cell>
          <cell r="F2">
            <v>162.57263334002778</v>
          </cell>
          <cell r="O2">
            <v>42677</v>
          </cell>
          <cell r="P2" t="str">
            <v>HIGH</v>
          </cell>
          <cell r="Q2" t="str">
            <v>b</v>
          </cell>
          <cell r="R2">
            <v>2186.4285714285716</v>
          </cell>
          <cell r="S2">
            <v>530.83828584069317</v>
          </cell>
        </row>
        <row r="3">
          <cell r="C3">
            <v>42705</v>
          </cell>
          <cell r="D3" t="str">
            <v>g</v>
          </cell>
          <cell r="E3">
            <v>3422.2222222222222</v>
          </cell>
          <cell r="F3">
            <v>399.22668303163812</v>
          </cell>
          <cell r="O3">
            <v>42691</v>
          </cell>
          <cell r="P3"/>
          <cell r="Q3" t="str">
            <v>d</v>
          </cell>
          <cell r="R3">
            <v>1915</v>
          </cell>
          <cell r="S3">
            <v>126.24381172952597</v>
          </cell>
        </row>
        <row r="4">
          <cell r="C4">
            <v>42698</v>
          </cell>
          <cell r="D4" t="str">
            <v>f</v>
          </cell>
          <cell r="E4">
            <v>3085</v>
          </cell>
          <cell r="F4">
            <v>183.50749303502567</v>
          </cell>
          <cell r="O4">
            <v>42698</v>
          </cell>
          <cell r="P4" t="str">
            <v>LOW</v>
          </cell>
          <cell r="Q4" t="str">
            <v>e</v>
          </cell>
          <cell r="R4">
            <v>1747.7777777777778</v>
          </cell>
          <cell r="S4">
            <v>219.95896081870475</v>
          </cell>
        </row>
        <row r="5">
          <cell r="C5">
            <v>42675</v>
          </cell>
          <cell r="D5" t="str">
            <v>a</v>
          </cell>
          <cell r="E5">
            <v>2810.5555555555557</v>
          </cell>
          <cell r="F5">
            <v>1393.8715069107977</v>
          </cell>
          <cell r="O5">
            <v>42675</v>
          </cell>
          <cell r="P5"/>
          <cell r="Q5" t="str">
            <v>a</v>
          </cell>
          <cell r="R5">
            <v>1714.4444444444443</v>
          </cell>
          <cell r="S5">
            <v>113.12173874979901</v>
          </cell>
        </row>
        <row r="6">
          <cell r="C6">
            <v>42682</v>
          </cell>
          <cell r="D6" t="str">
            <v>c</v>
          </cell>
          <cell r="E6">
            <v>2467.2222222222222</v>
          </cell>
          <cell r="F6">
            <v>365.34325564384523</v>
          </cell>
          <cell r="O6">
            <v>42682</v>
          </cell>
          <cell r="P6"/>
          <cell r="Q6" t="str">
            <v>c</v>
          </cell>
          <cell r="R6">
            <v>1591.1111111111111</v>
          </cell>
          <cell r="S6">
            <v>272.325377280765</v>
          </cell>
        </row>
        <row r="7">
          <cell r="C7">
            <v>42677</v>
          </cell>
          <cell r="D7" t="str">
            <v>b</v>
          </cell>
          <cell r="E7">
            <v>2394.4444444444443</v>
          </cell>
          <cell r="F7">
            <v>399.2606013342388</v>
          </cell>
          <cell r="O7">
            <v>42712</v>
          </cell>
          <cell r="P7"/>
          <cell r="Q7" t="str">
            <v>h</v>
          </cell>
          <cell r="R7">
            <v>1543.3333333333333</v>
          </cell>
          <cell r="S7">
            <v>152.13070038621396</v>
          </cell>
        </row>
        <row r="8">
          <cell r="C8">
            <v>42691</v>
          </cell>
          <cell r="D8" t="str">
            <v>e</v>
          </cell>
          <cell r="E8">
            <v>1519.4444444444443</v>
          </cell>
          <cell r="F8">
            <v>67.10274046399131</v>
          </cell>
          <cell r="O8">
            <v>42710</v>
          </cell>
          <cell r="P8"/>
          <cell r="Q8" t="str">
            <v>g</v>
          </cell>
          <cell r="R8">
            <v>1445.2222222222222</v>
          </cell>
          <cell r="S8">
            <v>136.2780042576367</v>
          </cell>
        </row>
        <row r="9">
          <cell r="C9">
            <v>42710</v>
          </cell>
          <cell r="D9" t="str">
            <v>h</v>
          </cell>
          <cell r="E9">
            <v>1198.8888888888889</v>
          </cell>
          <cell r="F9">
            <v>331.76401418947023</v>
          </cell>
          <cell r="O9">
            <v>42705</v>
          </cell>
          <cell r="P9"/>
          <cell r="Q9" t="str">
            <v>f</v>
          </cell>
          <cell r="R9">
            <v>1232.7777777777778</v>
          </cell>
          <cell r="S9">
            <v>141.22480109543258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BS 1"/>
      <sheetName val="CARB CURVE"/>
      <sheetName val="FFAs"/>
      <sheetName val="CARBS 2,3,4,5"/>
      <sheetName val="CP WW characteristics"/>
      <sheetName val="PROTEIN  (2)"/>
      <sheetName val="PROTEIN "/>
      <sheetName val="QA tests"/>
      <sheetName val="BODCOD"/>
      <sheetName val="Summary"/>
      <sheetName val="CSA WW characteristics"/>
      <sheetName val="SC SINK WW characteristics"/>
      <sheetName val="SOM MIXED"/>
      <sheetName val="PROTEIN CURVES"/>
      <sheetName val="Sheet1"/>
      <sheetName val="COD equivs"/>
      <sheetName val="pH temp incl colab data"/>
      <sheetName val="GRAPHS (2)"/>
    </sheetNames>
    <sheetDataSet>
      <sheetData sheetId="0"/>
      <sheetData sheetId="1"/>
      <sheetData sheetId="2"/>
      <sheetData sheetId="3"/>
      <sheetData sheetId="4">
        <row r="2">
          <cell r="Y2">
            <v>557.16666666666663</v>
          </cell>
          <cell r="Z2">
            <v>43.085186936269992</v>
          </cell>
          <cell r="AA2">
            <v>893.33333333333337</v>
          </cell>
          <cell r="AB2">
            <v>128.66929288780207</v>
          </cell>
          <cell r="AC2">
            <v>547</v>
          </cell>
          <cell r="AD2">
            <v>273.50137111173683</v>
          </cell>
          <cell r="AE2">
            <v>2681.6666666666665</v>
          </cell>
          <cell r="AF2">
            <v>88.928810479694008</v>
          </cell>
          <cell r="AG2">
            <v>4470</v>
          </cell>
          <cell r="AH2">
            <v>108.51267207105353</v>
          </cell>
        </row>
        <row r="3">
          <cell r="Y3">
            <v>646.16666666666663</v>
          </cell>
          <cell r="Z3">
            <v>59.936077059925559</v>
          </cell>
          <cell r="AA3">
            <v>920.56737588652493</v>
          </cell>
          <cell r="AB3">
            <v>108.85746270125561</v>
          </cell>
          <cell r="AC3">
            <v>318.5</v>
          </cell>
          <cell r="AD3">
            <v>239.70919882223961</v>
          </cell>
          <cell r="AE3">
            <v>3206.6666666666665</v>
          </cell>
          <cell r="AF3">
            <v>37.859388972001824</v>
          </cell>
          <cell r="AG3">
            <v>3840</v>
          </cell>
          <cell r="AH3">
            <v>108.16653826391968</v>
          </cell>
        </row>
        <row r="4">
          <cell r="Y4">
            <v>413.16666666666669</v>
          </cell>
          <cell r="Z4">
            <v>13.203534880225604</v>
          </cell>
          <cell r="AA4">
            <v>699.29078014184381</v>
          </cell>
          <cell r="AB4">
            <v>109.20954174359905</v>
          </cell>
          <cell r="AC4">
            <v>373</v>
          </cell>
          <cell r="AD4">
            <v>250.5673562138532</v>
          </cell>
          <cell r="AE4">
            <v>3175</v>
          </cell>
          <cell r="AF4">
            <v>96.566039579139826</v>
          </cell>
          <cell r="AG4">
            <v>4080</v>
          </cell>
          <cell r="AH4">
            <v>80.46738469715541</v>
          </cell>
        </row>
        <row r="5">
          <cell r="Y5">
            <v>317.16666666666669</v>
          </cell>
          <cell r="Z5">
            <v>10.598742063723098</v>
          </cell>
          <cell r="AA5">
            <v>806.24113475177307</v>
          </cell>
          <cell r="AB5">
            <v>104.97565591886952</v>
          </cell>
          <cell r="AC5">
            <v>849.5</v>
          </cell>
          <cell r="AD5">
            <v>44.547727214752491</v>
          </cell>
          <cell r="AE5">
            <v>1820.3333333333333</v>
          </cell>
          <cell r="AF5">
            <v>161.46310208011406</v>
          </cell>
          <cell r="AG5">
            <v>3761.6666666666665</v>
          </cell>
          <cell r="AH5">
            <v>82.512625296577099</v>
          </cell>
        </row>
        <row r="6">
          <cell r="Y6">
            <v>382.16666666666669</v>
          </cell>
          <cell r="Z6">
            <v>5.6862407030773268</v>
          </cell>
          <cell r="AA6">
            <v>1597.9487179487178</v>
          </cell>
          <cell r="AB6">
            <v>38.686521461625247</v>
          </cell>
          <cell r="AC6">
            <v>499.5</v>
          </cell>
          <cell r="AD6">
            <v>161.92745289171938</v>
          </cell>
          <cell r="AE6">
            <v>2093.3333333333335</v>
          </cell>
          <cell r="AF6">
            <v>56.19905100029122</v>
          </cell>
          <cell r="AG6">
            <v>5305</v>
          </cell>
          <cell r="AH6">
            <v>30.413812651491099</v>
          </cell>
        </row>
        <row r="7">
          <cell r="Y7">
            <v>365.23333333333329</v>
          </cell>
          <cell r="Z7">
            <v>6.5064070986477116</v>
          </cell>
          <cell r="AC7">
            <v>155.66666666666666</v>
          </cell>
          <cell r="AD7">
            <v>29.737742572921295</v>
          </cell>
          <cell r="AE7">
            <v>1050.6666666666667</v>
          </cell>
          <cell r="AF7">
            <v>67.002487516011925</v>
          </cell>
          <cell r="AG7">
            <v>3484</v>
          </cell>
          <cell r="AH7">
            <v>150.18987981884797</v>
          </cell>
        </row>
        <row r="8">
          <cell r="Y8">
            <v>542.5454545454545</v>
          </cell>
          <cell r="Z8">
            <v>21.493800759158042</v>
          </cell>
          <cell r="AA8">
            <v>3996.7320261437908</v>
          </cell>
          <cell r="AB8">
            <v>489.4477948862426</v>
          </cell>
          <cell r="AC8">
            <v>234</v>
          </cell>
          <cell r="AD8">
            <v>46.357307945997036</v>
          </cell>
          <cell r="AE8">
            <v>3646.6666666666665</v>
          </cell>
          <cell r="AF8">
            <v>132.69639532908695</v>
          </cell>
          <cell r="AG8">
            <v>4951.666666666667</v>
          </cell>
          <cell r="AH8">
            <v>101.03629710818451</v>
          </cell>
        </row>
        <row r="9">
          <cell r="Y9">
            <v>247.69696969696972</v>
          </cell>
          <cell r="Z9">
            <v>14.440912190841029</v>
          </cell>
          <cell r="AA9">
            <v>1305</v>
          </cell>
          <cell r="AB9">
            <v>39</v>
          </cell>
          <cell r="AC9">
            <v>92</v>
          </cell>
          <cell r="AD9">
            <v>19.924858845171276</v>
          </cell>
          <cell r="AE9">
            <v>1148.3333333333333</v>
          </cell>
          <cell r="AF9">
            <v>42.524502740576914</v>
          </cell>
          <cell r="AG9">
            <v>2305</v>
          </cell>
          <cell r="AH9">
            <v>27.838821814150108</v>
          </cell>
        </row>
      </sheetData>
      <sheetData sheetId="5"/>
      <sheetData sheetId="6"/>
      <sheetData sheetId="7"/>
      <sheetData sheetId="8"/>
      <sheetData sheetId="9">
        <row r="3">
          <cell r="U3">
            <v>244.83333333333334</v>
          </cell>
          <cell r="V3">
            <v>14.433756729740661</v>
          </cell>
        </row>
        <row r="4">
          <cell r="U4">
            <v>164.83333333333334</v>
          </cell>
          <cell r="V4">
            <v>5.8594652770822995</v>
          </cell>
        </row>
        <row r="5">
          <cell r="U5">
            <v>23.5</v>
          </cell>
          <cell r="V5">
            <v>2.8284271247461925</v>
          </cell>
        </row>
        <row r="6">
          <cell r="U6">
            <v>43.166666666666664</v>
          </cell>
          <cell r="V6">
            <v>16.010413278030427</v>
          </cell>
        </row>
        <row r="7">
          <cell r="U7">
            <v>85.166666666666671</v>
          </cell>
          <cell r="V7">
            <v>8.5049005481153745</v>
          </cell>
        </row>
        <row r="8">
          <cell r="U8">
            <v>89.833333333333329</v>
          </cell>
          <cell r="V8">
            <v>12.342339054382363</v>
          </cell>
        </row>
        <row r="9">
          <cell r="U9">
            <v>65.233333333333334</v>
          </cell>
          <cell r="V9">
            <v>6.6583281184793908</v>
          </cell>
        </row>
        <row r="10">
          <cell r="U10">
            <v>150.9</v>
          </cell>
          <cell r="V10">
            <v>6.5574385243020004</v>
          </cell>
        </row>
      </sheetData>
      <sheetData sheetId="10">
        <row r="2">
          <cell r="Y2">
            <v>233.9</v>
          </cell>
          <cell r="Z2">
            <v>16.522711641858304</v>
          </cell>
          <cell r="AA2">
            <v>433.25821596244123</v>
          </cell>
          <cell r="AB2">
            <v>9.0199511425523475</v>
          </cell>
          <cell r="AC2">
            <v>112</v>
          </cell>
          <cell r="AD2">
            <v>15.556349186104045</v>
          </cell>
          <cell r="AE2">
            <v>1025</v>
          </cell>
          <cell r="AF2">
            <v>176.77669529663689</v>
          </cell>
          <cell r="AG2">
            <v>2130</v>
          </cell>
          <cell r="AH2">
            <v>297.78347838656191</v>
          </cell>
        </row>
        <row r="3">
          <cell r="Y3">
            <v>231.56666666666663</v>
          </cell>
          <cell r="Z3">
            <v>40.066611203511194</v>
          </cell>
          <cell r="AA3">
            <v>702.36619718309851</v>
          </cell>
          <cell r="AB3">
            <v>16.415551869671457</v>
          </cell>
          <cell r="AC3">
            <v>409.33333333333331</v>
          </cell>
          <cell r="AD3">
            <v>149.82100431292452</v>
          </cell>
          <cell r="AE3">
            <v>1790</v>
          </cell>
          <cell r="AF3">
            <v>155.24174696260025</v>
          </cell>
          <cell r="AG3">
            <v>3846.6666666666665</v>
          </cell>
          <cell r="AH3">
            <v>83.116384265277887</v>
          </cell>
        </row>
        <row r="4">
          <cell r="Y4">
            <v>165.56666666666663</v>
          </cell>
          <cell r="Z4">
            <v>2.3094010767585034</v>
          </cell>
          <cell r="AA4">
            <v>573.35211267605621</v>
          </cell>
          <cell r="AB4">
            <v>11.393661079524911</v>
          </cell>
          <cell r="AC4">
            <v>195.66666666666666</v>
          </cell>
          <cell r="AD4">
            <v>43.015501081974342</v>
          </cell>
          <cell r="AE4">
            <v>1518.3333333333333</v>
          </cell>
          <cell r="AF4">
            <v>37.527767497325677</v>
          </cell>
          <cell r="AG4">
            <v>2581.6666666666665</v>
          </cell>
          <cell r="AH4">
            <v>86.071675557835704</v>
          </cell>
        </row>
        <row r="5">
          <cell r="Y5">
            <v>269.23333333333329</v>
          </cell>
          <cell r="Z5">
            <v>13.012814197295409</v>
          </cell>
          <cell r="AC5">
            <v>415.33333333333331</v>
          </cell>
          <cell r="AD5">
            <v>69.168875466739678</v>
          </cell>
          <cell r="AE5">
            <v>1222</v>
          </cell>
          <cell r="AF5">
            <v>33.181320046074113</v>
          </cell>
          <cell r="AG5">
            <v>2358</v>
          </cell>
          <cell r="AH5">
            <v>28.930952282978865</v>
          </cell>
        </row>
        <row r="6">
          <cell r="Y6">
            <v>57.545454545454547</v>
          </cell>
          <cell r="Z6">
            <v>4.4997704257325672</v>
          </cell>
          <cell r="AA6">
            <v>431.375</v>
          </cell>
          <cell r="AB6">
            <v>27.84232950922031</v>
          </cell>
          <cell r="AC6">
            <v>206</v>
          </cell>
          <cell r="AD6">
            <v>23.388031127053001</v>
          </cell>
          <cell r="AE6">
            <v>308.66666666666669</v>
          </cell>
          <cell r="AF6">
            <v>26.57693235370353</v>
          </cell>
          <cell r="AG6">
            <v>1250</v>
          </cell>
          <cell r="AH6">
            <v>69.462219947249025</v>
          </cell>
        </row>
        <row r="7">
          <cell r="Y7">
            <v>294.06060606060606</v>
          </cell>
          <cell r="Z7">
            <v>14.498028744128073</v>
          </cell>
          <cell r="AA7">
            <v>814.81249999999989</v>
          </cell>
          <cell r="AB7">
            <v>135.23417190192723</v>
          </cell>
          <cell r="AC7">
            <v>312</v>
          </cell>
          <cell r="AD7">
            <v>80.851716122788631</v>
          </cell>
          <cell r="AE7">
            <v>1321.6666666666667</v>
          </cell>
          <cell r="AF7">
            <v>37.527767497325677</v>
          </cell>
          <cell r="AG7">
            <v>3240</v>
          </cell>
          <cell r="AH7">
            <v>42.720018726587654</v>
          </cell>
        </row>
        <row r="8">
          <cell r="Y8">
            <v>254.969696969697</v>
          </cell>
          <cell r="Z8">
            <v>23.022327167542514</v>
          </cell>
          <cell r="AA8">
            <v>616.37499999999989</v>
          </cell>
          <cell r="AB8">
            <v>93.249706768975955</v>
          </cell>
          <cell r="AC8">
            <v>151</v>
          </cell>
          <cell r="AD8">
            <v>19.078784028338912</v>
          </cell>
          <cell r="AE8">
            <v>995</v>
          </cell>
          <cell r="AF8">
            <v>26.457513110645905</v>
          </cell>
          <cell r="AG8">
            <v>2463.3333333333335</v>
          </cell>
          <cell r="AH8">
            <v>23.629078131263039</v>
          </cell>
        </row>
        <row r="9">
          <cell r="Y9">
            <v>361.63636363636368</v>
          </cell>
          <cell r="Z9">
            <v>8.9535070925418996</v>
          </cell>
          <cell r="AA9">
            <v>503.5625</v>
          </cell>
          <cell r="AB9">
            <v>49.497474683058329</v>
          </cell>
          <cell r="AC9">
            <v>469</v>
          </cell>
          <cell r="AD9">
            <v>45.177427992306072</v>
          </cell>
          <cell r="AE9">
            <v>1101.6666666666667</v>
          </cell>
          <cell r="AF9">
            <v>149.77761292440621</v>
          </cell>
          <cell r="AG9">
            <v>3350</v>
          </cell>
          <cell r="AH9">
            <v>73.654599313281182</v>
          </cell>
        </row>
        <row r="29">
          <cell r="O29">
            <v>13.5</v>
          </cell>
          <cell r="P29">
            <v>10</v>
          </cell>
        </row>
      </sheetData>
      <sheetData sheetId="11">
        <row r="1">
          <cell r="AO1" t="str">
            <v>CODTOT</v>
          </cell>
          <cell r="AP1" t="str">
            <v>SD</v>
          </cell>
        </row>
        <row r="2">
          <cell r="AG2">
            <v>244.83333333333334</v>
          </cell>
          <cell r="AI2">
            <v>311.79487179487182</v>
          </cell>
          <cell r="AK2">
            <v>456.66666666666669</v>
          </cell>
          <cell r="AL2">
            <v>31.65964834506747</v>
          </cell>
          <cell r="AM2">
            <v>530</v>
          </cell>
          <cell r="AN2">
            <v>0</v>
          </cell>
          <cell r="AO2">
            <v>1981.6666666666667</v>
          </cell>
          <cell r="AP2">
            <v>67.884706181387671</v>
          </cell>
        </row>
        <row r="3">
          <cell r="U3">
            <v>311.79487179487182</v>
          </cell>
          <cell r="V3">
            <v>52.354805328887004</v>
          </cell>
          <cell r="AG3">
            <v>164.83333333333334</v>
          </cell>
          <cell r="AI3">
            <v>905.12820512820508</v>
          </cell>
          <cell r="AK3">
            <v>1067</v>
          </cell>
          <cell r="AL3" t="str">
            <v>2 clogged</v>
          </cell>
          <cell r="AM3">
            <v>1698.3333333333333</v>
          </cell>
          <cell r="AN3">
            <v>20.207259421636902</v>
          </cell>
          <cell r="AO3">
            <v>5363.333333333333</v>
          </cell>
          <cell r="AP3">
            <v>205.20315137281233</v>
          </cell>
        </row>
        <row r="4">
          <cell r="AG4">
            <v>23.5</v>
          </cell>
          <cell r="AI4">
            <v>523.84615384615392</v>
          </cell>
          <cell r="AK4">
            <v>252.66666666666666</v>
          </cell>
          <cell r="AL4">
            <v>32.715949219506506</v>
          </cell>
          <cell r="AM4">
            <v>960</v>
          </cell>
          <cell r="AN4">
            <v>25</v>
          </cell>
          <cell r="AO4">
            <v>1553.3333333333333</v>
          </cell>
          <cell r="AP4">
            <v>153.324275094759</v>
          </cell>
        </row>
        <row r="5">
          <cell r="AG5">
            <v>43.166666666666664</v>
          </cell>
          <cell r="AI5">
            <v>201.68707482993196</v>
          </cell>
          <cell r="AK5">
            <v>581.33333333333337</v>
          </cell>
          <cell r="AL5">
            <v>79.858207676689773</v>
          </cell>
          <cell r="AM5">
            <v>1010</v>
          </cell>
          <cell r="AN5">
            <v>83.516465442450325</v>
          </cell>
          <cell r="AO5">
            <v>2466.6666666666665</v>
          </cell>
          <cell r="AP5">
            <v>80.052066390152191</v>
          </cell>
        </row>
        <row r="6">
          <cell r="AG6">
            <v>85.166666666666671</v>
          </cell>
          <cell r="AI6">
            <v>651.75510204081638</v>
          </cell>
          <cell r="AK6">
            <v>1041</v>
          </cell>
          <cell r="AL6">
            <v>102.05880657738459</v>
          </cell>
          <cell r="AM6">
            <v>2035</v>
          </cell>
          <cell r="AN6">
            <v>130</v>
          </cell>
          <cell r="AO6">
            <v>3798.3333333333335</v>
          </cell>
          <cell r="AP6">
            <v>570.9932865921736</v>
          </cell>
        </row>
        <row r="7">
          <cell r="AG7">
            <v>89.833333333333329</v>
          </cell>
          <cell r="AI7">
            <v>960.59863945578229</v>
          </cell>
          <cell r="AK7">
            <v>696.5</v>
          </cell>
          <cell r="AL7">
            <v>57.27564927611035</v>
          </cell>
          <cell r="AM7">
            <v>2685</v>
          </cell>
          <cell r="AN7">
            <v>27.838821814150108</v>
          </cell>
          <cell r="AO7">
            <v>4078.3333333333335</v>
          </cell>
          <cell r="AP7">
            <v>278.58272260377765</v>
          </cell>
        </row>
        <row r="8">
          <cell r="U8">
            <v>905.12820512820508</v>
          </cell>
          <cell r="V8">
            <v>109.06090077977285</v>
          </cell>
          <cell r="AG8">
            <v>65.233333333333334</v>
          </cell>
          <cell r="AI8">
            <v>332.78873239436615</v>
          </cell>
          <cell r="AK8">
            <v>439.66666666666669</v>
          </cell>
          <cell r="AL8">
            <v>23.71356854910988</v>
          </cell>
          <cell r="AM8">
            <v>953.33333333333337</v>
          </cell>
          <cell r="AN8">
            <v>145.45904349105714</v>
          </cell>
          <cell r="AO8">
            <v>1481.6666666666667</v>
          </cell>
          <cell r="AP8">
            <v>37.527767497325677</v>
          </cell>
        </row>
        <row r="9">
          <cell r="AG9">
            <v>150.9</v>
          </cell>
          <cell r="AI9">
            <v>273.07042253521126</v>
          </cell>
          <cell r="AK9">
            <v>669</v>
          </cell>
          <cell r="AL9">
            <v>39.887341350358263</v>
          </cell>
          <cell r="AM9">
            <v>705</v>
          </cell>
          <cell r="AN9">
            <v>7.0710678118654755</v>
          </cell>
          <cell r="AO9">
            <v>2368.3333333333335</v>
          </cell>
          <cell r="AP9">
            <v>76.376261582597337</v>
          </cell>
        </row>
        <row r="13">
          <cell r="U13">
            <v>523.84615384615392</v>
          </cell>
          <cell r="V13">
            <v>29.980269646007788</v>
          </cell>
        </row>
        <row r="18">
          <cell r="U18">
            <v>201.68707482993196</v>
          </cell>
          <cell r="V18">
            <v>35.454644157130623</v>
          </cell>
        </row>
        <row r="23">
          <cell r="U23">
            <v>651.75510204081638</v>
          </cell>
          <cell r="V23">
            <v>15.574517574154212</v>
          </cell>
        </row>
        <row r="28">
          <cell r="U28">
            <v>960.59863945578229</v>
          </cell>
          <cell r="V28">
            <v>13.196577581477202</v>
          </cell>
        </row>
        <row r="33">
          <cell r="U33">
            <v>332.78873239436615</v>
          </cell>
          <cell r="V33">
            <v>13.462313403209565</v>
          </cell>
        </row>
        <row r="41">
          <cell r="U41">
            <v>273.07042253521126</v>
          </cell>
          <cell r="V41">
            <v>16.250371945753184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i"/>
      <sheetName val="callibration curves"/>
      <sheetName val="0"/>
      <sheetName val="sds 30"/>
      <sheetName val="sds 30 suppl"/>
      <sheetName val="sds 200"/>
      <sheetName val="ratios"/>
      <sheetName val="comparison sds"/>
      <sheetName val="decrease size"/>
      <sheetName val="COMPARISON REAL WW"/>
    </sheetNames>
    <sheetDataSet>
      <sheetData sheetId="0">
        <row r="3">
          <cell r="N3">
            <v>528</v>
          </cell>
          <cell r="O3">
            <v>1.3356333333333332</v>
          </cell>
        </row>
        <row r="4">
          <cell r="N4">
            <v>264</v>
          </cell>
          <cell r="O4">
            <v>0.77083333333333337</v>
          </cell>
        </row>
        <row r="5">
          <cell r="N5">
            <v>132</v>
          </cell>
          <cell r="O5">
            <v>0.43823333333333331</v>
          </cell>
        </row>
        <row r="6">
          <cell r="N6">
            <v>528</v>
          </cell>
          <cell r="O6">
            <v>1.3362999999999998</v>
          </cell>
        </row>
        <row r="7">
          <cell r="N7">
            <v>264</v>
          </cell>
          <cell r="O7">
            <v>0.7685333333333334</v>
          </cell>
        </row>
        <row r="8">
          <cell r="N8">
            <v>132</v>
          </cell>
          <cell r="O8">
            <v>0.45133333333333336</v>
          </cell>
        </row>
        <row r="9">
          <cell r="N9">
            <v>528</v>
          </cell>
          <cell r="O9">
            <v>1.3252333333333333</v>
          </cell>
        </row>
        <row r="10">
          <cell r="N10">
            <v>264</v>
          </cell>
          <cell r="O10">
            <v>0.77539999999999998</v>
          </cell>
        </row>
        <row r="11">
          <cell r="N11">
            <v>132</v>
          </cell>
          <cell r="O11">
            <v>0.43443333333333339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O18">
            <v>0</v>
          </cell>
        </row>
        <row r="19">
          <cell r="N19">
            <v>209</v>
          </cell>
          <cell r="O19">
            <v>0.84940000000000004</v>
          </cell>
        </row>
        <row r="20">
          <cell r="N20">
            <v>104.5</v>
          </cell>
          <cell r="O20">
            <v>0.44496666666666668</v>
          </cell>
        </row>
        <row r="21">
          <cell r="N21">
            <v>52.25</v>
          </cell>
          <cell r="O21">
            <v>0.2311</v>
          </cell>
        </row>
        <row r="22">
          <cell r="N22">
            <v>209</v>
          </cell>
          <cell r="O22">
            <v>0.84209999999999996</v>
          </cell>
        </row>
        <row r="23">
          <cell r="N23">
            <v>104.5</v>
          </cell>
          <cell r="O23">
            <v>0.44366666666666665</v>
          </cell>
        </row>
        <row r="24">
          <cell r="N24">
            <v>52.25</v>
          </cell>
          <cell r="O24">
            <v>0.23860000000000001</v>
          </cell>
        </row>
        <row r="25">
          <cell r="N25">
            <v>209</v>
          </cell>
          <cell r="O25">
            <v>0.83599999999999997</v>
          </cell>
        </row>
        <row r="26">
          <cell r="N26">
            <v>104.5</v>
          </cell>
          <cell r="O26">
            <v>0.44046666666666673</v>
          </cell>
        </row>
        <row r="27">
          <cell r="N27">
            <v>52.25</v>
          </cell>
          <cell r="O27">
            <v>0.23476666666666668</v>
          </cell>
        </row>
      </sheetData>
      <sheetData sheetId="1">
        <row r="2">
          <cell r="H2">
            <v>556</v>
          </cell>
          <cell r="I2">
            <v>0.88096666666666668</v>
          </cell>
        </row>
        <row r="3">
          <cell r="H3">
            <v>278</v>
          </cell>
          <cell r="I3">
            <v>0.45853333333333329</v>
          </cell>
        </row>
        <row r="4">
          <cell r="H4">
            <v>139</v>
          </cell>
          <cell r="I4">
            <v>0.23756666666666668</v>
          </cell>
        </row>
        <row r="5">
          <cell r="H5">
            <v>556</v>
          </cell>
          <cell r="I5">
            <v>0.78969999999999996</v>
          </cell>
        </row>
        <row r="6">
          <cell r="H6">
            <v>278</v>
          </cell>
          <cell r="I6">
            <v>0.40889999999999999</v>
          </cell>
        </row>
        <row r="7">
          <cell r="H7">
            <v>139</v>
          </cell>
          <cell r="I7">
            <v>0.20463333333333333</v>
          </cell>
        </row>
        <row r="8">
          <cell r="H8">
            <v>556</v>
          </cell>
          <cell r="I8">
            <v>0.71803333333333341</v>
          </cell>
        </row>
        <row r="9">
          <cell r="H9">
            <v>278</v>
          </cell>
          <cell r="I9">
            <v>0.36323333333333335</v>
          </cell>
        </row>
        <row r="10">
          <cell r="H10">
            <v>139</v>
          </cell>
          <cell r="I10">
            <v>0.18353333333333333</v>
          </cell>
        </row>
        <row r="11">
          <cell r="H11">
            <v>0</v>
          </cell>
          <cell r="I11">
            <v>0</v>
          </cell>
        </row>
        <row r="12">
          <cell r="H12">
            <v>1020.5</v>
          </cell>
          <cell r="I12">
            <v>1.7901999999999998</v>
          </cell>
        </row>
        <row r="13">
          <cell r="H13">
            <v>510.25</v>
          </cell>
          <cell r="I13">
            <v>1.0900999999999998</v>
          </cell>
        </row>
        <row r="14">
          <cell r="H14">
            <v>255.125</v>
          </cell>
          <cell r="I14">
            <v>0.58920000000000006</v>
          </cell>
        </row>
        <row r="15">
          <cell r="H15">
            <v>127.5625</v>
          </cell>
          <cell r="I15">
            <v>0.30193333333333333</v>
          </cell>
        </row>
        <row r="16">
          <cell r="H16">
            <v>1020.5</v>
          </cell>
          <cell r="I16">
            <v>1.7083666666666666</v>
          </cell>
        </row>
        <row r="17">
          <cell r="H17">
            <v>510.25</v>
          </cell>
          <cell r="I17">
            <v>1.0124333333333333</v>
          </cell>
        </row>
        <row r="18">
          <cell r="H18">
            <v>255.125</v>
          </cell>
          <cell r="I18">
            <v>0.5449666666666666</v>
          </cell>
        </row>
        <row r="19">
          <cell r="H19">
            <v>127.5625</v>
          </cell>
          <cell r="I19">
            <v>0.25866666666666666</v>
          </cell>
        </row>
        <row r="20">
          <cell r="H20">
            <v>1020.5</v>
          </cell>
          <cell r="I20">
            <v>1.6171</v>
          </cell>
        </row>
        <row r="21">
          <cell r="H21">
            <v>510.25</v>
          </cell>
          <cell r="I21">
            <v>0.93520000000000003</v>
          </cell>
        </row>
        <row r="22">
          <cell r="H22">
            <v>255.125</v>
          </cell>
          <cell r="I22">
            <v>0.49086666666666662</v>
          </cell>
        </row>
        <row r="23">
          <cell r="H23">
            <v>127.5625</v>
          </cell>
          <cell r="I23">
            <v>0.24566666666666667</v>
          </cell>
        </row>
        <row r="25">
          <cell r="D25">
            <v>341.5</v>
          </cell>
          <cell r="E25">
            <v>0.36166666666666664</v>
          </cell>
          <cell r="H25">
            <v>0</v>
          </cell>
          <cell r="I25">
            <v>0</v>
          </cell>
        </row>
        <row r="26">
          <cell r="D26">
            <v>170.75</v>
          </cell>
          <cell r="E26">
            <v>0.17390000000000003</v>
          </cell>
          <cell r="H26">
            <v>1079.75</v>
          </cell>
          <cell r="I26">
            <v>1.9745666666666664</v>
          </cell>
        </row>
        <row r="27">
          <cell r="D27">
            <v>85.375</v>
          </cell>
          <cell r="E27">
            <v>7.6633333333333331E-2</v>
          </cell>
          <cell r="H27">
            <v>539.875</v>
          </cell>
          <cell r="I27">
            <v>1.4589333333333332</v>
          </cell>
        </row>
        <row r="28">
          <cell r="D28">
            <v>341.5</v>
          </cell>
          <cell r="E28">
            <v>0.34359999999999996</v>
          </cell>
          <cell r="H28">
            <v>134.96875</v>
          </cell>
          <cell r="I28">
            <v>0.42313333333333336</v>
          </cell>
        </row>
        <row r="29">
          <cell r="D29">
            <v>170.75</v>
          </cell>
          <cell r="E29">
            <v>0.1671</v>
          </cell>
          <cell r="H29">
            <v>67.484375</v>
          </cell>
          <cell r="I29">
            <v>0.20309999999999997</v>
          </cell>
        </row>
        <row r="30">
          <cell r="D30">
            <v>85.375</v>
          </cell>
          <cell r="E30">
            <v>6.9900000000000004E-2</v>
          </cell>
          <cell r="H30">
            <v>539.875</v>
          </cell>
          <cell r="I30">
            <v>1.3325666666666665</v>
          </cell>
        </row>
        <row r="31">
          <cell r="D31">
            <v>341.5</v>
          </cell>
          <cell r="E31">
            <v>0.37836666666666668</v>
          </cell>
          <cell r="H31">
            <v>134.96875</v>
          </cell>
          <cell r="I31">
            <v>0.36726666666666663</v>
          </cell>
        </row>
        <row r="32">
          <cell r="D32">
            <v>170.75</v>
          </cell>
          <cell r="E32">
            <v>0.19276666666666667</v>
          </cell>
          <cell r="H32">
            <v>67.484375</v>
          </cell>
          <cell r="I32">
            <v>0.16243333333333335</v>
          </cell>
          <cell r="N32">
            <v>500</v>
          </cell>
          <cell r="O32">
            <v>0</v>
          </cell>
        </row>
        <row r="33">
          <cell r="D33">
            <v>85.375</v>
          </cell>
          <cell r="E33">
            <v>9.9466666666666662E-2</v>
          </cell>
          <cell r="H33">
            <v>539.875</v>
          </cell>
          <cell r="I33">
            <v>1.2579666666666667</v>
          </cell>
          <cell r="N33">
            <v>500</v>
          </cell>
          <cell r="O33">
            <v>1.5</v>
          </cell>
        </row>
        <row r="34">
          <cell r="H34">
            <v>134.96875</v>
          </cell>
          <cell r="I34">
            <v>0.33370000000000005</v>
          </cell>
        </row>
        <row r="35">
          <cell r="H35">
            <v>67.484375</v>
          </cell>
          <cell r="I35">
            <v>0.16273333333333331</v>
          </cell>
        </row>
        <row r="52">
          <cell r="D52">
            <v>242</v>
          </cell>
          <cell r="E52">
            <v>0.16756666666666667</v>
          </cell>
        </row>
        <row r="53">
          <cell r="D53">
            <v>121</v>
          </cell>
          <cell r="E53">
            <v>8.666666666666667E-2</v>
          </cell>
        </row>
        <row r="54">
          <cell r="D54">
            <v>60.5</v>
          </cell>
          <cell r="E54">
            <v>4.4233333333333326E-2</v>
          </cell>
        </row>
        <row r="55">
          <cell r="D55">
            <v>242</v>
          </cell>
          <cell r="E55">
            <v>0.16453333333333334</v>
          </cell>
        </row>
        <row r="56">
          <cell r="D56">
            <v>121</v>
          </cell>
          <cell r="E56">
            <v>8.1833333333333327E-2</v>
          </cell>
        </row>
        <row r="57">
          <cell r="D57">
            <v>60.5</v>
          </cell>
          <cell r="E57">
            <v>4.3533333333333334E-2</v>
          </cell>
        </row>
        <row r="58">
          <cell r="D58">
            <v>242</v>
          </cell>
          <cell r="E58">
            <v>0.15966666666666665</v>
          </cell>
        </row>
        <row r="59">
          <cell r="D59">
            <v>121</v>
          </cell>
          <cell r="E59">
            <v>8.2066666666666663E-2</v>
          </cell>
        </row>
        <row r="60">
          <cell r="D60">
            <v>60.5</v>
          </cell>
          <cell r="E60">
            <v>4.6699999999999998E-2</v>
          </cell>
        </row>
        <row r="73">
          <cell r="D73">
            <v>1043.5</v>
          </cell>
          <cell r="E73">
            <v>1.3809666666666667</v>
          </cell>
        </row>
        <row r="74">
          <cell r="D74">
            <v>521.75</v>
          </cell>
          <cell r="E74">
            <v>0.75509999999999999</v>
          </cell>
        </row>
        <row r="75">
          <cell r="D75">
            <v>260.875</v>
          </cell>
          <cell r="E75">
            <v>0.39966666666666667</v>
          </cell>
        </row>
        <row r="76">
          <cell r="D76">
            <v>1043.5</v>
          </cell>
          <cell r="E76">
            <v>1.3808999999999998</v>
          </cell>
        </row>
        <row r="77">
          <cell r="D77">
            <v>521.75</v>
          </cell>
          <cell r="E77">
            <v>0.77139999999999997</v>
          </cell>
        </row>
        <row r="78">
          <cell r="D78">
            <v>260.875</v>
          </cell>
          <cell r="E78">
            <v>0.40460000000000002</v>
          </cell>
        </row>
        <row r="122">
          <cell r="D122">
            <v>1792</v>
          </cell>
          <cell r="E122">
            <v>1.7266666666666666</v>
          </cell>
        </row>
        <row r="123">
          <cell r="D123">
            <v>896</v>
          </cell>
          <cell r="E123">
            <v>0.98250000000000004</v>
          </cell>
        </row>
        <row r="124">
          <cell r="D124">
            <v>448</v>
          </cell>
          <cell r="E124">
            <v>0.52156666666666662</v>
          </cell>
        </row>
        <row r="125">
          <cell r="D125">
            <v>224</v>
          </cell>
          <cell r="E125">
            <v>0.25623333333333331</v>
          </cell>
        </row>
        <row r="126">
          <cell r="D126">
            <v>1792</v>
          </cell>
          <cell r="E126">
            <v>1.8600666666666665</v>
          </cell>
        </row>
        <row r="127">
          <cell r="D127">
            <v>896</v>
          </cell>
          <cell r="E127">
            <v>1.0793333333333333</v>
          </cell>
        </row>
        <row r="128">
          <cell r="D128">
            <v>448</v>
          </cell>
          <cell r="E128">
            <v>0.57873333333333332</v>
          </cell>
        </row>
        <row r="129">
          <cell r="D129">
            <v>224</v>
          </cell>
          <cell r="E129">
            <v>0.28583333333333333</v>
          </cell>
        </row>
        <row r="130">
          <cell r="D130">
            <v>1792</v>
          </cell>
          <cell r="E130">
            <v>1.8591333333333335</v>
          </cell>
        </row>
        <row r="131">
          <cell r="D131">
            <v>896</v>
          </cell>
          <cell r="E131">
            <v>1.0722333333333334</v>
          </cell>
        </row>
        <row r="132">
          <cell r="D132">
            <v>448</v>
          </cell>
          <cell r="E132">
            <v>0.52933333333333332</v>
          </cell>
        </row>
        <row r="133">
          <cell r="D133">
            <v>224</v>
          </cell>
          <cell r="E133">
            <v>0.28776666666666667</v>
          </cell>
        </row>
        <row r="143">
          <cell r="D143">
            <v>1251.875</v>
          </cell>
          <cell r="E143">
            <v>1.3455333333333332</v>
          </cell>
        </row>
        <row r="144">
          <cell r="D144">
            <v>500.75</v>
          </cell>
          <cell r="E144">
            <v>0.55100000000000005</v>
          </cell>
        </row>
        <row r="145">
          <cell r="D145">
            <v>250.375</v>
          </cell>
          <cell r="E145">
            <v>0.3039</v>
          </cell>
        </row>
        <row r="146">
          <cell r="D146">
            <v>125.1875</v>
          </cell>
          <cell r="E146">
            <v>0.1597666666666667</v>
          </cell>
        </row>
        <row r="149">
          <cell r="D149">
            <v>1251.875</v>
          </cell>
          <cell r="E149">
            <v>1.3867666666666667</v>
          </cell>
        </row>
        <row r="150">
          <cell r="D150">
            <v>500.75</v>
          </cell>
          <cell r="E150">
            <v>0.58753333333333335</v>
          </cell>
        </row>
        <row r="151">
          <cell r="D151">
            <v>250.375</v>
          </cell>
          <cell r="E151">
            <v>0.33233333333333337</v>
          </cell>
        </row>
        <row r="152">
          <cell r="D152">
            <v>125.1875</v>
          </cell>
          <cell r="E152">
            <v>0.17633333333333331</v>
          </cell>
        </row>
        <row r="155">
          <cell r="D155">
            <v>1251.875</v>
          </cell>
          <cell r="E155">
            <v>1.4056</v>
          </cell>
        </row>
        <row r="156">
          <cell r="D156">
            <v>500.75</v>
          </cell>
          <cell r="E156">
            <v>0.64743333333333331</v>
          </cell>
        </row>
        <row r="157">
          <cell r="D157">
            <v>250.375</v>
          </cell>
          <cell r="E157">
            <v>0.33383333333333337</v>
          </cell>
        </row>
        <row r="158">
          <cell r="D158">
            <v>125.1875</v>
          </cell>
          <cell r="E158">
            <v>0.17083333333333336</v>
          </cell>
        </row>
        <row r="162">
          <cell r="D162">
            <v>206.5</v>
          </cell>
          <cell r="E162">
            <v>0.13773333333333335</v>
          </cell>
        </row>
        <row r="163">
          <cell r="D163">
            <v>103.25</v>
          </cell>
          <cell r="E163">
            <v>7.3599999999999999E-2</v>
          </cell>
        </row>
        <row r="164">
          <cell r="D164">
            <v>51.625</v>
          </cell>
          <cell r="E164">
            <v>3.9566666666666674E-2</v>
          </cell>
        </row>
        <row r="165">
          <cell r="D165">
            <v>206.5</v>
          </cell>
          <cell r="E165">
            <v>0.14383333333333334</v>
          </cell>
        </row>
        <row r="166">
          <cell r="D166">
            <v>103.25</v>
          </cell>
          <cell r="E166">
            <v>7.7100000000000002E-2</v>
          </cell>
        </row>
        <row r="167">
          <cell r="D167">
            <v>51.625</v>
          </cell>
          <cell r="E167">
            <v>3.5499999999999997E-2</v>
          </cell>
        </row>
        <row r="168">
          <cell r="D168">
            <v>206.5</v>
          </cell>
          <cell r="E168">
            <v>0.14426666666666668</v>
          </cell>
        </row>
        <row r="169">
          <cell r="D169">
            <v>103.25</v>
          </cell>
          <cell r="E169">
            <v>7.0800000000000002E-2</v>
          </cell>
        </row>
        <row r="170">
          <cell r="D170">
            <v>51.625</v>
          </cell>
          <cell r="E170">
            <v>3.953333333333333E-2</v>
          </cell>
        </row>
      </sheetData>
      <sheetData sheetId="2"/>
      <sheetData sheetId="3">
        <row r="1">
          <cell r="R1" t="str">
            <v>OIL CONC (mg/l)</v>
          </cell>
          <cell r="S1" t="str">
            <v>abs</v>
          </cell>
        </row>
        <row r="3">
          <cell r="R3">
            <v>347</v>
          </cell>
          <cell r="S3">
            <v>0.5873666666666667</v>
          </cell>
        </row>
        <row r="14">
          <cell r="R14">
            <v>509</v>
          </cell>
          <cell r="S14">
            <v>0.86453333333333326</v>
          </cell>
        </row>
        <row r="17">
          <cell r="R17">
            <v>509</v>
          </cell>
          <cell r="S17">
            <v>0.86540000000000006</v>
          </cell>
        </row>
        <row r="23">
          <cell r="R23">
            <v>509</v>
          </cell>
          <cell r="S23">
            <v>0.85906666666666665</v>
          </cell>
        </row>
        <row r="25">
          <cell r="R25">
            <v>509</v>
          </cell>
          <cell r="S25">
            <v>0.84129999999999994</v>
          </cell>
        </row>
        <row r="41">
          <cell r="R41">
            <v>350</v>
          </cell>
          <cell r="S41">
            <v>0.70296666666666663</v>
          </cell>
        </row>
        <row r="64">
          <cell r="R64">
            <v>341.5</v>
          </cell>
          <cell r="S64">
            <v>0.36166666666666664</v>
          </cell>
        </row>
        <row r="67">
          <cell r="R67">
            <v>341.5</v>
          </cell>
          <cell r="S67">
            <v>0.34359999999999996</v>
          </cell>
        </row>
        <row r="70">
          <cell r="R70">
            <v>341.5</v>
          </cell>
          <cell r="S70">
            <v>0.37836666666666668</v>
          </cell>
        </row>
        <row r="74">
          <cell r="R74">
            <v>556</v>
          </cell>
          <cell r="S74">
            <v>0.88096666666666668</v>
          </cell>
        </row>
        <row r="77">
          <cell r="R77">
            <v>556</v>
          </cell>
          <cell r="S77">
            <v>0.78969999999999996</v>
          </cell>
        </row>
        <row r="85">
          <cell r="R85">
            <v>510.25</v>
          </cell>
          <cell r="S85">
            <v>1.0900999999999998</v>
          </cell>
        </row>
        <row r="89">
          <cell r="R89">
            <v>510.25</v>
          </cell>
          <cell r="S89">
            <v>1.0124333333333333</v>
          </cell>
        </row>
      </sheetData>
      <sheetData sheetId="4"/>
      <sheetData sheetId="5">
        <row r="20">
          <cell r="P20">
            <v>461.5</v>
          </cell>
          <cell r="Q20">
            <v>0.33103333333333329</v>
          </cell>
        </row>
        <row r="45">
          <cell r="P45">
            <v>367.5</v>
          </cell>
          <cell r="Q45">
            <v>0.1855</v>
          </cell>
        </row>
        <row r="55">
          <cell r="P55">
            <v>197</v>
          </cell>
          <cell r="Q55">
            <v>0.11133333333333333</v>
          </cell>
        </row>
        <row r="58">
          <cell r="P58">
            <v>197</v>
          </cell>
          <cell r="Q58">
            <v>9.2399999999999996E-2</v>
          </cell>
        </row>
        <row r="61">
          <cell r="P61">
            <v>197</v>
          </cell>
          <cell r="Q61">
            <v>8.9633333333333343E-2</v>
          </cell>
        </row>
        <row r="64">
          <cell r="P64">
            <v>197</v>
          </cell>
          <cell r="Q64">
            <v>8.4633333333333338E-2</v>
          </cell>
        </row>
        <row r="67">
          <cell r="P67">
            <v>197</v>
          </cell>
          <cell r="Q67">
            <v>8.48E-2</v>
          </cell>
        </row>
      </sheetData>
      <sheetData sheetId="6">
        <row r="2">
          <cell r="P2">
            <v>242</v>
          </cell>
          <cell r="Q2">
            <v>0.16756666666666667</v>
          </cell>
        </row>
        <row r="5">
          <cell r="P5">
            <v>242</v>
          </cell>
          <cell r="Q5">
            <v>0.16453333333333334</v>
          </cell>
        </row>
        <row r="8">
          <cell r="P8">
            <v>242</v>
          </cell>
          <cell r="Q8">
            <v>0.15966666666666665</v>
          </cell>
        </row>
        <row r="51">
          <cell r="P51">
            <v>125</v>
          </cell>
          <cell r="Q51">
            <v>6.6833333333333342E-2</v>
          </cell>
        </row>
      </sheetData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FOG"/>
      <sheetName val="COD"/>
    </sheetNames>
    <sheetDataSet>
      <sheetData sheetId="0"/>
      <sheetData sheetId="1">
        <row r="2">
          <cell r="E2">
            <v>557.91417714146644</v>
          </cell>
          <cell r="F2">
            <v>38.472166799171383</v>
          </cell>
          <cell r="G2">
            <v>336.83224626043102</v>
          </cell>
          <cell r="H2">
            <v>55.782909255421906</v>
          </cell>
        </row>
        <row r="3">
          <cell r="E3">
            <v>237.4844562926578</v>
          </cell>
          <cell r="F3">
            <v>18.431704099500507</v>
          </cell>
          <cell r="G3">
            <v>154.94496338916895</v>
          </cell>
          <cell r="H3">
            <v>9.556726673229754</v>
          </cell>
        </row>
        <row r="4">
          <cell r="E4">
            <v>545.42641667542932</v>
          </cell>
          <cell r="F4">
            <v>293.86329161397157</v>
          </cell>
          <cell r="G4">
            <v>193.68607219043011</v>
          </cell>
          <cell r="H4">
            <v>39.110395214533732</v>
          </cell>
        </row>
        <row r="5">
          <cell r="E5">
            <v>1000.711447285315</v>
          </cell>
          <cell r="F5">
            <v>493.26798313883819</v>
          </cell>
          <cell r="G5">
            <v>538.47679141523884</v>
          </cell>
          <cell r="H5">
            <v>118.4906471989828</v>
          </cell>
        </row>
        <row r="6">
          <cell r="E6">
            <v>398.9560602569004</v>
          </cell>
          <cell r="F6">
            <v>145.62040726124098</v>
          </cell>
          <cell r="G6">
            <v>123.78170564082023</v>
          </cell>
          <cell r="H6">
            <v>39.017161155297288</v>
          </cell>
        </row>
        <row r="7">
          <cell r="E7">
            <v>2022.5613561700939</v>
          </cell>
          <cell r="F7">
            <v>440.80537459769107</v>
          </cell>
          <cell r="G7">
            <v>453.87826274511417</v>
          </cell>
          <cell r="H7">
            <v>78.773741544263146</v>
          </cell>
        </row>
        <row r="8">
          <cell r="E8">
            <v>1315.1377587655691</v>
          </cell>
          <cell r="F8">
            <v>428.2873154124228</v>
          </cell>
          <cell r="G8">
            <v>439.62678936318827</v>
          </cell>
          <cell r="H8">
            <v>100.97210493703192</v>
          </cell>
        </row>
        <row r="9">
          <cell r="E9">
            <v>956.88173381526303</v>
          </cell>
          <cell r="F9">
            <v>402.23866545568819</v>
          </cell>
          <cell r="G9">
            <v>232.7874503450027</v>
          </cell>
          <cell r="H9">
            <v>59.962791754027648</v>
          </cell>
        </row>
        <row r="11">
          <cell r="E11">
            <v>278.38500385219334</v>
          </cell>
          <cell r="F11">
            <v>55.294453796282554</v>
          </cell>
          <cell r="G11">
            <v>216.98456968945399</v>
          </cell>
          <cell r="H11">
            <v>9.0433068901926887</v>
          </cell>
        </row>
        <row r="12">
          <cell r="E12">
            <v>379.97279565601769</v>
          </cell>
          <cell r="F12">
            <v>21.96495447621518</v>
          </cell>
          <cell r="G12">
            <v>379.97279565601769</v>
          </cell>
          <cell r="H12">
            <v>21.96495447621518</v>
          </cell>
        </row>
        <row r="13">
          <cell r="E13">
            <v>306.10893079555711</v>
          </cell>
          <cell r="F13">
            <v>66.252383856409566</v>
          </cell>
          <cell r="G13">
            <v>233.04861030686553</v>
          </cell>
          <cell r="H13">
            <v>1.3893155937300372</v>
          </cell>
        </row>
        <row r="14">
          <cell r="E14">
            <v>371.20823337130167</v>
          </cell>
          <cell r="F14">
            <v>15.698862996956752</v>
          </cell>
          <cell r="G14">
            <v>371.20823337130167</v>
          </cell>
          <cell r="H14">
            <v>15.698862996956752</v>
          </cell>
        </row>
        <row r="15">
          <cell r="E15">
            <v>476.64278373855507</v>
          </cell>
          <cell r="F15">
            <v>64.191725115567976</v>
          </cell>
          <cell r="G15">
            <v>432.45618031081762</v>
          </cell>
          <cell r="H15">
            <v>35.733313492503882</v>
          </cell>
        </row>
        <row r="16">
          <cell r="E16">
            <v>221.82882710793339</v>
          </cell>
          <cell r="F16">
            <v>21.387975506468027</v>
          </cell>
          <cell r="G16">
            <v>221.82882710793339</v>
          </cell>
          <cell r="H16">
            <v>21.387975506468027</v>
          </cell>
        </row>
        <row r="17">
          <cell r="E17">
            <v>198.69345205122252</v>
          </cell>
          <cell r="F17">
            <v>38.232860316950337</v>
          </cell>
          <cell r="G17">
            <v>198.69345205122252</v>
          </cell>
          <cell r="H17">
            <v>38.232860316950337</v>
          </cell>
        </row>
        <row r="18">
          <cell r="E18">
            <v>271.56945736134321</v>
          </cell>
          <cell r="F18">
            <v>33.820420059603933</v>
          </cell>
          <cell r="G18">
            <v>271.56945736134321</v>
          </cell>
          <cell r="H18">
            <v>33.820420059603933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topLeftCell="Q1" zoomScale="89" zoomScaleNormal="89" workbookViewId="0">
      <pane ySplit="1" topLeftCell="A2" activePane="bottomLeft" state="frozen"/>
      <selection pane="bottomLeft" activeCell="J5" sqref="J5"/>
    </sheetView>
  </sheetViews>
  <sheetFormatPr defaultRowHeight="14.25" x14ac:dyDescent="0.2"/>
  <cols>
    <col min="1" max="1" width="12.140625" style="105" customWidth="1"/>
    <col min="2" max="2" width="13" style="105" customWidth="1"/>
    <col min="3" max="3" width="11.28515625" style="105" customWidth="1"/>
    <col min="4" max="4" width="9.5703125" style="105" customWidth="1"/>
    <col min="5" max="15" width="9.140625" style="105"/>
    <col min="16" max="16" width="11.28515625" style="105" bestFit="1" customWidth="1"/>
    <col min="17" max="17" width="9.140625" style="105"/>
    <col min="18" max="18" width="11.85546875" style="105" bestFit="1" customWidth="1"/>
    <col min="19" max="19" width="11.7109375" style="105" customWidth="1"/>
    <col min="20" max="21" width="10.85546875" style="105" customWidth="1"/>
    <col min="22" max="25" width="12.28515625" style="105" customWidth="1"/>
    <col min="26" max="26" width="9.140625" style="105"/>
    <col min="27" max="29" width="11.85546875" style="105" bestFit="1" customWidth="1"/>
    <col min="30" max="30" width="11.85546875" style="105" customWidth="1"/>
    <col min="31" max="34" width="11.85546875" style="105" bestFit="1" customWidth="1"/>
    <col min="35" max="16384" width="9.140625" style="105"/>
  </cols>
  <sheetData>
    <row r="1" spans="1:50" ht="42.75" x14ac:dyDescent="0.25">
      <c r="A1" s="103"/>
      <c r="B1" s="104" t="s">
        <v>148</v>
      </c>
      <c r="D1" s="103" t="s">
        <v>81</v>
      </c>
      <c r="E1" s="103" t="s">
        <v>82</v>
      </c>
      <c r="F1" s="106" t="s">
        <v>83</v>
      </c>
      <c r="G1" s="106" t="s">
        <v>84</v>
      </c>
      <c r="H1" s="106" t="s">
        <v>85</v>
      </c>
      <c r="I1" s="106" t="s">
        <v>84</v>
      </c>
      <c r="J1" s="106" t="s">
        <v>86</v>
      </c>
      <c r="K1" s="103" t="s">
        <v>84</v>
      </c>
      <c r="L1" s="103" t="s">
        <v>87</v>
      </c>
      <c r="M1" s="103" t="s">
        <v>82</v>
      </c>
      <c r="N1" s="106" t="s">
        <v>88</v>
      </c>
      <c r="O1" s="106"/>
      <c r="P1" s="106"/>
      <c r="Q1" s="106"/>
      <c r="R1" s="178" t="s">
        <v>126</v>
      </c>
      <c r="S1" s="178"/>
      <c r="T1" s="178"/>
      <c r="U1" s="178"/>
      <c r="V1" s="178"/>
      <c r="W1" s="178"/>
      <c r="X1" s="178"/>
      <c r="Y1" s="178"/>
      <c r="AA1" s="179" t="s">
        <v>127</v>
      </c>
      <c r="AB1" s="179"/>
      <c r="AC1" s="179"/>
      <c r="AD1" s="179"/>
      <c r="AE1" s="179"/>
      <c r="AF1" s="179"/>
      <c r="AG1" s="179"/>
      <c r="AH1" s="179"/>
      <c r="AJ1" s="178"/>
      <c r="AK1" s="178"/>
      <c r="AL1" s="178"/>
      <c r="AM1" s="178"/>
      <c r="AN1" s="178"/>
      <c r="AO1" s="178"/>
      <c r="AQ1" s="179"/>
      <c r="AR1" s="179"/>
      <c r="AS1" s="179"/>
      <c r="AT1" s="179"/>
      <c r="AU1" s="179"/>
      <c r="AV1" s="179"/>
      <c r="AW1" s="179"/>
      <c r="AX1" s="179"/>
    </row>
    <row r="2" spans="1:50" x14ac:dyDescent="0.2">
      <c r="A2" s="177" t="s">
        <v>126</v>
      </c>
      <c r="B2" s="107">
        <v>42675</v>
      </c>
      <c r="C2" s="105" t="s">
        <v>95</v>
      </c>
      <c r="D2" s="108">
        <f>'[1]GERBER SPE'!AX2</f>
        <v>557.91417714146644</v>
      </c>
      <c r="E2" s="108">
        <f>'[1]GERBER SPE'!AY2</f>
        <v>38.472166799171383</v>
      </c>
      <c r="F2" s="109">
        <f>'[1]GERBER SPE'!AZ2</f>
        <v>336.83224626043102</v>
      </c>
      <c r="G2" s="109">
        <f>'[1]GERBER SPE'!BA2</f>
        <v>55.782909255421906</v>
      </c>
      <c r="H2" s="109">
        <f>'[1]GERBER SPE'!BB2</f>
        <v>221.0819308810353</v>
      </c>
      <c r="I2" s="109">
        <f>'[1]GERBER SPE'!BC2</f>
        <v>68.947388217606743</v>
      </c>
      <c r="J2" s="109">
        <f>'[1]GERBER SPE'!BD2</f>
        <v>60.598876615799725</v>
      </c>
      <c r="K2" s="108">
        <f>'[1]GERBER SPE'!BE2</f>
        <v>10.896264063154025</v>
      </c>
      <c r="L2" s="108" t="str">
        <f>'[1]GERBER SPE'!BF2</f>
        <v>NA</v>
      </c>
      <c r="M2" s="108">
        <f>'[1]GERBER SPE'!BG2</f>
        <v>0</v>
      </c>
      <c r="N2" s="106"/>
      <c r="O2" s="106"/>
      <c r="P2" s="106"/>
      <c r="Q2" s="106"/>
      <c r="R2" s="110" t="s">
        <v>149</v>
      </c>
      <c r="S2" s="111" t="s">
        <v>150</v>
      </c>
      <c r="T2" s="110" t="s">
        <v>151</v>
      </c>
      <c r="U2" s="111" t="s">
        <v>152</v>
      </c>
      <c r="V2" s="110" t="s">
        <v>153</v>
      </c>
      <c r="W2" s="111" t="s">
        <v>154</v>
      </c>
      <c r="X2" s="110" t="s">
        <v>155</v>
      </c>
      <c r="Y2" s="111" t="s">
        <v>156</v>
      </c>
      <c r="AA2" s="112" t="s">
        <v>149</v>
      </c>
      <c r="AB2" s="111" t="s">
        <v>150</v>
      </c>
      <c r="AC2" s="111" t="s">
        <v>151</v>
      </c>
      <c r="AD2" s="111" t="s">
        <v>152</v>
      </c>
      <c r="AE2" s="112" t="s">
        <v>153</v>
      </c>
      <c r="AF2" s="112" t="s">
        <v>154</v>
      </c>
      <c r="AG2" s="112" t="s">
        <v>155</v>
      </c>
      <c r="AH2" s="112" t="s">
        <v>156</v>
      </c>
      <c r="AJ2" s="111"/>
      <c r="AK2" s="111"/>
      <c r="AL2" s="111"/>
      <c r="AM2" s="111"/>
      <c r="AN2" s="111"/>
      <c r="AO2" s="111"/>
      <c r="AQ2" s="111"/>
      <c r="AR2" s="111"/>
      <c r="AS2" s="111"/>
      <c r="AT2" s="111"/>
      <c r="AU2" s="112"/>
      <c r="AV2" s="112"/>
      <c r="AW2" s="112"/>
      <c r="AX2" s="112"/>
    </row>
    <row r="3" spans="1:50" ht="15" x14ac:dyDescent="0.25">
      <c r="A3" s="177"/>
      <c r="B3" s="112">
        <v>42677</v>
      </c>
      <c r="C3" s="105">
        <v>3</v>
      </c>
      <c r="D3" s="113">
        <f>'[1]GERBER SPE'!AX3</f>
        <v>237.4844562926578</v>
      </c>
      <c r="E3" s="113">
        <f>'[1]GERBER SPE'!AY3</f>
        <v>18.431704099500507</v>
      </c>
      <c r="F3" s="114">
        <f>'[1]GERBER SPE'!AZ3</f>
        <v>154.94496338916895</v>
      </c>
      <c r="G3" s="114">
        <f>'[1]GERBER SPE'!BA3</f>
        <v>9.556726673229754</v>
      </c>
      <c r="H3" s="114">
        <f>'[1]GERBER SPE'!BB3</f>
        <v>82.539492903488807</v>
      </c>
      <c r="I3" s="114">
        <f>'[1]GERBER SPE'!BC3</f>
        <v>23.167559151832222</v>
      </c>
      <c r="J3" s="113">
        <f>'[1]GERBER SPE'!BD3</f>
        <v>65.566902134586925</v>
      </c>
      <c r="K3" s="113">
        <f>'[1]GERBER SPE'!BE3</f>
        <v>2.6579048642306575</v>
      </c>
      <c r="L3" s="113">
        <f>'[1]GERBER SPE'!BF3</f>
        <v>267.8157490800653</v>
      </c>
      <c r="M3" s="113">
        <f>'[1]GERBER SPE'!BG3</f>
        <v>56.633689210986134</v>
      </c>
      <c r="N3" s="115" t="s">
        <v>97</v>
      </c>
      <c r="O3" s="115"/>
      <c r="P3" s="116"/>
      <c r="Q3" s="115" t="s">
        <v>157</v>
      </c>
      <c r="R3" s="115">
        <f>F2</f>
        <v>336.83224626043102</v>
      </c>
      <c r="S3" s="114">
        <f>F3</f>
        <v>154.94496338916895</v>
      </c>
      <c r="T3" s="114">
        <f>F4</f>
        <v>193.68607219043011</v>
      </c>
      <c r="U3" s="114">
        <f>F5</f>
        <v>538.47679141523884</v>
      </c>
      <c r="V3" s="114">
        <f>F6</f>
        <v>123.78170564082023</v>
      </c>
      <c r="W3" s="114">
        <f>F7</f>
        <v>453.87826274511417</v>
      </c>
      <c r="X3" s="114">
        <f>F8</f>
        <v>439.62678936318827</v>
      </c>
      <c r="Y3" s="114">
        <f>F9</f>
        <v>232.7874503450027</v>
      </c>
      <c r="Z3" s="117"/>
      <c r="AA3" s="117">
        <f>F11</f>
        <v>216.98456968945399</v>
      </c>
      <c r="AB3" s="114">
        <f>F12</f>
        <v>379.97279565601769</v>
      </c>
      <c r="AC3" s="114">
        <f>F13</f>
        <v>233.04861030686553</v>
      </c>
      <c r="AD3" s="114">
        <f>F14</f>
        <v>371.20823337130167</v>
      </c>
      <c r="AE3" s="114">
        <f>F15</f>
        <v>432.45618031081762</v>
      </c>
      <c r="AF3" s="114">
        <f>F16</f>
        <v>221.82882710793339</v>
      </c>
      <c r="AG3" s="114">
        <f>F17</f>
        <v>198.69345205122252</v>
      </c>
      <c r="AH3" s="114">
        <f>F18</f>
        <v>271.56945736134321</v>
      </c>
      <c r="AI3" s="118">
        <f>AVERAGE(S3:AH3)</f>
        <v>297.52961072959454</v>
      </c>
    </row>
    <row r="4" spans="1:50" x14ac:dyDescent="0.2">
      <c r="A4" s="177"/>
      <c r="B4" s="112">
        <v>42682</v>
      </c>
      <c r="C4" s="105">
        <v>8</v>
      </c>
      <c r="D4" s="113">
        <f>'[1]GERBER SPE'!AX4</f>
        <v>545.42641667542932</v>
      </c>
      <c r="E4" s="113">
        <f>'[1]GERBER SPE'!AY4</f>
        <v>293.86329161397157</v>
      </c>
      <c r="F4" s="114">
        <f>'[1]GERBER SPE'!AZ4</f>
        <v>193.68607219043011</v>
      </c>
      <c r="G4" s="114">
        <f>'[1]GERBER SPE'!BA4</f>
        <v>39.110395214533732</v>
      </c>
      <c r="H4" s="114">
        <f>'[1]GERBER SPE'!BB4</f>
        <v>351.74034448499924</v>
      </c>
      <c r="I4" s="114">
        <f>'[1]GERBER SPE'!BC4</f>
        <v>254.81729558164071</v>
      </c>
      <c r="J4" s="113">
        <f>'[1]GERBER SPE'!BD4</f>
        <v>39.603028073507382</v>
      </c>
      <c r="K4" s="113">
        <f>'[1]GERBER SPE'!BE4</f>
        <v>11.547874857665882</v>
      </c>
      <c r="L4" s="113">
        <f>'[1]GERBER SPE'!BF4</f>
        <v>732.51215709268843</v>
      </c>
      <c r="M4" s="113">
        <f>'[1]GERBER SPE'!BG4</f>
        <v>47.414058795613407</v>
      </c>
      <c r="N4" s="105" t="s">
        <v>98</v>
      </c>
      <c r="Q4" s="115" t="s">
        <v>158</v>
      </c>
      <c r="R4" s="115">
        <f>H2</f>
        <v>221.0819308810353</v>
      </c>
      <c r="S4" s="114">
        <f>H3</f>
        <v>82.539492903488807</v>
      </c>
      <c r="T4" s="114">
        <f>H4</f>
        <v>351.74034448499924</v>
      </c>
      <c r="U4" s="114">
        <f>H5</f>
        <v>462.23465587007604</v>
      </c>
      <c r="V4" s="114">
        <f>H6</f>
        <v>275.17435461608017</v>
      </c>
      <c r="W4" s="114">
        <f>H7</f>
        <v>1568.6830934249799</v>
      </c>
      <c r="X4" s="114">
        <f>H8</f>
        <v>875.51096940238074</v>
      </c>
      <c r="Y4" s="114">
        <f>H9</f>
        <v>724.09428347026028</v>
      </c>
      <c r="AA4" s="114">
        <f>H11</f>
        <v>61.400434162739366</v>
      </c>
      <c r="AB4" s="114">
        <f>H12</f>
        <v>0</v>
      </c>
      <c r="AC4" s="114">
        <f>H13</f>
        <v>73.060320488691545</v>
      </c>
      <c r="AD4" s="114">
        <f>H14</f>
        <v>0</v>
      </c>
      <c r="AE4" s="114">
        <f>H15</f>
        <v>44.186603427737438</v>
      </c>
      <c r="AF4" s="114">
        <f>H16</f>
        <v>0</v>
      </c>
      <c r="AG4" s="114">
        <f>H17</f>
        <v>0</v>
      </c>
      <c r="AH4" s="114">
        <f>H18</f>
        <v>0</v>
      </c>
      <c r="AI4" s="118">
        <f>AVERAGE(S4:AH4)</f>
        <v>301.24163681676225</v>
      </c>
    </row>
    <row r="5" spans="1:50" x14ac:dyDescent="0.2">
      <c r="A5" s="177"/>
      <c r="B5" s="119">
        <f>'[1]GERBER SPE'!AV5</f>
        <v>42684</v>
      </c>
      <c r="C5" s="120">
        <v>10</v>
      </c>
      <c r="D5" s="121">
        <f>'[1]GERBER SPE'!AX5</f>
        <v>1000.711447285315</v>
      </c>
      <c r="E5" s="121">
        <f>'[1]GERBER SPE'!AY5</f>
        <v>493.26798313883819</v>
      </c>
      <c r="F5" s="121">
        <f>'[1]GERBER SPE'!AZ5</f>
        <v>538.47679141523884</v>
      </c>
      <c r="G5" s="121">
        <f>'[1]GERBER SPE'!BA5</f>
        <v>118.4906471989828</v>
      </c>
      <c r="H5" s="121">
        <f>'[1]GERBER SPE'!BB5</f>
        <v>462.23465587007604</v>
      </c>
      <c r="I5" s="121">
        <f>'[1]GERBER SPE'!BC5</f>
        <v>395.0249610855667</v>
      </c>
      <c r="J5" s="114">
        <f>'[1]GERBER SPE'!$AB$35</f>
        <v>58.530254464159476</v>
      </c>
      <c r="K5" s="122"/>
      <c r="L5" s="122" t="s">
        <v>99</v>
      </c>
      <c r="Q5" s="105" t="s">
        <v>159</v>
      </c>
      <c r="R5" s="114">
        <f>D2</f>
        <v>557.91417714146644</v>
      </c>
      <c r="S5" s="114">
        <f>D3</f>
        <v>237.4844562926578</v>
      </c>
      <c r="T5" s="114">
        <f>D4</f>
        <v>545.42641667542932</v>
      </c>
      <c r="U5" s="114">
        <f>D5</f>
        <v>1000.711447285315</v>
      </c>
      <c r="V5" s="114">
        <f>D6</f>
        <v>398.9560602569004</v>
      </c>
      <c r="W5" s="114">
        <f>D7</f>
        <v>2022.5613561700939</v>
      </c>
      <c r="X5" s="114">
        <f>D8</f>
        <v>1315.1377587655691</v>
      </c>
      <c r="Y5" s="114">
        <f>D9</f>
        <v>956.88173381526303</v>
      </c>
      <c r="AA5" s="114">
        <f>D11</f>
        <v>278.38500385219334</v>
      </c>
      <c r="AB5" s="114">
        <f>D12</f>
        <v>379.97279565601769</v>
      </c>
      <c r="AC5" s="114">
        <f>D13</f>
        <v>306.10893079555711</v>
      </c>
      <c r="AD5" s="114">
        <f>D14</f>
        <v>371.20823337130167</v>
      </c>
      <c r="AE5" s="114">
        <f>D15</f>
        <v>476.64278373855507</v>
      </c>
      <c r="AF5" s="114">
        <f>D16</f>
        <v>221.82882710793339</v>
      </c>
      <c r="AG5" s="114">
        <f>D17</f>
        <v>198.69345205122252</v>
      </c>
      <c r="AH5" s="114">
        <f>D18</f>
        <v>271.56945736134321</v>
      </c>
    </row>
    <row r="6" spans="1:50" x14ac:dyDescent="0.2">
      <c r="A6" s="177"/>
      <c r="B6" s="112">
        <v>42691</v>
      </c>
      <c r="C6" s="105">
        <v>17</v>
      </c>
      <c r="D6" s="114">
        <f>'[1]GERBER SPE'!AX6</f>
        <v>398.9560602569004</v>
      </c>
      <c r="E6" s="114">
        <f>'[1]GERBER SPE'!AY6</f>
        <v>145.62040726124098</v>
      </c>
      <c r="F6" s="114">
        <f>'[1]GERBER SPE'!AZ6</f>
        <v>123.78170564082023</v>
      </c>
      <c r="G6" s="114">
        <f>'[1]GERBER SPE'!BA6</f>
        <v>39.017161155297288</v>
      </c>
      <c r="H6" s="114">
        <f>'[1]GERBER SPE'!BB6</f>
        <v>275.17435461608017</v>
      </c>
      <c r="I6" s="114">
        <f>'[1]GERBER SPE'!BC6</f>
        <v>142.52477667881573</v>
      </c>
      <c r="J6" s="114">
        <f>'[1]GERBER SPE'!BD6</f>
        <v>33.22743035392039</v>
      </c>
      <c r="K6" s="114">
        <f>'[1]GERBER SPE'!BE6</f>
        <v>13.135638186830432</v>
      </c>
      <c r="L6" s="114">
        <f>'[1]GERBER SPE'!BF6</f>
        <v>273.81600663187356</v>
      </c>
      <c r="M6" s="114">
        <f>'[1]GERBER SPE'!BG6</f>
        <v>69.235022073690217</v>
      </c>
      <c r="Q6" s="105" t="s">
        <v>144</v>
      </c>
    </row>
    <row r="7" spans="1:50" x14ac:dyDescent="0.2">
      <c r="A7" s="177"/>
      <c r="B7" s="112">
        <f>'[1]GERBER SPE'!AV7</f>
        <v>42698</v>
      </c>
      <c r="C7" s="123">
        <v>24</v>
      </c>
      <c r="D7" s="114">
        <f>'[1]GERBER SPE'!AX7</f>
        <v>2022.5613561700939</v>
      </c>
      <c r="E7" s="114">
        <f>'[1]GERBER SPE'!AY7</f>
        <v>440.80537459769107</v>
      </c>
      <c r="F7" s="114">
        <f>'[1]GERBER SPE'!AZ7</f>
        <v>453.87826274511417</v>
      </c>
      <c r="G7" s="114">
        <f>'[1]GERBER SPE'!BA7</f>
        <v>78.773741544263146</v>
      </c>
      <c r="H7" s="114">
        <f>'[1]GERBER SPE'!BB7</f>
        <v>1568.6830934249799</v>
      </c>
      <c r="I7" s="114">
        <f>'[1]GERBER SPE'!BC7</f>
        <v>462.24941313011402</v>
      </c>
      <c r="J7" s="114">
        <f>'[1]GERBER SPE'!BD7</f>
        <v>23.306502283206637</v>
      </c>
      <c r="K7" s="114">
        <f>'[1]GERBER SPE'!BE7</f>
        <v>7.6353993903132773</v>
      </c>
      <c r="L7" s="114">
        <f>'[1]GERBER SPE'!BF7</f>
        <v>1639.5124823590957</v>
      </c>
      <c r="M7" s="114">
        <f>'[1]GERBER SPE'!BG7</f>
        <v>1242.3276309222915</v>
      </c>
      <c r="N7" s="116" t="str">
        <f>'[1]GERBER SPE'!BH7</f>
        <v>solid+liquid</v>
      </c>
      <c r="Q7" s="105" t="s">
        <v>145</v>
      </c>
      <c r="S7" s="105" t="s">
        <v>160</v>
      </c>
    </row>
    <row r="8" spans="1:50" x14ac:dyDescent="0.2">
      <c r="A8" s="177"/>
      <c r="B8" s="112">
        <v>42705</v>
      </c>
      <c r="C8" s="105" t="s">
        <v>101</v>
      </c>
      <c r="D8" s="114">
        <f>'[1]GERBER SPE'!AX8</f>
        <v>1315.1377587655691</v>
      </c>
      <c r="E8" s="114">
        <f>'[1]GERBER SPE'!AY8</f>
        <v>428.2873154124228</v>
      </c>
      <c r="F8" s="114">
        <f>'[1]GERBER SPE'!AZ8</f>
        <v>439.62678936318827</v>
      </c>
      <c r="G8" s="114">
        <f>'[1]GERBER SPE'!BA8</f>
        <v>100.97210493703192</v>
      </c>
      <c r="H8" s="114">
        <f>'[1]GERBER SPE'!BB8</f>
        <v>875.51096940238074</v>
      </c>
      <c r="I8" s="114">
        <f>'[1]GERBER SPE'!BC8</f>
        <v>372.87132336633232</v>
      </c>
      <c r="J8" s="114">
        <f>'[1]GERBER SPE'!BD8</f>
        <v>34.962345609369649</v>
      </c>
      <c r="K8" s="114">
        <f>'[1]GERBER SPE'!BE8</f>
        <v>8.36326892029685</v>
      </c>
      <c r="L8" s="114">
        <f>'[1]GERBER SPE'!BF8</f>
        <v>891.53075458489354</v>
      </c>
      <c r="M8" s="114">
        <f>'[1]GERBER SPE'!BG8</f>
        <v>94.603401920908269</v>
      </c>
      <c r="Q8" s="105" t="s">
        <v>146</v>
      </c>
      <c r="R8" s="114">
        <f>AA22</f>
        <v>2810.5555555555557</v>
      </c>
      <c r="S8" s="114">
        <f>AA24</f>
        <v>2394.4444444444443</v>
      </c>
      <c r="T8" s="114">
        <f>AA23</f>
        <v>2467.2222222222222</v>
      </c>
      <c r="U8" s="114">
        <f>AA19</f>
        <v>3606.1111111111113</v>
      </c>
      <c r="V8" s="114">
        <f>AA25</f>
        <v>1519.4444444444443</v>
      </c>
      <c r="W8" s="114">
        <f>AA21</f>
        <v>3085</v>
      </c>
      <c r="X8" s="114">
        <f>AA20</f>
        <v>3422.2222222222222</v>
      </c>
      <c r="Y8" s="114">
        <f>AA26</f>
        <v>1198.8888888888889</v>
      </c>
      <c r="AA8" s="114">
        <f>AG22</f>
        <v>1714.4444444444443</v>
      </c>
      <c r="AB8" s="114">
        <f>AG19</f>
        <v>2186.4285714285716</v>
      </c>
      <c r="AC8" s="114">
        <f>AG23</f>
        <v>1591.1111111111111</v>
      </c>
      <c r="AD8" s="114">
        <f>AG20</f>
        <v>1915</v>
      </c>
      <c r="AE8" s="114">
        <f>AG21</f>
        <v>1747.7777777777778</v>
      </c>
      <c r="AF8" s="114">
        <f>AG26</f>
        <v>1232.7777777777778</v>
      </c>
      <c r="AG8" s="114">
        <f>AG25</f>
        <v>1445.2222222222222</v>
      </c>
      <c r="AH8" s="114">
        <f>AG24</f>
        <v>1543.3333333333333</v>
      </c>
    </row>
    <row r="9" spans="1:50" x14ac:dyDescent="0.2">
      <c r="A9" s="177"/>
      <c r="B9" s="112">
        <v>42710</v>
      </c>
      <c r="C9" s="105" t="s">
        <v>102</v>
      </c>
      <c r="D9" s="114">
        <f>'[1]GERBER SPE'!AX9</f>
        <v>956.88173381526303</v>
      </c>
      <c r="E9" s="114">
        <f>'[1]GERBER SPE'!AY9</f>
        <v>402.23866545568819</v>
      </c>
      <c r="F9" s="114">
        <f>'[1]GERBER SPE'!AZ9</f>
        <v>232.7874503450027</v>
      </c>
      <c r="G9" s="114">
        <f>'[1]GERBER SPE'!BA9</f>
        <v>59.962791754027648</v>
      </c>
      <c r="H9" s="114">
        <f>'[1]GERBER SPE'!BB9</f>
        <v>724.09428347026028</v>
      </c>
      <c r="I9" s="114">
        <f>'[1]GERBER SPE'!BC9</f>
        <v>344.08393056147321</v>
      </c>
      <c r="J9" s="114">
        <f>'[1]GERBER SPE'!BD9</f>
        <v>25.597338884616597</v>
      </c>
      <c r="K9" s="114">
        <f>'[1]GERBER SPE'!BE9</f>
        <v>4.0975492897586756</v>
      </c>
      <c r="L9" s="114">
        <f>'[1]GERBER SPE'!BF9</f>
        <v>601.95795391691399</v>
      </c>
      <c r="M9" s="114">
        <f>'[1]GERBER SPE'!BG9</f>
        <v>42.872308191501666</v>
      </c>
      <c r="N9" s="114" t="str">
        <f>'[1]GERBER SPE'!BH9</f>
        <v>red oil</v>
      </c>
      <c r="S9" s="114"/>
      <c r="T9" s="114"/>
      <c r="U9" s="114"/>
      <c r="V9" s="114"/>
      <c r="W9" s="114"/>
      <c r="X9" s="114"/>
      <c r="Y9" s="114"/>
      <c r="AB9" s="114"/>
      <c r="AC9" s="114"/>
      <c r="AD9" s="114"/>
    </row>
    <row r="10" spans="1:50" x14ac:dyDescent="0.2">
      <c r="A10" s="177"/>
      <c r="B10" s="112"/>
      <c r="H10" s="114"/>
      <c r="J10" s="114"/>
    </row>
    <row r="11" spans="1:50" x14ac:dyDescent="0.2">
      <c r="B11" s="112">
        <v>42675</v>
      </c>
      <c r="C11" s="105" t="s">
        <v>104</v>
      </c>
      <c r="D11" s="114">
        <f>'[1]GERBER SPE'!AX11</f>
        <v>278.38500385219334</v>
      </c>
      <c r="E11" s="114">
        <f>'[1]GERBER SPE'!AY11</f>
        <v>55.294453796282554</v>
      </c>
      <c r="F11" s="114">
        <f>'[1]GERBER SPE'!AZ11</f>
        <v>216.98456968945399</v>
      </c>
      <c r="G11" s="114">
        <f>'[1]GERBER SPE'!BA11</f>
        <v>9.0433068901926887</v>
      </c>
      <c r="H11" s="114">
        <f>'[1]GERBER SPE'!BB11</f>
        <v>61.400434162739366</v>
      </c>
      <c r="I11" s="114">
        <f>'[1]GERBER SPE'!BC11</f>
        <v>54.694488823726545</v>
      </c>
      <c r="J11" s="113">
        <f>'[1]GERBER SPE'!BD11</f>
        <v>80.147550874776584</v>
      </c>
      <c r="K11" s="113">
        <f>'[1]GERBER SPE'!BE11</f>
        <v>17.317406695946399</v>
      </c>
      <c r="L11" s="114" t="str">
        <f>'[1]GERBER SPE'!BF11</f>
        <v>NA</v>
      </c>
      <c r="M11" s="114">
        <f>'[1]GERBER SPE'!BG11</f>
        <v>0</v>
      </c>
      <c r="Q11" s="105" t="s">
        <v>161</v>
      </c>
      <c r="R11" s="114">
        <f>G2</f>
        <v>55.782909255421906</v>
      </c>
      <c r="S11" s="114">
        <f>G3</f>
        <v>9.556726673229754</v>
      </c>
      <c r="T11" s="114">
        <f>G4</f>
        <v>39.110395214533732</v>
      </c>
      <c r="U11" s="114">
        <f>G5</f>
        <v>118.4906471989828</v>
      </c>
      <c r="V11" s="114">
        <f>G6</f>
        <v>39.017161155297288</v>
      </c>
      <c r="W11" s="114">
        <f>G7</f>
        <v>78.773741544263146</v>
      </c>
      <c r="X11" s="114">
        <f>G8</f>
        <v>100.97210493703192</v>
      </c>
      <c r="Y11" s="114">
        <f>G9</f>
        <v>59.962791754027648</v>
      </c>
      <c r="AA11" s="114">
        <f>G11</f>
        <v>9.0433068901926887</v>
      </c>
      <c r="AB11" s="114">
        <f>G12</f>
        <v>21.96495447621518</v>
      </c>
      <c r="AC11" s="114">
        <f>G13</f>
        <v>1.3893155937300372</v>
      </c>
      <c r="AD11" s="114">
        <f>G14</f>
        <v>15.698862996956752</v>
      </c>
      <c r="AE11" s="114">
        <f>G15</f>
        <v>35.733313492503882</v>
      </c>
      <c r="AF11" s="114">
        <f>G16</f>
        <v>21.387975506468027</v>
      </c>
      <c r="AG11" s="114">
        <f>G17</f>
        <v>38.232860316950337</v>
      </c>
      <c r="AH11" s="114">
        <f>G18</f>
        <v>33.820420059603933</v>
      </c>
    </row>
    <row r="12" spans="1:50" x14ac:dyDescent="0.2">
      <c r="A12" s="177" t="s">
        <v>127</v>
      </c>
      <c r="B12" s="112">
        <v>42677</v>
      </c>
      <c r="C12" s="105">
        <v>3</v>
      </c>
      <c r="D12" s="113">
        <f>'[1]GERBER SPE'!AX12</f>
        <v>379.97279565601769</v>
      </c>
      <c r="E12" s="113">
        <f>'[1]GERBER SPE'!AY12</f>
        <v>21.96495447621518</v>
      </c>
      <c r="F12" s="114">
        <f>'[1]GERBER SPE'!AZ12</f>
        <v>379.97279565601769</v>
      </c>
      <c r="G12" s="114">
        <f>'[1]GERBER SPE'!BA12</f>
        <v>21.96495447621518</v>
      </c>
      <c r="H12" s="114">
        <f>'[1]GERBER SPE'!BB12</f>
        <v>0</v>
      </c>
      <c r="I12" s="114">
        <f>'[1]GERBER SPE'!BC12</f>
        <v>0</v>
      </c>
      <c r="J12" s="113">
        <f>'[1]GERBER SPE'!BD12</f>
        <v>100</v>
      </c>
      <c r="K12" s="113">
        <f>'[1]GERBER SPE'!BE12</f>
        <v>1.0048591735576161E-14</v>
      </c>
      <c r="L12" s="113">
        <f>'[1]GERBER SPE'!BF12</f>
        <v>185.50010299904352</v>
      </c>
      <c r="M12" s="113">
        <f>'[1]GERBER SPE'!BG12</f>
        <v>13.282084503298812</v>
      </c>
      <c r="N12" s="115" t="s">
        <v>105</v>
      </c>
      <c r="Q12" s="105" t="s">
        <v>162</v>
      </c>
      <c r="R12" s="114">
        <f>I2</f>
        <v>68.947388217606743</v>
      </c>
      <c r="S12" s="114">
        <f>I3</f>
        <v>23.167559151832222</v>
      </c>
      <c r="T12" s="114">
        <f>I4</f>
        <v>254.81729558164071</v>
      </c>
      <c r="U12" s="114">
        <f>I5</f>
        <v>395.0249610855667</v>
      </c>
      <c r="V12" s="114">
        <f>I6</f>
        <v>142.52477667881573</v>
      </c>
      <c r="W12" s="114">
        <f>I7</f>
        <v>462.24941313011402</v>
      </c>
      <c r="X12" s="114">
        <f>I8</f>
        <v>372.87132336633232</v>
      </c>
      <c r="Y12" s="114">
        <f>I9</f>
        <v>344.08393056147321</v>
      </c>
      <c r="AA12" s="114">
        <f>I11</f>
        <v>54.694488823726545</v>
      </c>
      <c r="AB12" s="114">
        <f>I12</f>
        <v>0</v>
      </c>
      <c r="AC12" s="114">
        <f>I13</f>
        <v>66.319219242075008</v>
      </c>
      <c r="AD12" s="114">
        <f>I14</f>
        <v>0</v>
      </c>
      <c r="AE12" s="114">
        <f>I15</f>
        <v>30.766436483841307</v>
      </c>
      <c r="AF12" s="114">
        <f>I16</f>
        <v>0</v>
      </c>
      <c r="AG12" s="114">
        <f>I17</f>
        <v>0</v>
      </c>
      <c r="AH12" s="114">
        <f>I18</f>
        <v>0</v>
      </c>
    </row>
    <row r="13" spans="1:50" x14ac:dyDescent="0.2">
      <c r="A13" s="177"/>
      <c r="B13" s="112">
        <v>42682</v>
      </c>
      <c r="C13" s="105">
        <v>8</v>
      </c>
      <c r="D13" s="114">
        <f>'[1]GERBER SPE'!AX13</f>
        <v>306.10893079555711</v>
      </c>
      <c r="E13" s="114">
        <f>'[1]GERBER SPE'!AY13</f>
        <v>66.252383856409566</v>
      </c>
      <c r="F13" s="114">
        <f>'[1]GERBER SPE'!AZ13</f>
        <v>233.04861030686553</v>
      </c>
      <c r="G13" s="114">
        <f>'[1]GERBER SPE'!BA13</f>
        <v>1.3893155937300372</v>
      </c>
      <c r="H13" s="114">
        <f>'[1]GERBER SPE'!BB13</f>
        <v>73.060320488691545</v>
      </c>
      <c r="I13" s="114">
        <f>'[1]GERBER SPE'!BC13</f>
        <v>66.319219242075008</v>
      </c>
      <c r="J13" s="114">
        <f>'[1]GERBER SPE'!BD13</f>
        <v>78.817732593115764</v>
      </c>
      <c r="K13" s="114">
        <f>'[1]GERBER SPE'!BE13</f>
        <v>18.741901730816807</v>
      </c>
      <c r="L13" s="114">
        <f>'[1]GERBER SPE'!BF13</f>
        <v>100.91030257403573</v>
      </c>
      <c r="M13" s="114">
        <f>'[1]GERBER SPE'!BG13</f>
        <v>13.714420434991727</v>
      </c>
      <c r="N13" s="105" t="s">
        <v>106</v>
      </c>
      <c r="O13" s="115"/>
      <c r="P13" s="115"/>
      <c r="Q13" s="105" t="s">
        <v>163</v>
      </c>
      <c r="R13" s="114">
        <f>E2</f>
        <v>38.472166799171383</v>
      </c>
      <c r="S13" s="114">
        <f>E3</f>
        <v>18.431704099500507</v>
      </c>
      <c r="T13" s="114">
        <f>E4</f>
        <v>293.86329161397157</v>
      </c>
      <c r="U13" s="114">
        <f>E5</f>
        <v>493.26798313883819</v>
      </c>
      <c r="V13" s="114">
        <f>E6</f>
        <v>145.62040726124098</v>
      </c>
      <c r="W13" s="114">
        <f>E7</f>
        <v>440.80537459769107</v>
      </c>
      <c r="X13" s="114">
        <f>E8</f>
        <v>428.2873154124228</v>
      </c>
      <c r="Y13" s="114">
        <f>E9</f>
        <v>402.23866545568819</v>
      </c>
      <c r="AA13" s="114">
        <f>E11</f>
        <v>55.294453796282554</v>
      </c>
      <c r="AB13" s="114">
        <f>E12</f>
        <v>21.96495447621518</v>
      </c>
      <c r="AC13" s="114">
        <f>E13</f>
        <v>66.252383856409566</v>
      </c>
      <c r="AD13" s="114">
        <f>E14</f>
        <v>15.698862996956752</v>
      </c>
      <c r="AE13" s="114">
        <f>E15</f>
        <v>64.191725115567976</v>
      </c>
      <c r="AF13" s="114">
        <f>E16</f>
        <v>21.387975506468027</v>
      </c>
      <c r="AG13" s="114">
        <f>E17</f>
        <v>38.232860316950337</v>
      </c>
      <c r="AH13" s="114">
        <f>E18</f>
        <v>33.820420059603933</v>
      </c>
    </row>
    <row r="14" spans="1:50" x14ac:dyDescent="0.2">
      <c r="A14" s="177"/>
      <c r="B14" s="112">
        <v>42691</v>
      </c>
      <c r="C14" s="105">
        <v>17</v>
      </c>
      <c r="D14" s="114">
        <f>'[1]GERBER SPE'!AX15</f>
        <v>371.20823337130167</v>
      </c>
      <c r="E14" s="114">
        <f>'[1]GERBER SPE'!AY15</f>
        <v>15.698862996956752</v>
      </c>
      <c r="F14" s="114">
        <f>'[1]GERBER SPE'!AZ15</f>
        <v>371.20823337130167</v>
      </c>
      <c r="G14" s="114">
        <f>'[1]GERBER SPE'!BA15</f>
        <v>15.698862996956752</v>
      </c>
      <c r="H14" s="114">
        <f>'[1]GERBER SPE'!BB15</f>
        <v>0</v>
      </c>
      <c r="I14" s="114">
        <f>'[1]GERBER SPE'!BC15</f>
        <v>0</v>
      </c>
      <c r="J14" s="113">
        <f>'[1]GERBER SPE'!BD15</f>
        <v>100</v>
      </c>
      <c r="K14" s="113">
        <f>'[1]GERBER SPE'!BE15</f>
        <v>0</v>
      </c>
      <c r="L14" s="114">
        <f>'[1]GERBER SPE'!BF15</f>
        <v>122.29201273631293</v>
      </c>
      <c r="M14" s="114">
        <f>'[1]GERBER SPE'!BG15</f>
        <v>24.933270689577547</v>
      </c>
      <c r="Q14" s="105" t="s">
        <v>164</v>
      </c>
      <c r="R14" s="114">
        <f>AB22</f>
        <v>1393.8715069107977</v>
      </c>
      <c r="S14" s="114">
        <f>AB24</f>
        <v>399.2606013342388</v>
      </c>
      <c r="T14" s="114">
        <f>AB23</f>
        <v>365.34325564384523</v>
      </c>
      <c r="U14" s="114">
        <f>AB19</f>
        <v>162.57263334002778</v>
      </c>
      <c r="V14" s="114">
        <f>AB25</f>
        <v>67.10274046399131</v>
      </c>
      <c r="W14" s="114">
        <f>AB21</f>
        <v>183.50749303502567</v>
      </c>
      <c r="X14" s="114">
        <f>AB20</f>
        <v>399.22668303163812</v>
      </c>
      <c r="Y14" s="114">
        <f>AB26</f>
        <v>331.76401418947023</v>
      </c>
      <c r="AA14" s="114">
        <f>AH22</f>
        <v>113.12173874979901</v>
      </c>
      <c r="AB14" s="114">
        <f>AH19</f>
        <v>530.83828584069317</v>
      </c>
      <c r="AC14" s="114">
        <f>AH23</f>
        <v>272.325377280765</v>
      </c>
      <c r="AD14" s="114">
        <f>AH20</f>
        <v>126.24381172952597</v>
      </c>
      <c r="AE14" s="114">
        <f>AH21</f>
        <v>219.95896081870475</v>
      </c>
      <c r="AF14" s="114">
        <f>AH26</f>
        <v>141.22480109543258</v>
      </c>
      <c r="AG14" s="114">
        <f>AH25</f>
        <v>136.2780042576367</v>
      </c>
      <c r="AH14" s="114">
        <f>AH24</f>
        <v>152.13070038621396</v>
      </c>
    </row>
    <row r="15" spans="1:50" x14ac:dyDescent="0.2">
      <c r="A15" s="177"/>
      <c r="B15" s="112">
        <v>42698</v>
      </c>
      <c r="C15" s="123">
        <v>24</v>
      </c>
      <c r="D15" s="114">
        <f>'[1]GERBER SPE'!AX16</f>
        <v>476.64278373855507</v>
      </c>
      <c r="E15" s="114">
        <f>'[1]GERBER SPE'!AY16</f>
        <v>64.191725115567976</v>
      </c>
      <c r="F15" s="114">
        <f>'[1]GERBER SPE'!AZ16</f>
        <v>432.45618031081762</v>
      </c>
      <c r="G15" s="114">
        <f>'[1]GERBER SPE'!BA16</f>
        <v>35.733313492503882</v>
      </c>
      <c r="H15" s="114">
        <f>'[1]GERBER SPE'!BB16</f>
        <v>44.186603427737438</v>
      </c>
      <c r="I15" s="114">
        <f>'[1]GERBER SPE'!BC16</f>
        <v>30.766436483841307</v>
      </c>
      <c r="J15" s="114">
        <f>'[1]GERBER SPE'!BD16</f>
        <v>91.29609294012441</v>
      </c>
      <c r="K15" s="114">
        <f>'[1]GERBER SPE'!BE16</f>
        <v>5.9725576249798022</v>
      </c>
      <c r="L15" s="114">
        <f>'[1]GERBER SPE'!BF16</f>
        <v>304.01550748723025</v>
      </c>
      <c r="M15" s="114">
        <f>'[1]GERBER SPE'!BG16</f>
        <v>44.030315796187978</v>
      </c>
      <c r="N15" s="114" t="str">
        <f>'[1]GERBER SPE'!BH16</f>
        <v>liquid</v>
      </c>
      <c r="R15" s="112">
        <v>42675</v>
      </c>
      <c r="S15" s="112">
        <v>42677</v>
      </c>
      <c r="T15" s="112">
        <v>42682</v>
      </c>
      <c r="U15" s="112">
        <v>42684</v>
      </c>
      <c r="V15" s="112">
        <v>42691</v>
      </c>
      <c r="W15" s="112">
        <v>42698</v>
      </c>
      <c r="X15" s="112">
        <v>42705</v>
      </c>
      <c r="Y15" s="112">
        <v>42710</v>
      </c>
      <c r="Z15" s="112"/>
      <c r="AA15" s="112">
        <v>42675</v>
      </c>
      <c r="AB15" s="112">
        <v>42677</v>
      </c>
      <c r="AC15" s="112">
        <v>42682</v>
      </c>
      <c r="AD15" s="112">
        <v>42691</v>
      </c>
      <c r="AE15" s="112">
        <v>42698</v>
      </c>
      <c r="AF15" s="112">
        <v>42705</v>
      </c>
      <c r="AG15" s="112">
        <v>42710</v>
      </c>
      <c r="AH15" s="112">
        <v>42712</v>
      </c>
    </row>
    <row r="16" spans="1:50" x14ac:dyDescent="0.2">
      <c r="A16" s="177"/>
      <c r="B16" s="112">
        <v>42705</v>
      </c>
      <c r="C16" s="105" t="s">
        <v>101</v>
      </c>
      <c r="D16" s="114">
        <f>'[1]GERBER SPE'!AX17</f>
        <v>221.82882710793339</v>
      </c>
      <c r="E16" s="114">
        <f>'[1]GERBER SPE'!AY17</f>
        <v>21.387975506468027</v>
      </c>
      <c r="F16" s="114">
        <f>'[1]GERBER SPE'!AZ17</f>
        <v>221.82882710793339</v>
      </c>
      <c r="G16" s="114">
        <f>'[1]GERBER SPE'!BA17</f>
        <v>21.387975506468027</v>
      </c>
      <c r="H16" s="114">
        <f>'[1]GERBER SPE'!BB17</f>
        <v>0</v>
      </c>
      <c r="I16" s="114">
        <f>'[1]GERBER SPE'!BC17</f>
        <v>0</v>
      </c>
      <c r="J16" s="114">
        <f>'[1]GERBER SPE'!BD17</f>
        <v>100</v>
      </c>
      <c r="K16" s="114">
        <f>'[1]GERBER SPE'!BE17</f>
        <v>0</v>
      </c>
      <c r="L16" s="114">
        <f>'[1]GERBER SPE'!BF17</f>
        <v>128.74104063267768</v>
      </c>
      <c r="M16" s="114">
        <f>'[1]GERBER SPE'!BG17</f>
        <v>17.753809693337285</v>
      </c>
    </row>
    <row r="17" spans="1:34" x14ac:dyDescent="0.2">
      <c r="A17" s="177"/>
      <c r="B17" s="112">
        <v>42710</v>
      </c>
      <c r="C17" s="105" t="s">
        <v>102</v>
      </c>
      <c r="D17" s="114">
        <f>'[1]GERBER SPE'!AX18</f>
        <v>198.69345205122252</v>
      </c>
      <c r="E17" s="114">
        <f>'[1]GERBER SPE'!AY18</f>
        <v>38.232860316950337</v>
      </c>
      <c r="F17" s="114">
        <f>'[1]GERBER SPE'!AZ18</f>
        <v>198.69345205122252</v>
      </c>
      <c r="G17" s="114">
        <f>'[1]GERBER SPE'!BA18</f>
        <v>38.232860316950337</v>
      </c>
      <c r="H17" s="114">
        <f>'[1]GERBER SPE'!BB18</f>
        <v>0</v>
      </c>
      <c r="I17" s="114">
        <f>'[1]GERBER SPE'!BC18</f>
        <v>0</v>
      </c>
      <c r="J17" s="114">
        <f>'[1]GERBER SPE'!BD18</f>
        <v>100</v>
      </c>
      <c r="K17" s="114">
        <f>'[1]GERBER SPE'!BE18</f>
        <v>0</v>
      </c>
      <c r="L17" s="114">
        <f>'[1]GERBER SPE'!BF18</f>
        <v>129.58960263629922</v>
      </c>
      <c r="M17" s="114">
        <f>'[1]GERBER SPE'!BG18</f>
        <v>7.1208561618752304</v>
      </c>
      <c r="N17" s="114" t="str">
        <f>'[1]GERBER SPE'!BH18</f>
        <v>yellow oil</v>
      </c>
    </row>
    <row r="18" spans="1:34" x14ac:dyDescent="0.2">
      <c r="A18" s="177"/>
      <c r="B18" s="112">
        <v>42712</v>
      </c>
      <c r="C18" s="105" t="s">
        <v>107</v>
      </c>
      <c r="D18" s="114">
        <v>271.56945736134321</v>
      </c>
      <c r="E18" s="114">
        <v>33.820420059603933</v>
      </c>
      <c r="F18" s="114">
        <v>271.56945736134321</v>
      </c>
      <c r="G18" s="114">
        <v>33.820420059603933</v>
      </c>
      <c r="H18" s="114">
        <v>0</v>
      </c>
      <c r="I18" s="114">
        <v>0</v>
      </c>
      <c r="J18" s="114">
        <v>100</v>
      </c>
      <c r="K18" s="114">
        <v>0</v>
      </c>
      <c r="L18" s="114">
        <v>104.30233134068051</v>
      </c>
      <c r="M18" s="114">
        <v>14.033212396034161</v>
      </c>
      <c r="N18" s="114" t="s">
        <v>108</v>
      </c>
      <c r="Y18" s="105">
        <f>[1]analysis!C1</f>
        <v>0</v>
      </c>
      <c r="Z18" s="105">
        <f>[1]analysis!D1</f>
        <v>0</v>
      </c>
      <c r="AA18" s="105" t="str">
        <f>[1]analysis!E1</f>
        <v>COD sink</v>
      </c>
      <c r="AB18" s="105">
        <f>[1]analysis!F1</f>
        <v>0</v>
      </c>
      <c r="AD18" s="105">
        <f>[1]analysis!O1</f>
        <v>0</v>
      </c>
      <c r="AE18" s="105">
        <f>[1]analysis!P1</f>
        <v>0</v>
      </c>
      <c r="AF18" s="105">
        <f>[1]analysis!Q1</f>
        <v>0</v>
      </c>
      <c r="AG18" s="105" t="str">
        <f>[1]analysis!R1</f>
        <v>COD D/W</v>
      </c>
      <c r="AH18" s="105">
        <f>[1]analysis!S1</f>
        <v>0</v>
      </c>
    </row>
    <row r="19" spans="1:34" x14ac:dyDescent="0.2">
      <c r="A19" s="177"/>
      <c r="F19" s="118">
        <f>AVERAGE(F2:F18)</f>
        <v>299.98602545027188</v>
      </c>
      <c r="H19" s="118">
        <f>AVERAGE(H2:H18)</f>
        <v>296.2316551957793</v>
      </c>
      <c r="J19" s="114"/>
      <c r="Y19" s="116">
        <f>[1]analysis!C2</f>
        <v>42684</v>
      </c>
      <c r="Z19" s="105" t="str">
        <f>[1]analysis!D2</f>
        <v>d</v>
      </c>
      <c r="AA19" s="114">
        <f>[1]analysis!E2</f>
        <v>3606.1111111111113</v>
      </c>
      <c r="AB19" s="114">
        <f>[1]analysis!F2</f>
        <v>162.57263334002778</v>
      </c>
      <c r="AD19" s="116">
        <f>[1]analysis!O2</f>
        <v>42677</v>
      </c>
      <c r="AE19" s="105" t="str">
        <f>[1]analysis!P2</f>
        <v>HIGH</v>
      </c>
      <c r="AF19" s="105" t="str">
        <f>[1]analysis!Q2</f>
        <v>b</v>
      </c>
      <c r="AG19" s="114">
        <f>[1]analysis!R2</f>
        <v>2186.4285714285716</v>
      </c>
      <c r="AH19" s="114">
        <f>[1]analysis!S2</f>
        <v>530.83828584069317</v>
      </c>
    </row>
    <row r="20" spans="1:34" x14ac:dyDescent="0.2">
      <c r="B20" s="124">
        <v>42689</v>
      </c>
      <c r="C20" s="105" t="s">
        <v>103</v>
      </c>
      <c r="D20" s="114">
        <f>'[1]GERBER SPE'!AX14</f>
        <v>37.791805998480925</v>
      </c>
      <c r="E20" s="114">
        <f>'[1]GERBER SPE'!AY14</f>
        <v>4.0272031647561191</v>
      </c>
      <c r="F20" s="114">
        <f>'[1]GERBER SPE'!AZ14</f>
        <v>37.791805998480925</v>
      </c>
      <c r="G20" s="114">
        <f>'[1]GERBER SPE'!BA14</f>
        <v>4.0272031647561191</v>
      </c>
      <c r="H20" s="114">
        <f>'[1]GERBER SPE'!BB14</f>
        <v>0</v>
      </c>
      <c r="I20" s="114">
        <f>'[1]GERBER SPE'!BC14</f>
        <v>0</v>
      </c>
      <c r="J20" s="114">
        <f>'[1]GERBER SPE'!BD14</f>
        <v>100</v>
      </c>
      <c r="K20" s="114">
        <f>'[1]GERBER SPE'!BE14</f>
        <v>0</v>
      </c>
      <c r="L20" s="114">
        <f>'[1]GERBER SPE'!BF14</f>
        <v>23.672432593573433</v>
      </c>
      <c r="M20" s="114">
        <f>'[1]GERBER SPE'!BG14</f>
        <v>4.0777016344746508</v>
      </c>
      <c r="Y20" s="116">
        <f>[1]analysis!C3</f>
        <v>42705</v>
      </c>
      <c r="Z20" s="105" t="str">
        <f>[1]analysis!D3</f>
        <v>g</v>
      </c>
      <c r="AA20" s="114">
        <f>[1]analysis!E3</f>
        <v>3422.2222222222222</v>
      </c>
      <c r="AB20" s="114">
        <f>[1]analysis!F3</f>
        <v>399.22668303163812</v>
      </c>
      <c r="AD20" s="116">
        <f>[1]analysis!O3</f>
        <v>42691</v>
      </c>
      <c r="AE20" s="105">
        <f>[1]analysis!P3</f>
        <v>0</v>
      </c>
      <c r="AF20" s="105" t="str">
        <f>[1]analysis!Q3</f>
        <v>d</v>
      </c>
      <c r="AG20" s="114">
        <f>[1]analysis!R3</f>
        <v>1915</v>
      </c>
      <c r="AH20" s="114">
        <f>[1]analysis!S3</f>
        <v>126.24381172952597</v>
      </c>
    </row>
    <row r="21" spans="1:34" x14ac:dyDescent="0.2">
      <c r="Y21" s="116">
        <f>[1]analysis!C4</f>
        <v>42698</v>
      </c>
      <c r="Z21" s="105" t="str">
        <f>[1]analysis!D4</f>
        <v>f</v>
      </c>
      <c r="AA21" s="114">
        <f>[1]analysis!E4</f>
        <v>3085</v>
      </c>
      <c r="AB21" s="114">
        <f>[1]analysis!F4</f>
        <v>183.50749303502567</v>
      </c>
      <c r="AD21" s="116">
        <f>[1]analysis!O4</f>
        <v>42698</v>
      </c>
      <c r="AE21" s="105" t="str">
        <f>[1]analysis!P4</f>
        <v>LOW</v>
      </c>
      <c r="AF21" s="105" t="str">
        <f>[1]analysis!Q4</f>
        <v>e</v>
      </c>
      <c r="AG21" s="114">
        <f>[1]analysis!R4</f>
        <v>1747.7777777777778</v>
      </c>
      <c r="AH21" s="114">
        <f>[1]analysis!S4</f>
        <v>219.95896081870475</v>
      </c>
    </row>
    <row r="22" spans="1:34" x14ac:dyDescent="0.2">
      <c r="Y22" s="116">
        <f>[1]analysis!C5</f>
        <v>42675</v>
      </c>
      <c r="Z22" s="105" t="str">
        <f>[1]analysis!D5</f>
        <v>a</v>
      </c>
      <c r="AA22" s="114">
        <f>[1]analysis!E5</f>
        <v>2810.5555555555557</v>
      </c>
      <c r="AB22" s="114">
        <f>[1]analysis!F5</f>
        <v>1393.8715069107977</v>
      </c>
      <c r="AD22" s="116">
        <f>[1]analysis!O5</f>
        <v>42675</v>
      </c>
      <c r="AE22" s="105">
        <f>[1]analysis!P5</f>
        <v>0</v>
      </c>
      <c r="AF22" s="105" t="str">
        <f>[1]analysis!Q5</f>
        <v>a</v>
      </c>
      <c r="AG22" s="114">
        <f>[1]analysis!R5</f>
        <v>1714.4444444444443</v>
      </c>
      <c r="AH22" s="114">
        <f>[1]analysis!S5</f>
        <v>113.12173874979901</v>
      </c>
    </row>
    <row r="23" spans="1:34" x14ac:dyDescent="0.2">
      <c r="Y23" s="116">
        <f>[1]analysis!C6</f>
        <v>42682</v>
      </c>
      <c r="Z23" s="105" t="str">
        <f>[1]analysis!D6</f>
        <v>c</v>
      </c>
      <c r="AA23" s="114">
        <f>[1]analysis!E6</f>
        <v>2467.2222222222222</v>
      </c>
      <c r="AB23" s="114">
        <f>[1]analysis!F6</f>
        <v>365.34325564384523</v>
      </c>
      <c r="AD23" s="116">
        <f>[1]analysis!O6</f>
        <v>42682</v>
      </c>
      <c r="AE23" s="105">
        <f>[1]analysis!P6</f>
        <v>0</v>
      </c>
      <c r="AF23" s="105" t="str">
        <f>[1]analysis!Q6</f>
        <v>c</v>
      </c>
      <c r="AG23" s="114">
        <f>[1]analysis!R6</f>
        <v>1591.1111111111111</v>
      </c>
      <c r="AH23" s="114">
        <f>[1]analysis!S6</f>
        <v>272.325377280765</v>
      </c>
    </row>
    <row r="24" spans="1:34" x14ac:dyDescent="0.2">
      <c r="B24" s="116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Y24" s="116">
        <f>[1]analysis!C7</f>
        <v>42677</v>
      </c>
      <c r="Z24" s="105" t="str">
        <f>[1]analysis!D7</f>
        <v>b</v>
      </c>
      <c r="AA24" s="114">
        <f>[1]analysis!E7</f>
        <v>2394.4444444444443</v>
      </c>
      <c r="AB24" s="114">
        <f>[1]analysis!F7</f>
        <v>399.2606013342388</v>
      </c>
      <c r="AD24" s="116">
        <f>[1]analysis!O7</f>
        <v>42712</v>
      </c>
      <c r="AE24" s="105">
        <f>[1]analysis!P7</f>
        <v>0</v>
      </c>
      <c r="AF24" s="105" t="str">
        <f>[1]analysis!Q7</f>
        <v>h</v>
      </c>
      <c r="AG24" s="114">
        <f>[1]analysis!R7</f>
        <v>1543.3333333333333</v>
      </c>
      <c r="AH24" s="114">
        <f>[1]analysis!S7</f>
        <v>152.13070038621396</v>
      </c>
    </row>
    <row r="25" spans="1:34" x14ac:dyDescent="0.2">
      <c r="B25" s="116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Y25" s="116">
        <f>[1]analysis!C8</f>
        <v>42691</v>
      </c>
      <c r="Z25" s="105" t="str">
        <f>[1]analysis!D8</f>
        <v>e</v>
      </c>
      <c r="AA25" s="114">
        <f>[1]analysis!E8</f>
        <v>1519.4444444444443</v>
      </c>
      <c r="AB25" s="114">
        <f>[1]analysis!F8</f>
        <v>67.10274046399131</v>
      </c>
      <c r="AD25" s="116">
        <f>[1]analysis!O8</f>
        <v>42710</v>
      </c>
      <c r="AE25" s="105">
        <f>[1]analysis!P8</f>
        <v>0</v>
      </c>
      <c r="AF25" s="105" t="str">
        <f>[1]analysis!Q8</f>
        <v>g</v>
      </c>
      <c r="AG25" s="114">
        <f>[1]analysis!R8</f>
        <v>1445.2222222222222</v>
      </c>
      <c r="AH25" s="114">
        <f>[1]analysis!S8</f>
        <v>136.2780042576367</v>
      </c>
    </row>
    <row r="26" spans="1:34" x14ac:dyDescent="0.2">
      <c r="B26" s="116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Y26" s="116">
        <f>[1]analysis!C9</f>
        <v>42710</v>
      </c>
      <c r="Z26" s="105" t="str">
        <f>[1]analysis!D9</f>
        <v>h</v>
      </c>
      <c r="AA26" s="114">
        <f>[1]analysis!E9</f>
        <v>1198.8888888888889</v>
      </c>
      <c r="AB26" s="114">
        <f>[1]analysis!F9</f>
        <v>331.76401418947023</v>
      </c>
      <c r="AD26" s="116">
        <f>[1]analysis!O9</f>
        <v>42705</v>
      </c>
      <c r="AE26" s="105">
        <f>[1]analysis!P9</f>
        <v>0</v>
      </c>
      <c r="AF26" s="105" t="str">
        <f>[1]analysis!Q9</f>
        <v>f</v>
      </c>
      <c r="AG26" s="114">
        <f>[1]analysis!R9</f>
        <v>1232.7777777777778</v>
      </c>
      <c r="AH26" s="114">
        <f>[1]analysis!S9</f>
        <v>141.22480109543258</v>
      </c>
    </row>
    <row r="27" spans="1:34" x14ac:dyDescent="0.2">
      <c r="B27" s="116"/>
      <c r="D27" s="114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34" x14ac:dyDescent="0.2">
      <c r="B28" s="116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34" x14ac:dyDescent="0.2">
      <c r="B29" s="116"/>
      <c r="D29" s="114"/>
      <c r="E29" s="114"/>
      <c r="F29" s="114"/>
      <c r="G29" s="114"/>
      <c r="H29" s="114"/>
      <c r="I29" s="114"/>
      <c r="J29" s="114"/>
      <c r="K29" s="114"/>
      <c r="L29" s="114"/>
      <c r="M29" s="114"/>
    </row>
    <row r="30" spans="1:34" x14ac:dyDescent="0.2">
      <c r="B30" s="116"/>
      <c r="D30" s="114"/>
      <c r="E30" s="114"/>
      <c r="F30" s="114"/>
      <c r="G30" s="114"/>
      <c r="H30" s="114"/>
      <c r="I30" s="114"/>
      <c r="J30" s="114"/>
      <c r="K30" s="114"/>
      <c r="L30" s="114"/>
      <c r="M30" s="114"/>
    </row>
    <row r="31" spans="1:34" x14ac:dyDescent="0.2">
      <c r="B31" s="116"/>
      <c r="D31" s="114"/>
      <c r="E31" s="114"/>
      <c r="F31" s="114"/>
      <c r="G31" s="114"/>
      <c r="H31" s="114"/>
      <c r="I31" s="114"/>
      <c r="J31" s="114"/>
      <c r="K31" s="114"/>
      <c r="L31" s="114"/>
      <c r="M31" s="114"/>
    </row>
    <row r="32" spans="1:34" x14ac:dyDescent="0.2">
      <c r="B32" s="116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2:13" x14ac:dyDescent="0.2">
      <c r="B33" s="116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2:13" x14ac:dyDescent="0.2">
      <c r="B34" s="116"/>
      <c r="D34" s="114"/>
      <c r="E34" s="114"/>
      <c r="F34" s="114"/>
      <c r="G34" s="114"/>
      <c r="H34" s="114"/>
      <c r="I34" s="114"/>
      <c r="J34" s="114"/>
      <c r="K34" s="114"/>
      <c r="L34" s="114"/>
      <c r="M34" s="114"/>
    </row>
    <row r="35" spans="2:13" x14ac:dyDescent="0.2">
      <c r="B35" s="116"/>
      <c r="D35" s="114"/>
      <c r="E35" s="114"/>
      <c r="F35" s="114"/>
      <c r="G35" s="114"/>
      <c r="H35" s="114"/>
      <c r="I35" s="114"/>
      <c r="J35" s="114"/>
      <c r="K35" s="114"/>
      <c r="L35" s="114"/>
      <c r="M35" s="114"/>
    </row>
    <row r="36" spans="2:13" x14ac:dyDescent="0.2">
      <c r="B36" s="116"/>
      <c r="D36" s="114"/>
      <c r="E36" s="114"/>
      <c r="F36" s="114"/>
      <c r="G36" s="114"/>
      <c r="H36" s="114"/>
      <c r="I36" s="114"/>
      <c r="J36" s="114"/>
      <c r="K36" s="114"/>
      <c r="L36" s="114"/>
      <c r="M36" s="114"/>
    </row>
    <row r="37" spans="2:13" x14ac:dyDescent="0.2">
      <c r="D37" s="114"/>
      <c r="E37" s="114"/>
      <c r="F37" s="114"/>
      <c r="G37" s="114"/>
      <c r="H37" s="114"/>
      <c r="I37" s="114"/>
      <c r="J37" s="114"/>
      <c r="K37" s="114"/>
      <c r="L37" s="114"/>
      <c r="M37" s="114"/>
    </row>
  </sheetData>
  <mergeCells count="6">
    <mergeCell ref="A12:A19"/>
    <mergeCell ref="R1:Y1"/>
    <mergeCell ref="AA1:AH1"/>
    <mergeCell ref="AJ1:AO1"/>
    <mergeCell ref="AQ1:AX1"/>
    <mergeCell ref="A2:A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topLeftCell="M1" zoomScale="89" zoomScaleNormal="89" workbookViewId="0">
      <pane ySplit="1" topLeftCell="A2" activePane="bottomLeft" state="frozen"/>
      <selection activeCell="F1" sqref="F1"/>
      <selection pane="bottomLeft" activeCell="AK2" sqref="AK2:AL10"/>
    </sheetView>
  </sheetViews>
  <sheetFormatPr defaultRowHeight="14.25" x14ac:dyDescent="0.2"/>
  <cols>
    <col min="1" max="1" width="14" style="60" customWidth="1"/>
    <col min="2" max="2" width="11.42578125" style="60" customWidth="1"/>
    <col min="3" max="3" width="13.42578125" style="60" customWidth="1"/>
    <col min="4" max="19" width="9.140625" style="60"/>
    <col min="20" max="20" width="6.140625" style="60" customWidth="1"/>
    <col min="21" max="21" width="3.140625" style="60" customWidth="1"/>
    <col min="22" max="22" width="4.7109375" style="60" customWidth="1"/>
    <col min="23" max="23" width="6.140625" style="60" customWidth="1"/>
    <col min="24" max="24" width="2.85546875" style="60" customWidth="1"/>
    <col min="25" max="25" width="4.5703125" style="60" customWidth="1"/>
    <col min="26" max="26" width="6.5703125" style="60" customWidth="1"/>
    <col min="27" max="27" width="2.7109375" style="60" customWidth="1"/>
    <col min="28" max="28" width="4.7109375" style="60" customWidth="1"/>
    <col min="29" max="29" width="5.28515625" style="60" customWidth="1"/>
    <col min="30" max="30" width="2.85546875" style="60" customWidth="1"/>
    <col min="31" max="31" width="6.140625" style="60" customWidth="1"/>
    <col min="32" max="32" width="9" style="60" customWidth="1"/>
    <col min="33" max="33" width="9.140625" style="60"/>
    <col min="34" max="34" width="8" style="60" customWidth="1"/>
    <col min="35" max="35" width="5.7109375" style="60" customWidth="1"/>
    <col min="36" max="36" width="8.28515625" style="60" customWidth="1"/>
    <col min="37" max="37" width="9.140625" style="60"/>
    <col min="38" max="38" width="7.42578125" style="60" customWidth="1"/>
    <col min="39" max="16384" width="9.140625" style="60"/>
  </cols>
  <sheetData>
    <row r="1" spans="1:38" ht="63" x14ac:dyDescent="0.2">
      <c r="A1" s="57" t="s">
        <v>77</v>
      </c>
      <c r="B1" s="58" t="s">
        <v>78</v>
      </c>
      <c r="C1" s="58" t="s">
        <v>79</v>
      </c>
      <c r="D1" s="59" t="s">
        <v>80</v>
      </c>
      <c r="E1" s="59" t="s">
        <v>81</v>
      </c>
      <c r="F1" s="59" t="s">
        <v>82</v>
      </c>
      <c r="G1" s="58" t="s">
        <v>83</v>
      </c>
      <c r="H1" s="58" t="s">
        <v>84</v>
      </c>
      <c r="I1" s="58" t="s">
        <v>85</v>
      </c>
      <c r="J1" s="58" t="s">
        <v>84</v>
      </c>
      <c r="K1" s="58" t="s">
        <v>86</v>
      </c>
      <c r="L1" s="59" t="s">
        <v>84</v>
      </c>
      <c r="M1" s="59" t="s">
        <v>87</v>
      </c>
      <c r="N1" s="59" t="s">
        <v>82</v>
      </c>
      <c r="O1" s="58" t="s">
        <v>88</v>
      </c>
      <c r="R1" s="58" t="s">
        <v>78</v>
      </c>
      <c r="S1" s="58" t="s">
        <v>79</v>
      </c>
      <c r="T1" s="182" t="s">
        <v>89</v>
      </c>
      <c r="U1" s="182"/>
      <c r="V1" s="182"/>
      <c r="W1" s="182" t="s">
        <v>90</v>
      </c>
      <c r="X1" s="182"/>
      <c r="Y1" s="182"/>
      <c r="Z1" s="182" t="s">
        <v>91</v>
      </c>
      <c r="AA1" s="182"/>
      <c r="AB1" s="182"/>
      <c r="AC1" s="182" t="s">
        <v>87</v>
      </c>
      <c r="AD1" s="182"/>
      <c r="AE1" s="182"/>
      <c r="AF1" s="58" t="s">
        <v>92</v>
      </c>
      <c r="AG1" s="58" t="s">
        <v>93</v>
      </c>
      <c r="AH1" s="61" t="s">
        <v>94</v>
      </c>
      <c r="AK1" s="169" t="s">
        <v>261</v>
      </c>
    </row>
    <row r="2" spans="1:38" ht="15" x14ac:dyDescent="0.25">
      <c r="B2" s="180" t="s">
        <v>73</v>
      </c>
      <c r="C2" s="62">
        <v>42675</v>
      </c>
      <c r="D2" s="63" t="s">
        <v>95</v>
      </c>
      <c r="E2" s="64">
        <f>'[1]GERBER SPE'!AX2</f>
        <v>557.91417714146644</v>
      </c>
      <c r="F2" s="64">
        <f>'[1]GERBER SPE'!AY2</f>
        <v>38.472166799171383</v>
      </c>
      <c r="G2" s="65">
        <f>'[1]GERBER SPE'!AZ2</f>
        <v>336.83224626043102</v>
      </c>
      <c r="H2" s="65">
        <f>'[1]GERBER SPE'!BA2</f>
        <v>55.782909255421906</v>
      </c>
      <c r="I2" s="65">
        <f>'[1]GERBER SPE'!BB2</f>
        <v>221.0819308810353</v>
      </c>
      <c r="J2" s="65">
        <f>'[1]GERBER SPE'!BC2</f>
        <v>68.947388217606743</v>
      </c>
      <c r="K2" s="65">
        <f>'[1]GERBER SPE'!BD2</f>
        <v>60.598876615799725</v>
      </c>
      <c r="L2" s="64">
        <f>'[1]GERBER SPE'!BE2</f>
        <v>10.896264063154025</v>
      </c>
      <c r="M2" s="64" t="str">
        <f>'[1]GERBER SPE'!BF2</f>
        <v>NA</v>
      </c>
      <c r="N2" s="64"/>
      <c r="O2" s="58"/>
      <c r="R2" s="180" t="s">
        <v>73</v>
      </c>
      <c r="S2" s="62">
        <v>42675</v>
      </c>
      <c r="T2" s="66">
        <f>I2</f>
        <v>221.0819308810353</v>
      </c>
      <c r="U2" s="67" t="s">
        <v>96</v>
      </c>
      <c r="V2" s="68">
        <f>J2</f>
        <v>68.947388217606743</v>
      </c>
      <c r="W2" s="66">
        <f>G2</f>
        <v>336.83224626043102</v>
      </c>
      <c r="X2" s="67" t="s">
        <v>96</v>
      </c>
      <c r="Y2" s="66">
        <f>H2</f>
        <v>55.782909255421906</v>
      </c>
      <c r="Z2" s="66">
        <f>E2</f>
        <v>557.91417714146644</v>
      </c>
      <c r="AA2" s="67" t="s">
        <v>96</v>
      </c>
      <c r="AB2" s="66">
        <f>F2</f>
        <v>38.472166799171383</v>
      </c>
      <c r="AC2" s="181" t="str">
        <f>M2</f>
        <v>NA</v>
      </c>
      <c r="AD2" s="181"/>
      <c r="AE2" s="181"/>
      <c r="AF2" s="69">
        <f>'[1]OD CAL'!V3</f>
        <v>0.54320000000000002</v>
      </c>
      <c r="AG2" s="70">
        <f>[1]surfactants!X3</f>
        <v>119.81333333333333</v>
      </c>
      <c r="AH2" s="153">
        <f>[1]surfactants!AD3</f>
        <v>7.06</v>
      </c>
      <c r="AK2" s="66">
        <f t="shared" ref="AK2:AK9" si="0">T2*100/Z2</f>
        <v>39.626512452824279</v>
      </c>
    </row>
    <row r="3" spans="1:38" ht="15" x14ac:dyDescent="0.25">
      <c r="B3" s="180"/>
      <c r="C3" s="72">
        <v>42677</v>
      </c>
      <c r="D3" s="63">
        <v>3</v>
      </c>
      <c r="E3" s="70">
        <f>'[1]GERBER SPE'!AX3</f>
        <v>237.4844562926578</v>
      </c>
      <c r="F3" s="70">
        <f>'[1]GERBER SPE'!AY3</f>
        <v>18.431704099500507</v>
      </c>
      <c r="G3" s="66">
        <f>'[1]GERBER SPE'!AZ3</f>
        <v>154.94496338916895</v>
      </c>
      <c r="H3" s="66">
        <f>'[1]GERBER SPE'!BA3</f>
        <v>9.556726673229754</v>
      </c>
      <c r="I3" s="66">
        <f>'[1]GERBER SPE'!BB3</f>
        <v>82.539492903488807</v>
      </c>
      <c r="J3" s="66">
        <f>'[1]GERBER SPE'!BC3</f>
        <v>23.167559151832222</v>
      </c>
      <c r="K3" s="70">
        <f>'[1]GERBER SPE'!BD3</f>
        <v>65.566902134586925</v>
      </c>
      <c r="L3" s="70">
        <f>'[1]GERBER SPE'!BE3</f>
        <v>2.6579048642306575</v>
      </c>
      <c r="M3" s="70">
        <f>'[1]GERBER SPE'!BF3</f>
        <v>267.8157490800653</v>
      </c>
      <c r="N3" s="70">
        <f>'[1]GERBER SPE'!BG3</f>
        <v>56.633689210986134</v>
      </c>
      <c r="O3" s="73" t="s">
        <v>97</v>
      </c>
      <c r="R3" s="180"/>
      <c r="S3" s="72">
        <v>42677</v>
      </c>
      <c r="T3" s="66">
        <f t="shared" ref="T3:T22" si="1">I3</f>
        <v>82.539492903488807</v>
      </c>
      <c r="U3" s="67" t="s">
        <v>96</v>
      </c>
      <c r="V3" s="68">
        <f t="shared" ref="V3:V22" si="2">J3</f>
        <v>23.167559151832222</v>
      </c>
      <c r="W3" s="66">
        <f t="shared" ref="W3:W22" si="3">G3</f>
        <v>154.94496338916895</v>
      </c>
      <c r="X3" s="67" t="s">
        <v>96</v>
      </c>
      <c r="Y3" s="66">
        <f t="shared" ref="Y3:Y22" si="4">H3</f>
        <v>9.556726673229754</v>
      </c>
      <c r="Z3" s="66">
        <f t="shared" ref="Z3:Z22" si="5">E3</f>
        <v>237.4844562926578</v>
      </c>
      <c r="AA3" s="67" t="s">
        <v>96</v>
      </c>
      <c r="AB3" s="66">
        <f t="shared" ref="AB3:AB22" si="6">F3</f>
        <v>18.431704099500507</v>
      </c>
      <c r="AC3" s="66">
        <f t="shared" ref="AC3:AC22" si="7">M3</f>
        <v>267.8157490800653</v>
      </c>
      <c r="AD3" s="74" t="s">
        <v>96</v>
      </c>
      <c r="AE3" s="66">
        <f t="shared" ref="AE3:AE22" si="8">N3</f>
        <v>56.633689210986134</v>
      </c>
      <c r="AF3" s="69">
        <f>'[1]OD CAL'!V4</f>
        <v>0.2477</v>
      </c>
      <c r="AG3" s="70">
        <f>[1]surfactants!X4</f>
        <v>141.76666666666665</v>
      </c>
      <c r="AH3" s="153">
        <f>[1]surfactants!AD4</f>
        <v>6.673</v>
      </c>
      <c r="AK3" s="66">
        <f t="shared" si="0"/>
        <v>34.75574536203473</v>
      </c>
    </row>
    <row r="4" spans="1:38" ht="15" x14ac:dyDescent="0.25">
      <c r="B4" s="180"/>
      <c r="C4" s="72">
        <v>42682</v>
      </c>
      <c r="D4" s="63">
        <v>8</v>
      </c>
      <c r="E4" s="70">
        <f>'[1]GERBER SPE'!AX4</f>
        <v>545.42641667542932</v>
      </c>
      <c r="F4" s="70">
        <f>'[1]GERBER SPE'!AY4</f>
        <v>293.86329161397157</v>
      </c>
      <c r="G4" s="66">
        <f>'[1]GERBER SPE'!AZ4</f>
        <v>193.68607219043011</v>
      </c>
      <c r="H4" s="66">
        <f>'[1]GERBER SPE'!BA4</f>
        <v>39.110395214533732</v>
      </c>
      <c r="I4" s="66">
        <f>'[1]GERBER SPE'!BB4</f>
        <v>351.74034448499924</v>
      </c>
      <c r="J4" s="66">
        <f>'[1]GERBER SPE'!BC4</f>
        <v>254.81729558164071</v>
      </c>
      <c r="K4" s="70">
        <f>'[1]GERBER SPE'!BD4</f>
        <v>39.603028073507382</v>
      </c>
      <c r="L4" s="70">
        <f>'[1]GERBER SPE'!BE4</f>
        <v>11.547874857665882</v>
      </c>
      <c r="M4" s="70">
        <f>'[1]GERBER SPE'!BF4</f>
        <v>732.51215709268843</v>
      </c>
      <c r="N4" s="70">
        <f>'[1]GERBER SPE'!BG4</f>
        <v>47.414058795613407</v>
      </c>
      <c r="O4" s="60" t="s">
        <v>98</v>
      </c>
      <c r="R4" s="180"/>
      <c r="S4" s="72">
        <v>42682</v>
      </c>
      <c r="T4" s="66">
        <f t="shared" si="1"/>
        <v>351.74034448499924</v>
      </c>
      <c r="U4" s="67" t="s">
        <v>96</v>
      </c>
      <c r="V4" s="68">
        <f t="shared" si="2"/>
        <v>254.81729558164071</v>
      </c>
      <c r="W4" s="66">
        <f t="shared" si="3"/>
        <v>193.68607219043011</v>
      </c>
      <c r="X4" s="67" t="s">
        <v>96</v>
      </c>
      <c r="Y4" s="66">
        <f t="shared" si="4"/>
        <v>39.110395214533732</v>
      </c>
      <c r="Z4" s="66">
        <f t="shared" si="5"/>
        <v>545.42641667542932</v>
      </c>
      <c r="AA4" s="67" t="s">
        <v>96</v>
      </c>
      <c r="AB4" s="66">
        <f t="shared" si="6"/>
        <v>293.86329161397157</v>
      </c>
      <c r="AC4" s="66">
        <f t="shared" si="7"/>
        <v>732.51215709268843</v>
      </c>
      <c r="AD4" s="74" t="s">
        <v>96</v>
      </c>
      <c r="AE4" s="66">
        <f t="shared" si="8"/>
        <v>47.414058795613407</v>
      </c>
      <c r="AF4" s="69">
        <f>'[1]OD CAL'!V5</f>
        <v>0.43227777777777782</v>
      </c>
      <c r="AG4" s="70">
        <f>[1]surfactants!X5</f>
        <v>102.78</v>
      </c>
      <c r="AH4" s="153">
        <f>[1]surfactants!AD5</f>
        <v>6.4349999999999996</v>
      </c>
      <c r="AK4" s="66">
        <f t="shared" si="0"/>
        <v>64.489055485978014</v>
      </c>
    </row>
    <row r="5" spans="1:38" ht="15" x14ac:dyDescent="0.25">
      <c r="B5" s="180"/>
      <c r="C5" s="75">
        <f>'[1]GERBER SPE'!AV5</f>
        <v>42684</v>
      </c>
      <c r="D5" s="76">
        <v>10</v>
      </c>
      <c r="E5" s="77">
        <f>'[1]GERBER SPE'!AX5</f>
        <v>1000.711447285315</v>
      </c>
      <c r="F5" s="77">
        <f>'[1]GERBER SPE'!AY5</f>
        <v>493.26798313883819</v>
      </c>
      <c r="G5" s="77">
        <f>'[1]GERBER SPE'!AZ5</f>
        <v>538.47679141523884</v>
      </c>
      <c r="H5" s="77">
        <f>'[1]GERBER SPE'!BA5</f>
        <v>118.4906471989828</v>
      </c>
      <c r="I5" s="77">
        <f>'[1]GERBER SPE'!BB5</f>
        <v>462.23465587007604</v>
      </c>
      <c r="J5" s="77">
        <f>'[1]GERBER SPE'!BC5</f>
        <v>395.0249610855667</v>
      </c>
      <c r="K5" s="66">
        <f>100*G5/E5</f>
        <v>53.809396592393789</v>
      </c>
      <c r="L5" s="78"/>
      <c r="M5" s="79" t="s">
        <v>100</v>
      </c>
      <c r="O5" s="78" t="s">
        <v>99</v>
      </c>
      <c r="R5" s="180"/>
      <c r="S5" s="75">
        <f>C5</f>
        <v>42684</v>
      </c>
      <c r="T5" s="66">
        <f t="shared" si="1"/>
        <v>462.23465587007604</v>
      </c>
      <c r="U5" s="67" t="s">
        <v>96</v>
      </c>
      <c r="V5" s="68">
        <f t="shared" si="2"/>
        <v>395.0249610855667</v>
      </c>
      <c r="W5" s="66">
        <f t="shared" si="3"/>
        <v>538.47679141523884</v>
      </c>
      <c r="X5" s="67" t="s">
        <v>96</v>
      </c>
      <c r="Y5" s="66">
        <f t="shared" si="4"/>
        <v>118.4906471989828</v>
      </c>
      <c r="Z5" s="66">
        <f t="shared" si="5"/>
        <v>1000.711447285315</v>
      </c>
      <c r="AA5" s="67" t="s">
        <v>96</v>
      </c>
      <c r="AB5" s="66">
        <f t="shared" si="6"/>
        <v>493.26798313883819</v>
      </c>
      <c r="AC5" s="181" t="str">
        <f t="shared" si="7"/>
        <v>NA</v>
      </c>
      <c r="AD5" s="181"/>
      <c r="AE5" s="181"/>
      <c r="AF5" s="69">
        <f>'[1]OD CAL'!V6</f>
        <v>0.50912222222222214</v>
      </c>
      <c r="AG5" s="70">
        <f>[1]surfactants!X6</f>
        <v>179.66333333333333</v>
      </c>
      <c r="AH5" s="153">
        <f>[1]surfactants!AD6</f>
        <v>6.6760000000000002</v>
      </c>
      <c r="AK5" s="66">
        <f t="shared" si="0"/>
        <v>46.190603407606197</v>
      </c>
    </row>
    <row r="6" spans="1:38" ht="15" x14ac:dyDescent="0.25">
      <c r="B6" s="180"/>
      <c r="C6" s="72">
        <v>42691</v>
      </c>
      <c r="D6" s="63">
        <v>17</v>
      </c>
      <c r="E6" s="66">
        <f>'[1]GERBER SPE'!AX6</f>
        <v>398.9560602569004</v>
      </c>
      <c r="F6" s="66">
        <f>'[1]GERBER SPE'!AY6</f>
        <v>145.62040726124098</v>
      </c>
      <c r="G6" s="66">
        <f>'[1]GERBER SPE'!AZ6</f>
        <v>123.78170564082023</v>
      </c>
      <c r="H6" s="66">
        <f>'[1]GERBER SPE'!BA6</f>
        <v>39.017161155297288</v>
      </c>
      <c r="I6" s="66">
        <f>'[1]GERBER SPE'!BB6</f>
        <v>275.17435461608017</v>
      </c>
      <c r="J6" s="66">
        <f>'[1]GERBER SPE'!BC6</f>
        <v>142.52477667881573</v>
      </c>
      <c r="K6" s="66">
        <f>'[1]GERBER SPE'!BD6</f>
        <v>33.22743035392039</v>
      </c>
      <c r="L6" s="66">
        <f>'[1]GERBER SPE'!BE6</f>
        <v>13.135638186830432</v>
      </c>
      <c r="M6" s="66">
        <f>'[1]GERBER SPE'!BF6</f>
        <v>273.81600663187356</v>
      </c>
      <c r="N6" s="66">
        <f>'[1]GERBER SPE'!BG6</f>
        <v>69.235022073690217</v>
      </c>
      <c r="R6" s="180"/>
      <c r="S6" s="72">
        <v>42691</v>
      </c>
      <c r="T6" s="66">
        <f t="shared" si="1"/>
        <v>275.17435461608017</v>
      </c>
      <c r="U6" s="67" t="s">
        <v>96</v>
      </c>
      <c r="V6" s="68">
        <f t="shared" si="2"/>
        <v>142.52477667881573</v>
      </c>
      <c r="W6" s="66">
        <f t="shared" si="3"/>
        <v>123.78170564082023</v>
      </c>
      <c r="X6" s="67" t="s">
        <v>96</v>
      </c>
      <c r="Y6" s="66">
        <f t="shared" si="4"/>
        <v>39.017161155297288</v>
      </c>
      <c r="Z6" s="66">
        <f t="shared" si="5"/>
        <v>398.9560602569004</v>
      </c>
      <c r="AA6" s="67" t="s">
        <v>96</v>
      </c>
      <c r="AB6" s="66">
        <f t="shared" si="6"/>
        <v>145.62040726124098</v>
      </c>
      <c r="AC6" s="66">
        <f t="shared" si="7"/>
        <v>273.81600663187356</v>
      </c>
      <c r="AD6" s="74" t="s">
        <v>96</v>
      </c>
      <c r="AE6" s="66">
        <f t="shared" si="8"/>
        <v>69.235022073690217</v>
      </c>
      <c r="AF6" s="69">
        <f>'[1]OD CAL'!V8</f>
        <v>0.2147222222222222</v>
      </c>
      <c r="AG6" s="70">
        <f>[1]surfactants!X8</f>
        <v>334.58333333333331</v>
      </c>
      <c r="AH6" s="153">
        <f>[1]surfactants!AD8</f>
        <v>7.0030000000000001</v>
      </c>
      <c r="AK6" s="66">
        <f t="shared" si="0"/>
        <v>68.973599358006169</v>
      </c>
    </row>
    <row r="7" spans="1:38" ht="15" x14ac:dyDescent="0.25">
      <c r="B7" s="180"/>
      <c r="C7" s="72">
        <f>'[1]GERBER SPE'!AV7</f>
        <v>42698</v>
      </c>
      <c r="D7" s="80">
        <v>24</v>
      </c>
      <c r="E7" s="66">
        <f>'[1]GERBER SPE'!AX7</f>
        <v>2022.5613561700939</v>
      </c>
      <c r="F7" s="66">
        <f>'[1]GERBER SPE'!AY7</f>
        <v>440.80537459769107</v>
      </c>
      <c r="G7" s="66">
        <f>'[1]GERBER SPE'!AZ7</f>
        <v>453.87826274511417</v>
      </c>
      <c r="H7" s="66">
        <f>'[1]GERBER SPE'!BA7</f>
        <v>78.773741544263146</v>
      </c>
      <c r="I7" s="66">
        <f>'[1]GERBER SPE'!BB7</f>
        <v>1568.6830934249799</v>
      </c>
      <c r="J7" s="66">
        <f>'[1]GERBER SPE'!BC7</f>
        <v>462.24941313011402</v>
      </c>
      <c r="K7" s="66">
        <f>'[1]GERBER SPE'!BD7</f>
        <v>23.306502283206637</v>
      </c>
      <c r="L7" s="66">
        <f>'[1]GERBER SPE'!BE7</f>
        <v>7.6353993903132773</v>
      </c>
      <c r="M7" s="66">
        <f>'[1]GERBER SPE'!BF7</f>
        <v>1639.5124823590957</v>
      </c>
      <c r="N7" s="66">
        <f>'[1]GERBER SPE'!BG7</f>
        <v>1242.3276309222915</v>
      </c>
      <c r="O7" s="71" t="str">
        <f>'[1]GERBER SPE'!BH7</f>
        <v>solid+liquid</v>
      </c>
      <c r="R7" s="180"/>
      <c r="S7" s="72">
        <f>C7</f>
        <v>42698</v>
      </c>
      <c r="T7" s="66">
        <f t="shared" si="1"/>
        <v>1568.6830934249799</v>
      </c>
      <c r="U7" s="67" t="s">
        <v>96</v>
      </c>
      <c r="V7" s="68">
        <f t="shared" si="2"/>
        <v>462.24941313011402</v>
      </c>
      <c r="W7" s="66">
        <f t="shared" si="3"/>
        <v>453.87826274511417</v>
      </c>
      <c r="X7" s="67" t="s">
        <v>96</v>
      </c>
      <c r="Y7" s="66">
        <f t="shared" si="4"/>
        <v>78.773741544263146</v>
      </c>
      <c r="Z7" s="66">
        <f t="shared" si="5"/>
        <v>2022.5613561700939</v>
      </c>
      <c r="AA7" s="67" t="s">
        <v>96</v>
      </c>
      <c r="AB7" s="66">
        <f t="shared" si="6"/>
        <v>440.80537459769107</v>
      </c>
      <c r="AC7" s="66">
        <f t="shared" si="7"/>
        <v>1639.5124823590957</v>
      </c>
      <c r="AD7" s="74" t="s">
        <v>96</v>
      </c>
      <c r="AE7" s="66">
        <f t="shared" si="8"/>
        <v>1242.3276309222915</v>
      </c>
      <c r="AF7" s="69">
        <f>'[1]OD CAL'!V9</f>
        <v>0.5279666666666667</v>
      </c>
      <c r="AG7" s="70">
        <f>[1]surfactants!X9</f>
        <v>190.1575</v>
      </c>
      <c r="AH7" s="153">
        <f>[1]surfactants!AD9</f>
        <v>6.6449999999999996</v>
      </c>
      <c r="AK7" s="66">
        <f t="shared" si="0"/>
        <v>77.55923392086487</v>
      </c>
    </row>
    <row r="8" spans="1:38" ht="15" x14ac:dyDescent="0.25">
      <c r="B8" s="180"/>
      <c r="C8" s="72">
        <v>42705</v>
      </c>
      <c r="D8" s="63" t="s">
        <v>101</v>
      </c>
      <c r="E8" s="66">
        <f>'[1]GERBER SPE'!AX8</f>
        <v>1315.1377587655691</v>
      </c>
      <c r="F8" s="66">
        <f>'[1]GERBER SPE'!AY8</f>
        <v>428.2873154124228</v>
      </c>
      <c r="G8" s="66">
        <f>'[1]GERBER SPE'!AZ8</f>
        <v>439.62678936318827</v>
      </c>
      <c r="H8" s="66">
        <f>'[1]GERBER SPE'!BA8</f>
        <v>100.97210493703192</v>
      </c>
      <c r="I8" s="66">
        <f>'[1]GERBER SPE'!BB8</f>
        <v>875.51096940238074</v>
      </c>
      <c r="J8" s="66">
        <f>'[1]GERBER SPE'!BC8</f>
        <v>372.87132336633232</v>
      </c>
      <c r="K8" s="66">
        <f>'[1]GERBER SPE'!BD8</f>
        <v>34.962345609369649</v>
      </c>
      <c r="L8" s="66">
        <f>'[1]GERBER SPE'!BE8</f>
        <v>8.36326892029685</v>
      </c>
      <c r="M8" s="66">
        <f>'[1]GERBER SPE'!BF8</f>
        <v>891.53075458489354</v>
      </c>
      <c r="N8" s="66">
        <f>'[1]GERBER SPE'!BG8</f>
        <v>94.603401920908269</v>
      </c>
      <c r="R8" s="180"/>
      <c r="S8" s="72">
        <v>42705</v>
      </c>
      <c r="T8" s="66">
        <f t="shared" si="1"/>
        <v>875.51096940238074</v>
      </c>
      <c r="U8" s="67" t="s">
        <v>96</v>
      </c>
      <c r="V8" s="68">
        <f t="shared" si="2"/>
        <v>372.87132336633232</v>
      </c>
      <c r="W8" s="66">
        <f t="shared" si="3"/>
        <v>439.62678936318827</v>
      </c>
      <c r="X8" s="67" t="s">
        <v>96</v>
      </c>
      <c r="Y8" s="66">
        <f t="shared" si="4"/>
        <v>100.97210493703192</v>
      </c>
      <c r="Z8" s="66">
        <f t="shared" si="5"/>
        <v>1315.1377587655691</v>
      </c>
      <c r="AA8" s="67" t="s">
        <v>96</v>
      </c>
      <c r="AB8" s="66">
        <f t="shared" si="6"/>
        <v>428.2873154124228</v>
      </c>
      <c r="AC8" s="66">
        <f t="shared" si="7"/>
        <v>891.53075458489354</v>
      </c>
      <c r="AD8" s="74" t="s">
        <v>96</v>
      </c>
      <c r="AE8" s="66">
        <f t="shared" si="8"/>
        <v>94.603401920908269</v>
      </c>
      <c r="AF8" s="69">
        <f>'[1]OD CAL'!V10</f>
        <v>0.62371111111111111</v>
      </c>
      <c r="AG8" s="70">
        <f>[1]surfactants!X10</f>
        <v>453.28000000000003</v>
      </c>
      <c r="AH8" s="153">
        <f>[1]surfactants!AD10</f>
        <v>6.76</v>
      </c>
      <c r="AK8" s="66">
        <f t="shared" si="0"/>
        <v>66.571806912772672</v>
      </c>
    </row>
    <row r="9" spans="1:38" ht="15" x14ac:dyDescent="0.25">
      <c r="B9" s="180"/>
      <c r="C9" s="72">
        <v>42710</v>
      </c>
      <c r="D9" s="63" t="s">
        <v>102</v>
      </c>
      <c r="E9" s="66">
        <f>'[1]GERBER SPE'!AX9</f>
        <v>956.88173381526303</v>
      </c>
      <c r="F9" s="66">
        <f>'[1]GERBER SPE'!AY9</f>
        <v>402.23866545568819</v>
      </c>
      <c r="G9" s="66">
        <f>'[1]GERBER SPE'!AZ9</f>
        <v>232.7874503450027</v>
      </c>
      <c r="H9" s="66">
        <f>'[1]GERBER SPE'!BA9</f>
        <v>59.962791754027648</v>
      </c>
      <c r="I9" s="66">
        <f>'[1]GERBER SPE'!BB9</f>
        <v>724.09428347026028</v>
      </c>
      <c r="J9" s="66">
        <f>'[1]GERBER SPE'!BC9</f>
        <v>344.08393056147321</v>
      </c>
      <c r="K9" s="66">
        <f>'[1]GERBER SPE'!BD9</f>
        <v>25.597338884616597</v>
      </c>
      <c r="L9" s="66">
        <f>'[1]GERBER SPE'!BE9</f>
        <v>4.0975492897586756</v>
      </c>
      <c r="M9" s="66">
        <f>'[1]GERBER SPE'!BF9</f>
        <v>601.95795391691399</v>
      </c>
      <c r="N9" s="66">
        <f>'[1]GERBER SPE'!BG9</f>
        <v>42.872308191501666</v>
      </c>
      <c r="O9" s="66" t="str">
        <f>'[1]GERBER SPE'!BH9</f>
        <v>red oil</v>
      </c>
      <c r="R9" s="180"/>
      <c r="S9" s="72">
        <v>42710</v>
      </c>
      <c r="T9" s="66">
        <f t="shared" si="1"/>
        <v>724.09428347026028</v>
      </c>
      <c r="U9" s="67" t="s">
        <v>96</v>
      </c>
      <c r="V9" s="68">
        <f t="shared" si="2"/>
        <v>344.08393056147321</v>
      </c>
      <c r="W9" s="66">
        <f t="shared" si="3"/>
        <v>232.7874503450027</v>
      </c>
      <c r="X9" s="67" t="s">
        <v>96</v>
      </c>
      <c r="Y9" s="66">
        <f t="shared" si="4"/>
        <v>59.962791754027648</v>
      </c>
      <c r="Z9" s="66">
        <f t="shared" si="5"/>
        <v>956.88173381526303</v>
      </c>
      <c r="AA9" s="67" t="s">
        <v>96</v>
      </c>
      <c r="AB9" s="66">
        <f t="shared" si="6"/>
        <v>402.23866545568819</v>
      </c>
      <c r="AC9" s="66">
        <f t="shared" si="7"/>
        <v>601.95795391691399</v>
      </c>
      <c r="AD9" s="74" t="s">
        <v>96</v>
      </c>
      <c r="AE9" s="66">
        <f t="shared" si="8"/>
        <v>42.872308191501666</v>
      </c>
      <c r="AF9" s="69">
        <f>'[1]OD CAL'!V11</f>
        <v>0.16047777777777777</v>
      </c>
      <c r="AG9" s="70">
        <f>[1]surfactants!X11</f>
        <v>213.22666666666666</v>
      </c>
      <c r="AH9" s="153">
        <f>[1]surfactants!AD11</f>
        <v>6.85</v>
      </c>
      <c r="AK9" s="66">
        <f t="shared" si="0"/>
        <v>75.672286122879939</v>
      </c>
    </row>
    <row r="10" spans="1:38" ht="15" x14ac:dyDescent="0.25">
      <c r="B10" s="94"/>
      <c r="C10" s="72"/>
      <c r="D10" s="94"/>
      <c r="E10" s="66"/>
      <c r="F10" s="66"/>
      <c r="G10" s="66"/>
      <c r="H10" s="66"/>
      <c r="I10" s="66"/>
      <c r="J10" s="66"/>
      <c r="K10" s="147">
        <f>AVERAGE(K2:K9)</f>
        <v>42.083977568425141</v>
      </c>
      <c r="L10" s="147">
        <f>_xlfn.STDEV.S(K2:K9)</f>
        <v>15.997538641477353</v>
      </c>
      <c r="M10" s="66"/>
      <c r="N10" s="66"/>
      <c r="O10" s="66"/>
      <c r="R10" s="94"/>
      <c r="S10" s="72"/>
      <c r="T10" s="147">
        <f>AVERAGE(T2:T9)</f>
        <v>570.13239063166259</v>
      </c>
      <c r="U10" s="148" t="s">
        <v>96</v>
      </c>
      <c r="V10" s="147">
        <f>_xlfn.STDEV.S(T2:T9)</f>
        <v>481.06788268119186</v>
      </c>
      <c r="W10" s="147">
        <f>AVERAGE(W2:W9)</f>
        <v>309.2517851686743</v>
      </c>
      <c r="X10" s="148" t="s">
        <v>96</v>
      </c>
      <c r="Y10" s="147">
        <f>_xlfn.STDEV.S(W2:W9)</f>
        <v>155.21009688327831</v>
      </c>
      <c r="Z10" s="147">
        <f>AVERAGE(Z2:Z9)</f>
        <v>879.38417580033683</v>
      </c>
      <c r="AA10" s="148" t="s">
        <v>96</v>
      </c>
      <c r="AB10" s="147">
        <f>_xlfn.STDEV.S(Z2:Z9)</f>
        <v>582.50427320511949</v>
      </c>
      <c r="AC10" s="66"/>
      <c r="AD10" s="74"/>
      <c r="AE10" s="66"/>
      <c r="AF10" s="69"/>
      <c r="AG10" s="95"/>
      <c r="AH10" s="154">
        <f>AVERAGE(AH2:AH9)</f>
        <v>6.7627500000000005</v>
      </c>
      <c r="AI10" s="148" t="s">
        <v>96</v>
      </c>
      <c r="AJ10" s="154">
        <f>_xlfn.STDEV.S(AH2:AH9)</f>
        <v>0.20373775160379934</v>
      </c>
      <c r="AK10" s="73">
        <f>AVERAGE(AK2:AK9)</f>
        <v>59.229855377870855</v>
      </c>
      <c r="AL10" s="68">
        <f>_xlfn.STDEV.S(AK2:AK9)</f>
        <v>16.63094722108433</v>
      </c>
    </row>
    <row r="11" spans="1:38" ht="15" x14ac:dyDescent="0.25">
      <c r="C11" s="72"/>
      <c r="D11" s="63"/>
      <c r="S11" s="72"/>
      <c r="T11" s="66"/>
      <c r="U11" s="67"/>
      <c r="V11" s="68"/>
      <c r="W11" s="66"/>
      <c r="X11" s="67"/>
      <c r="Y11" s="66"/>
      <c r="Z11" s="66"/>
      <c r="AA11" s="67"/>
      <c r="AB11" s="66"/>
      <c r="AC11" s="66"/>
      <c r="AD11" s="74"/>
      <c r="AE11" s="66"/>
      <c r="AG11" s="81"/>
      <c r="AH11" s="153"/>
      <c r="AJ11" s="153"/>
      <c r="AK11" s="168"/>
    </row>
    <row r="12" spans="1:38" ht="15" x14ac:dyDescent="0.25">
      <c r="B12" s="180" t="s">
        <v>103</v>
      </c>
      <c r="C12" s="72">
        <v>42675</v>
      </c>
      <c r="D12" s="63" t="s">
        <v>104</v>
      </c>
      <c r="E12" s="66">
        <f>'[1]GERBER SPE'!AX11</f>
        <v>278.38500385219334</v>
      </c>
      <c r="F12" s="66">
        <f>'[1]GERBER SPE'!AY11</f>
        <v>55.294453796282554</v>
      </c>
      <c r="G12" s="66">
        <f>'[1]GERBER SPE'!AZ11</f>
        <v>216.98456968945399</v>
      </c>
      <c r="H12" s="66">
        <f>'[1]GERBER SPE'!BA11</f>
        <v>9.0433068901926887</v>
      </c>
      <c r="I12" s="66">
        <f>'[1]GERBER SPE'!BB11</f>
        <v>61.400434162739366</v>
      </c>
      <c r="J12" s="66">
        <f>'[1]GERBER SPE'!BC11</f>
        <v>54.694488823726545</v>
      </c>
      <c r="K12" s="70">
        <f>'[1]GERBER SPE'!BD11</f>
        <v>80.147550874776584</v>
      </c>
      <c r="L12" s="70">
        <f>'[1]GERBER SPE'!BE11</f>
        <v>17.317406695946399</v>
      </c>
      <c r="M12" s="66" t="str">
        <f>'[1]GERBER SPE'!BF11</f>
        <v>NA</v>
      </c>
      <c r="N12" s="66"/>
      <c r="R12" s="180" t="s">
        <v>103</v>
      </c>
      <c r="S12" s="72">
        <v>42675</v>
      </c>
      <c r="T12" s="66">
        <f t="shared" si="1"/>
        <v>61.400434162739366</v>
      </c>
      <c r="U12" s="67" t="s">
        <v>96</v>
      </c>
      <c r="V12" s="68">
        <f t="shared" si="2"/>
        <v>54.694488823726545</v>
      </c>
      <c r="W12" s="66">
        <f t="shared" si="3"/>
        <v>216.98456968945399</v>
      </c>
      <c r="X12" s="67" t="s">
        <v>96</v>
      </c>
      <c r="Y12" s="66">
        <f t="shared" si="4"/>
        <v>9.0433068901926887</v>
      </c>
      <c r="Z12" s="66">
        <f t="shared" si="5"/>
        <v>278.38500385219334</v>
      </c>
      <c r="AA12" s="67" t="s">
        <v>96</v>
      </c>
      <c r="AB12" s="66">
        <f t="shared" si="6"/>
        <v>55.294453796282554</v>
      </c>
      <c r="AC12" s="181" t="str">
        <f t="shared" si="7"/>
        <v>NA</v>
      </c>
      <c r="AD12" s="181"/>
      <c r="AE12" s="181"/>
      <c r="AF12" s="60">
        <f>'[1]OD CAL'!Z3</f>
        <v>0.2727</v>
      </c>
      <c r="AG12" s="70">
        <f>[1]surfactants!AA3</f>
        <v>18.566666666666666</v>
      </c>
      <c r="AH12" s="153">
        <f>[1]surfactants!AE3</f>
        <v>11.608000000000001</v>
      </c>
      <c r="AK12" s="66">
        <f t="shared" ref="AK12:AK19" si="9">T12*100/Z12</f>
        <v>22.05594170415139</v>
      </c>
    </row>
    <row r="13" spans="1:38" ht="15" x14ac:dyDescent="0.25">
      <c r="B13" s="180"/>
      <c r="C13" s="72">
        <v>42677</v>
      </c>
      <c r="D13" s="63">
        <v>3</v>
      </c>
      <c r="E13" s="70">
        <f>'[1]GERBER SPE'!AX12</f>
        <v>379.97279565601769</v>
      </c>
      <c r="F13" s="70">
        <f>'[1]GERBER SPE'!AY12</f>
        <v>21.96495447621518</v>
      </c>
      <c r="G13" s="66">
        <f>'[1]GERBER SPE'!AZ12</f>
        <v>379.97279565601769</v>
      </c>
      <c r="H13" s="66">
        <f>'[1]GERBER SPE'!BA12</f>
        <v>21.96495447621518</v>
      </c>
      <c r="I13" s="66">
        <f>'[1]GERBER SPE'!BB12</f>
        <v>0</v>
      </c>
      <c r="J13" s="66">
        <f>'[1]GERBER SPE'!BC12</f>
        <v>0</v>
      </c>
      <c r="K13" s="70">
        <f>'[1]GERBER SPE'!BD12</f>
        <v>100</v>
      </c>
      <c r="L13" s="70">
        <f>'[1]GERBER SPE'!BE12</f>
        <v>1.0048591735576161E-14</v>
      </c>
      <c r="M13" s="70">
        <f>'[1]GERBER SPE'!BF12</f>
        <v>185.50010299904352</v>
      </c>
      <c r="N13" s="70">
        <f>'[1]GERBER SPE'!BG12</f>
        <v>13.282084503298812</v>
      </c>
      <c r="O13" s="73" t="s">
        <v>105</v>
      </c>
      <c r="R13" s="180"/>
      <c r="S13" s="72">
        <v>42677</v>
      </c>
      <c r="T13" s="66">
        <f t="shared" si="1"/>
        <v>0</v>
      </c>
      <c r="U13" s="67" t="s">
        <v>96</v>
      </c>
      <c r="V13" s="68">
        <f t="shared" si="2"/>
        <v>0</v>
      </c>
      <c r="W13" s="66">
        <f t="shared" si="3"/>
        <v>379.97279565601769</v>
      </c>
      <c r="X13" s="67" t="s">
        <v>96</v>
      </c>
      <c r="Y13" s="66">
        <f t="shared" si="4"/>
        <v>21.96495447621518</v>
      </c>
      <c r="Z13" s="66">
        <f t="shared" si="5"/>
        <v>379.97279565601769</v>
      </c>
      <c r="AA13" s="67" t="s">
        <v>96</v>
      </c>
      <c r="AB13" s="66">
        <f t="shared" si="6"/>
        <v>21.96495447621518</v>
      </c>
      <c r="AC13" s="66">
        <f t="shared" si="7"/>
        <v>185.50010299904352</v>
      </c>
      <c r="AD13" s="74" t="s">
        <v>96</v>
      </c>
      <c r="AE13" s="66">
        <f t="shared" si="8"/>
        <v>13.282084503298812</v>
      </c>
      <c r="AF13" s="60">
        <f>'[1]OD CAL'!Z4</f>
        <v>0.8619</v>
      </c>
      <c r="AG13" s="70">
        <f>[1]surfactants!AA4</f>
        <v>24.95</v>
      </c>
      <c r="AH13" s="153">
        <f>[1]surfactants!AE4</f>
        <v>11.558999999999999</v>
      </c>
      <c r="AK13" s="66">
        <f t="shared" si="9"/>
        <v>0</v>
      </c>
    </row>
    <row r="14" spans="1:38" ht="15" x14ac:dyDescent="0.25">
      <c r="B14" s="180"/>
      <c r="C14" s="72">
        <v>42682</v>
      </c>
      <c r="D14" s="63">
        <v>8</v>
      </c>
      <c r="E14" s="66">
        <f>'[1]GERBER SPE'!AX13</f>
        <v>306.10893079555711</v>
      </c>
      <c r="F14" s="66">
        <f>'[1]GERBER SPE'!AY13</f>
        <v>66.252383856409566</v>
      </c>
      <c r="G14" s="66">
        <f>'[1]GERBER SPE'!AZ13</f>
        <v>233.04861030686553</v>
      </c>
      <c r="H14" s="66">
        <f>'[1]GERBER SPE'!BA13</f>
        <v>1.3893155937300372</v>
      </c>
      <c r="I14" s="66">
        <f>'[1]GERBER SPE'!BB13</f>
        <v>73.060320488691545</v>
      </c>
      <c r="J14" s="66">
        <f>'[1]GERBER SPE'!BC13</f>
        <v>66.319219242075008</v>
      </c>
      <c r="K14" s="66">
        <f>'[1]GERBER SPE'!BD13</f>
        <v>78.817732593115764</v>
      </c>
      <c r="L14" s="66">
        <f>'[1]GERBER SPE'!BE13</f>
        <v>18.741901730816807</v>
      </c>
      <c r="M14" s="66">
        <f>'[1]GERBER SPE'!BF13</f>
        <v>100.91030257403573</v>
      </c>
      <c r="N14" s="66">
        <f>'[1]GERBER SPE'!BG13</f>
        <v>13.714420434991727</v>
      </c>
      <c r="O14" s="60" t="s">
        <v>106</v>
      </c>
      <c r="R14" s="180"/>
      <c r="S14" s="72">
        <v>42682</v>
      </c>
      <c r="T14" s="66">
        <f t="shared" si="1"/>
        <v>73.060320488691545</v>
      </c>
      <c r="U14" s="67" t="s">
        <v>96</v>
      </c>
      <c r="V14" s="68">
        <f t="shared" si="2"/>
        <v>66.319219242075008</v>
      </c>
      <c r="W14" s="66">
        <f t="shared" si="3"/>
        <v>233.04861030686553</v>
      </c>
      <c r="X14" s="67" t="s">
        <v>96</v>
      </c>
      <c r="Y14" s="66">
        <f t="shared" si="4"/>
        <v>1.3893155937300372</v>
      </c>
      <c r="Z14" s="66">
        <f t="shared" si="5"/>
        <v>306.10893079555711</v>
      </c>
      <c r="AA14" s="67" t="s">
        <v>96</v>
      </c>
      <c r="AB14" s="66">
        <f t="shared" si="6"/>
        <v>66.252383856409566</v>
      </c>
      <c r="AC14" s="66">
        <f t="shared" si="7"/>
        <v>100.91030257403573</v>
      </c>
      <c r="AD14" s="74" t="s">
        <v>96</v>
      </c>
      <c r="AE14" s="66">
        <f t="shared" si="8"/>
        <v>13.714420434991727</v>
      </c>
      <c r="AF14" s="69">
        <f>'[1]OD CAL'!Z5</f>
        <v>0.35747777777777778</v>
      </c>
      <c r="AG14" s="70">
        <f>[1]surfactants!AA5</f>
        <v>38.646666666666668</v>
      </c>
      <c r="AH14" s="153">
        <f>[1]surfactants!AE5</f>
        <v>11.43</v>
      </c>
      <c r="AK14" s="66">
        <f t="shared" si="9"/>
        <v>23.867425330849557</v>
      </c>
    </row>
    <row r="15" spans="1:38" ht="15" x14ac:dyDescent="0.25">
      <c r="B15" s="180"/>
      <c r="C15" s="72">
        <v>42691</v>
      </c>
      <c r="D15" s="63">
        <v>17</v>
      </c>
      <c r="E15" s="66">
        <f>'[1]GERBER SPE'!AX15</f>
        <v>371.20823337130167</v>
      </c>
      <c r="F15" s="66">
        <f>'[1]GERBER SPE'!AY15</f>
        <v>15.698862996956752</v>
      </c>
      <c r="G15" s="66">
        <f>'[1]GERBER SPE'!AZ15</f>
        <v>371.20823337130167</v>
      </c>
      <c r="H15" s="66">
        <f>'[1]GERBER SPE'!BA15</f>
        <v>15.698862996956752</v>
      </c>
      <c r="I15" s="66">
        <f>'[1]GERBER SPE'!BB15</f>
        <v>0</v>
      </c>
      <c r="J15" s="66">
        <f>'[1]GERBER SPE'!BC15</f>
        <v>0</v>
      </c>
      <c r="K15" s="70">
        <f>'[1]GERBER SPE'!BD15</f>
        <v>100</v>
      </c>
      <c r="L15" s="70">
        <f>'[1]GERBER SPE'!BE15</f>
        <v>0</v>
      </c>
      <c r="M15" s="66">
        <f>'[1]GERBER SPE'!BF15</f>
        <v>122.29201273631293</v>
      </c>
      <c r="N15" s="66">
        <f>'[1]GERBER SPE'!BG15</f>
        <v>24.933270689577547</v>
      </c>
      <c r="R15" s="180"/>
      <c r="S15" s="72">
        <v>42691</v>
      </c>
      <c r="T15" s="66">
        <f t="shared" si="1"/>
        <v>0</v>
      </c>
      <c r="U15" s="67" t="s">
        <v>96</v>
      </c>
      <c r="V15" s="68">
        <f t="shared" si="2"/>
        <v>0</v>
      </c>
      <c r="W15" s="66">
        <f t="shared" si="3"/>
        <v>371.20823337130167</v>
      </c>
      <c r="X15" s="67" t="s">
        <v>96</v>
      </c>
      <c r="Y15" s="66">
        <f t="shared" si="4"/>
        <v>15.698862996956752</v>
      </c>
      <c r="Z15" s="66">
        <f t="shared" si="5"/>
        <v>371.20823337130167</v>
      </c>
      <c r="AA15" s="67" t="s">
        <v>96</v>
      </c>
      <c r="AB15" s="66">
        <f t="shared" si="6"/>
        <v>15.698862996956752</v>
      </c>
      <c r="AC15" s="66">
        <f t="shared" si="7"/>
        <v>122.29201273631293</v>
      </c>
      <c r="AD15" s="74" t="s">
        <v>96</v>
      </c>
      <c r="AE15" s="66">
        <f t="shared" si="8"/>
        <v>24.933270689577547</v>
      </c>
      <c r="AF15" s="69">
        <f>'[1]OD CAL'!Z8</f>
        <v>0.80488888888888899</v>
      </c>
      <c r="AG15" s="70">
        <f>[1]surfactants!AA8</f>
        <v>30.116666666666667</v>
      </c>
      <c r="AH15" s="153">
        <f>[1]surfactants!AE8</f>
        <v>11.878</v>
      </c>
      <c r="AK15" s="66">
        <f t="shared" si="9"/>
        <v>0</v>
      </c>
    </row>
    <row r="16" spans="1:38" ht="15" x14ac:dyDescent="0.25">
      <c r="B16" s="180"/>
      <c r="C16" s="72">
        <v>42698</v>
      </c>
      <c r="D16" s="80">
        <v>24</v>
      </c>
      <c r="E16" s="66">
        <f>'[1]GERBER SPE'!AX16</f>
        <v>476.64278373855507</v>
      </c>
      <c r="F16" s="66">
        <f>'[1]GERBER SPE'!AY16</f>
        <v>64.191725115567976</v>
      </c>
      <c r="G16" s="66">
        <f>'[1]GERBER SPE'!AZ16</f>
        <v>432.45618031081762</v>
      </c>
      <c r="H16" s="66">
        <f>'[1]GERBER SPE'!BA16</f>
        <v>35.733313492503882</v>
      </c>
      <c r="I16" s="66">
        <f>'[1]GERBER SPE'!BB16</f>
        <v>44.186603427737438</v>
      </c>
      <c r="J16" s="66">
        <f>'[1]GERBER SPE'!BC16</f>
        <v>30.766436483841307</v>
      </c>
      <c r="K16" s="66">
        <f>'[1]GERBER SPE'!BD16</f>
        <v>91.29609294012441</v>
      </c>
      <c r="L16" s="66">
        <f>'[1]GERBER SPE'!BE16</f>
        <v>5.9725576249798022</v>
      </c>
      <c r="M16" s="66">
        <f>'[1]GERBER SPE'!BF16</f>
        <v>304.01550748723025</v>
      </c>
      <c r="N16" s="66">
        <f>'[1]GERBER SPE'!BG16</f>
        <v>44.030315796187978</v>
      </c>
      <c r="O16" s="66" t="str">
        <f>'[1]GERBER SPE'!BH16</f>
        <v>liquid</v>
      </c>
      <c r="R16" s="180"/>
      <c r="S16" s="72">
        <v>42698</v>
      </c>
      <c r="T16" s="66">
        <f t="shared" si="1"/>
        <v>44.186603427737438</v>
      </c>
      <c r="U16" s="67" t="s">
        <v>96</v>
      </c>
      <c r="V16" s="68">
        <f t="shared" si="2"/>
        <v>30.766436483841307</v>
      </c>
      <c r="W16" s="66">
        <f t="shared" si="3"/>
        <v>432.45618031081762</v>
      </c>
      <c r="X16" s="67" t="s">
        <v>96</v>
      </c>
      <c r="Y16" s="66">
        <f t="shared" si="4"/>
        <v>35.733313492503882</v>
      </c>
      <c r="Z16" s="66">
        <f t="shared" si="5"/>
        <v>476.64278373855507</v>
      </c>
      <c r="AA16" s="67" t="s">
        <v>96</v>
      </c>
      <c r="AB16" s="66">
        <f t="shared" si="6"/>
        <v>64.191725115567976</v>
      </c>
      <c r="AC16" s="66">
        <f t="shared" si="7"/>
        <v>304.01550748723025</v>
      </c>
      <c r="AD16" s="74" t="s">
        <v>96</v>
      </c>
      <c r="AE16" s="66">
        <f t="shared" si="8"/>
        <v>44.030315796187978</v>
      </c>
      <c r="AF16" s="69">
        <f>'[1]OD CAL'!Z9</f>
        <v>1.3280111111111113</v>
      </c>
      <c r="AG16" s="70">
        <f>[1]surfactants!AA9</f>
        <v>9.4</v>
      </c>
      <c r="AH16" s="153">
        <f>[1]surfactants!AE9</f>
        <v>11.686999999999999</v>
      </c>
      <c r="AK16" s="66">
        <f t="shared" si="9"/>
        <v>9.270381286622893</v>
      </c>
    </row>
    <row r="17" spans="2:38" ht="15" x14ac:dyDescent="0.25">
      <c r="B17" s="180"/>
      <c r="C17" s="72">
        <v>42705</v>
      </c>
      <c r="D17" s="63" t="s">
        <v>101</v>
      </c>
      <c r="E17" s="66">
        <f>'[1]GERBER SPE'!AX17</f>
        <v>221.82882710793339</v>
      </c>
      <c r="F17" s="66">
        <f>'[1]GERBER SPE'!AY17</f>
        <v>21.387975506468027</v>
      </c>
      <c r="G17" s="66">
        <f>'[1]GERBER SPE'!AZ17</f>
        <v>221.82882710793339</v>
      </c>
      <c r="H17" s="66">
        <f>'[1]GERBER SPE'!BA17</f>
        <v>21.387975506468027</v>
      </c>
      <c r="I17" s="66">
        <f>'[1]GERBER SPE'!BB17</f>
        <v>0</v>
      </c>
      <c r="J17" s="66">
        <f>'[1]GERBER SPE'!BC17</f>
        <v>0</v>
      </c>
      <c r="K17" s="66">
        <f>'[1]GERBER SPE'!BD17</f>
        <v>100</v>
      </c>
      <c r="L17" s="66">
        <f>'[1]GERBER SPE'!BE17</f>
        <v>0</v>
      </c>
      <c r="M17" s="66">
        <f>'[1]GERBER SPE'!BF17</f>
        <v>128.74104063267768</v>
      </c>
      <c r="N17" s="66">
        <f>'[1]GERBER SPE'!BG17</f>
        <v>17.753809693337285</v>
      </c>
      <c r="R17" s="180"/>
      <c r="S17" s="72">
        <v>42705</v>
      </c>
      <c r="T17" s="66">
        <f t="shared" si="1"/>
        <v>0</v>
      </c>
      <c r="U17" s="67" t="s">
        <v>96</v>
      </c>
      <c r="V17" s="68">
        <f t="shared" si="2"/>
        <v>0</v>
      </c>
      <c r="W17" s="66">
        <f t="shared" si="3"/>
        <v>221.82882710793339</v>
      </c>
      <c r="X17" s="67" t="s">
        <v>96</v>
      </c>
      <c r="Y17" s="66">
        <f t="shared" si="4"/>
        <v>21.387975506468027</v>
      </c>
      <c r="Z17" s="66">
        <f t="shared" si="5"/>
        <v>221.82882710793339</v>
      </c>
      <c r="AA17" s="67" t="s">
        <v>96</v>
      </c>
      <c r="AB17" s="66">
        <f t="shared" si="6"/>
        <v>21.387975506468027</v>
      </c>
      <c r="AC17" s="66">
        <f t="shared" si="7"/>
        <v>128.74104063267768</v>
      </c>
      <c r="AD17" s="74" t="s">
        <v>96</v>
      </c>
      <c r="AE17" s="66">
        <f t="shared" si="8"/>
        <v>17.753809693337285</v>
      </c>
      <c r="AF17" s="69">
        <f>'[1]OD CAL'!Z10</f>
        <v>0.34707777777777782</v>
      </c>
      <c r="AG17" s="70">
        <f>[1]surfactants!AA10</f>
        <v>33.299999999999997</v>
      </c>
      <c r="AH17" s="153">
        <f>[1]surfactants!AE10</f>
        <v>11.641999999999999</v>
      </c>
      <c r="AK17" s="66">
        <f t="shared" si="9"/>
        <v>0</v>
      </c>
    </row>
    <row r="18" spans="2:38" ht="15" x14ac:dyDescent="0.25">
      <c r="B18" s="180"/>
      <c r="C18" s="72">
        <v>42710</v>
      </c>
      <c r="D18" s="63" t="s">
        <v>102</v>
      </c>
      <c r="E18" s="66">
        <f>'[1]GERBER SPE'!AX18</f>
        <v>198.69345205122252</v>
      </c>
      <c r="F18" s="66">
        <f>'[1]GERBER SPE'!AY18</f>
        <v>38.232860316950337</v>
      </c>
      <c r="G18" s="66">
        <f>'[1]GERBER SPE'!AZ18</f>
        <v>198.69345205122252</v>
      </c>
      <c r="H18" s="66">
        <f>'[1]GERBER SPE'!BA18</f>
        <v>38.232860316950337</v>
      </c>
      <c r="I18" s="66">
        <f>'[1]GERBER SPE'!BB18</f>
        <v>0</v>
      </c>
      <c r="J18" s="66">
        <f>'[1]GERBER SPE'!BC18</f>
        <v>0</v>
      </c>
      <c r="K18" s="66">
        <f>'[1]GERBER SPE'!BD18</f>
        <v>100</v>
      </c>
      <c r="L18" s="66">
        <f>'[1]GERBER SPE'!BE18</f>
        <v>0</v>
      </c>
      <c r="M18" s="66">
        <f>'[1]GERBER SPE'!BF18</f>
        <v>129.58960263629922</v>
      </c>
      <c r="N18" s="66">
        <f>'[1]GERBER SPE'!BG18</f>
        <v>7.1208561618752304</v>
      </c>
      <c r="O18" s="66" t="str">
        <f>'[1]GERBER SPE'!BH18</f>
        <v>yellow oil</v>
      </c>
      <c r="R18" s="180"/>
      <c r="S18" s="72">
        <v>42710</v>
      </c>
      <c r="T18" s="66">
        <f t="shared" si="1"/>
        <v>0</v>
      </c>
      <c r="U18" s="67" t="s">
        <v>96</v>
      </c>
      <c r="V18" s="68">
        <f t="shared" si="2"/>
        <v>0</v>
      </c>
      <c r="W18" s="66">
        <f t="shared" si="3"/>
        <v>198.69345205122252</v>
      </c>
      <c r="X18" s="67" t="s">
        <v>96</v>
      </c>
      <c r="Y18" s="66">
        <f t="shared" si="4"/>
        <v>38.232860316950337</v>
      </c>
      <c r="Z18" s="66">
        <f t="shared" si="5"/>
        <v>198.69345205122252</v>
      </c>
      <c r="AA18" s="67" t="s">
        <v>96</v>
      </c>
      <c r="AB18" s="66">
        <f t="shared" si="6"/>
        <v>38.232860316950337</v>
      </c>
      <c r="AC18" s="66">
        <f t="shared" si="7"/>
        <v>129.58960263629922</v>
      </c>
      <c r="AD18" s="74" t="s">
        <v>96</v>
      </c>
      <c r="AE18" s="66">
        <f t="shared" si="8"/>
        <v>7.1208561618752304</v>
      </c>
      <c r="AF18" s="69">
        <f>'[1]OD CAL'!Z11</f>
        <v>0.28561111111111109</v>
      </c>
      <c r="AG18" s="70">
        <f>[1]surfactants!AA11</f>
        <v>29.324999999999999</v>
      </c>
      <c r="AH18" s="153">
        <f>[1]surfactants!AE11</f>
        <v>11.21</v>
      </c>
      <c r="AK18" s="66">
        <f t="shared" si="9"/>
        <v>0</v>
      </c>
    </row>
    <row r="19" spans="2:38" ht="15" x14ac:dyDescent="0.25">
      <c r="B19" s="180"/>
      <c r="C19" s="72">
        <v>42712</v>
      </c>
      <c r="D19" s="63" t="s">
        <v>107</v>
      </c>
      <c r="E19" s="66">
        <v>271.56945736134321</v>
      </c>
      <c r="F19" s="66">
        <v>33.820420059603933</v>
      </c>
      <c r="G19" s="66">
        <v>271.56945736134321</v>
      </c>
      <c r="H19" s="66">
        <v>33.820420059603933</v>
      </c>
      <c r="I19" s="66">
        <v>0</v>
      </c>
      <c r="J19" s="66">
        <v>0</v>
      </c>
      <c r="K19" s="66">
        <v>100</v>
      </c>
      <c r="L19" s="66">
        <v>0</v>
      </c>
      <c r="M19" s="66">
        <v>104.30233134068051</v>
      </c>
      <c r="N19" s="66">
        <v>14.033212396034161</v>
      </c>
      <c r="O19" s="66" t="s">
        <v>108</v>
      </c>
      <c r="R19" s="180"/>
      <c r="S19" s="72">
        <v>42712</v>
      </c>
      <c r="T19" s="66">
        <f t="shared" si="1"/>
        <v>0</v>
      </c>
      <c r="U19" s="67" t="s">
        <v>96</v>
      </c>
      <c r="V19" s="68">
        <f t="shared" si="2"/>
        <v>0</v>
      </c>
      <c r="W19" s="66">
        <f t="shared" si="3"/>
        <v>271.56945736134321</v>
      </c>
      <c r="X19" s="67" t="s">
        <v>96</v>
      </c>
      <c r="Y19" s="66">
        <f t="shared" si="4"/>
        <v>33.820420059603933</v>
      </c>
      <c r="Z19" s="66">
        <f t="shared" si="5"/>
        <v>271.56945736134321</v>
      </c>
      <c r="AA19" s="67" t="s">
        <v>96</v>
      </c>
      <c r="AB19" s="66">
        <f t="shared" si="6"/>
        <v>33.820420059603933</v>
      </c>
      <c r="AC19" s="66">
        <f t="shared" si="7"/>
        <v>104.30233134068051</v>
      </c>
      <c r="AD19" s="74" t="s">
        <v>96</v>
      </c>
      <c r="AE19" s="66">
        <f t="shared" si="8"/>
        <v>14.033212396034161</v>
      </c>
      <c r="AF19" s="69">
        <f>'[1]OD CAL'!Z12</f>
        <v>0.46035555555555557</v>
      </c>
      <c r="AG19" s="81" t="s">
        <v>100</v>
      </c>
      <c r="AH19" s="153">
        <f>[1]surfactants!AE12</f>
        <v>11.598125</v>
      </c>
      <c r="AK19" s="66">
        <f t="shared" si="9"/>
        <v>0</v>
      </c>
    </row>
    <row r="20" spans="2:38" ht="15" x14ac:dyDescent="0.25">
      <c r="B20" s="180"/>
      <c r="C20" s="72"/>
      <c r="D20" s="94"/>
      <c r="E20" s="66"/>
      <c r="F20" s="66"/>
      <c r="G20" s="66"/>
      <c r="H20" s="66"/>
      <c r="I20" s="66"/>
      <c r="J20" s="66"/>
      <c r="K20" s="147">
        <f>AVERAGE(K12:K19)</f>
        <v>93.782672051002095</v>
      </c>
      <c r="L20" s="147">
        <f>_xlfn.STDEV.S(K12:K19)</f>
        <v>9.3298664227933124</v>
      </c>
      <c r="M20" s="66"/>
      <c r="N20" s="66"/>
      <c r="O20" s="66"/>
      <c r="R20" s="180"/>
      <c r="S20" s="72"/>
      <c r="T20" s="147">
        <f>AVERAGE(T12:T19)</f>
        <v>22.330919759896041</v>
      </c>
      <c r="U20" s="148" t="s">
        <v>96</v>
      </c>
      <c r="V20" s="147">
        <f>_xlfn.STDEV.S(T12:T19)</f>
        <v>31.782564513042654</v>
      </c>
      <c r="W20" s="147">
        <f>AVERAGE(W12:W19)</f>
        <v>290.72026573186946</v>
      </c>
      <c r="X20" s="148" t="s">
        <v>96</v>
      </c>
      <c r="Y20" s="147">
        <f>_xlfn.STDEV.S(W12:W19)</f>
        <v>90.141228428006869</v>
      </c>
      <c r="Z20" s="147">
        <f>AVERAGE(Z12:Z19)</f>
        <v>313.05118549176552</v>
      </c>
      <c r="AA20" s="148" t="s">
        <v>96</v>
      </c>
      <c r="AB20" s="147">
        <f>_xlfn.STDEV.S(Z12:Z19)</f>
        <v>91.801678966256617</v>
      </c>
      <c r="AC20" s="66"/>
      <c r="AD20" s="74"/>
      <c r="AE20" s="66"/>
      <c r="AF20" s="69"/>
      <c r="AG20" s="81"/>
      <c r="AH20" s="154">
        <f>AVERAGE(AH12:AH19)</f>
        <v>11.576515625000001</v>
      </c>
      <c r="AI20" s="148" t="s">
        <v>96</v>
      </c>
      <c r="AJ20" s="155">
        <f>_xlfn.STDEV.S(AH12:AH19)</f>
        <v>0.1945520087174174</v>
      </c>
      <c r="AK20" s="73">
        <f>AVERAGE(AK12:AK19)</f>
        <v>6.8992185402029804</v>
      </c>
      <c r="AL20" s="68">
        <f>_xlfn.STDEV.S(AK12:AK19)</f>
        <v>10.428428136973384</v>
      </c>
    </row>
    <row r="21" spans="2:38" ht="15" x14ac:dyDescent="0.25">
      <c r="B21" s="180"/>
      <c r="D21" s="63"/>
      <c r="R21" s="180"/>
      <c r="T21" s="66"/>
      <c r="U21" s="67"/>
      <c r="V21" s="68"/>
      <c r="W21" s="66"/>
      <c r="X21" s="67"/>
      <c r="Y21" s="66"/>
      <c r="Z21" s="66"/>
      <c r="AA21" s="67"/>
      <c r="AB21" s="66"/>
      <c r="AC21" s="66"/>
      <c r="AD21" s="74"/>
      <c r="AE21" s="66"/>
    </row>
    <row r="22" spans="2:38" ht="15" x14ac:dyDescent="0.25">
      <c r="B22" s="180"/>
      <c r="C22" s="82">
        <v>42689</v>
      </c>
      <c r="D22" s="63" t="s">
        <v>103</v>
      </c>
      <c r="E22" s="66">
        <f>'[1]GERBER SPE'!AX14</f>
        <v>37.791805998480925</v>
      </c>
      <c r="F22" s="66">
        <f>'[1]GERBER SPE'!AY14</f>
        <v>4.0272031647561191</v>
      </c>
      <c r="G22" s="66">
        <f>'[1]GERBER SPE'!AZ14</f>
        <v>37.791805998480925</v>
      </c>
      <c r="H22" s="66">
        <f>'[1]GERBER SPE'!BA14</f>
        <v>4.0272031647561191</v>
      </c>
      <c r="I22" s="66">
        <f>'[1]GERBER SPE'!BB14</f>
        <v>0</v>
      </c>
      <c r="J22" s="66">
        <f>'[1]GERBER SPE'!BC14</f>
        <v>0</v>
      </c>
      <c r="K22" s="66">
        <f>'[1]GERBER SPE'!BD14</f>
        <v>100</v>
      </c>
      <c r="L22" s="66">
        <f>'[1]GERBER SPE'!BE14</f>
        <v>0</v>
      </c>
      <c r="M22" s="66">
        <f>'[1]GERBER SPE'!BF14</f>
        <v>23.672432593573433</v>
      </c>
      <c r="N22" s="66">
        <f>'[1]GERBER SPE'!BG14</f>
        <v>4.0777016344746508</v>
      </c>
      <c r="R22" s="180"/>
      <c r="S22" s="82">
        <v>42689</v>
      </c>
      <c r="T22" s="66">
        <f t="shared" si="1"/>
        <v>0</v>
      </c>
      <c r="U22" s="67" t="s">
        <v>96</v>
      </c>
      <c r="V22" s="68">
        <f t="shared" si="2"/>
        <v>0</v>
      </c>
      <c r="W22" s="66">
        <f t="shared" si="3"/>
        <v>37.791805998480925</v>
      </c>
      <c r="X22" s="67" t="s">
        <v>96</v>
      </c>
      <c r="Y22" s="66">
        <f t="shared" si="4"/>
        <v>4.0272031647561191</v>
      </c>
      <c r="Z22" s="66">
        <f t="shared" si="5"/>
        <v>37.791805998480925</v>
      </c>
      <c r="AA22" s="67" t="s">
        <v>96</v>
      </c>
      <c r="AB22" s="66">
        <f t="shared" si="6"/>
        <v>4.0272031647561191</v>
      </c>
      <c r="AC22" s="66">
        <f t="shared" si="7"/>
        <v>23.672432593573433</v>
      </c>
      <c r="AD22" s="74" t="s">
        <v>96</v>
      </c>
      <c r="AE22" s="66">
        <f t="shared" si="8"/>
        <v>4.0777016344746508</v>
      </c>
      <c r="AF22" s="69">
        <f>'[1]OD CAL'!Z7</f>
        <v>3.832222222222223E-2</v>
      </c>
      <c r="AG22" s="83">
        <f>[1]surfactants!AA7</f>
        <v>25.691666666666666</v>
      </c>
      <c r="AH22" s="60">
        <f>[1]surfactants!AE7</f>
        <v>11.771000000000001</v>
      </c>
      <c r="AK22" s="71"/>
    </row>
  </sheetData>
  <mergeCells count="11">
    <mergeCell ref="B12:B22"/>
    <mergeCell ref="R12:R22"/>
    <mergeCell ref="AC12:AE12"/>
    <mergeCell ref="T1:V1"/>
    <mergeCell ref="W1:Y1"/>
    <mergeCell ref="Z1:AB1"/>
    <mergeCell ref="AC1:AE1"/>
    <mergeCell ref="B2:B9"/>
    <mergeCell ref="R2:R9"/>
    <mergeCell ref="AC2:AE2"/>
    <mergeCell ref="AC5:AE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opLeftCell="C1" zoomScale="82" zoomScaleNormal="82" workbookViewId="0">
      <pane ySplit="2" topLeftCell="A26" activePane="bottomLeft" state="frozen"/>
      <selection pane="bottomLeft" activeCell="U43" sqref="U43"/>
    </sheetView>
  </sheetViews>
  <sheetFormatPr defaultRowHeight="15" x14ac:dyDescent="0.25"/>
  <cols>
    <col min="1" max="1" width="17.5703125" customWidth="1"/>
    <col min="2" max="2" width="12.7109375" customWidth="1"/>
    <col min="3" max="4" width="12.7109375" style="6" customWidth="1"/>
    <col min="8" max="9" width="9.140625" style="6"/>
    <col min="12" max="15" width="9.140625" style="6"/>
    <col min="16" max="17" width="10" style="6" customWidth="1"/>
    <col min="21" max="22" width="9.140625" customWidth="1"/>
    <col min="24" max="24" width="15.5703125" customWidth="1"/>
    <col min="25" max="25" width="9.85546875" customWidth="1"/>
    <col min="26" max="26" width="11.42578125" customWidth="1"/>
    <col min="28" max="28" width="16" customWidth="1"/>
    <col min="45" max="45" width="13.7109375" customWidth="1"/>
  </cols>
  <sheetData>
    <row r="1" spans="1:47" ht="60.75" thickBot="1" x14ac:dyDescent="0.3">
      <c r="B1" s="43" t="s">
        <v>0</v>
      </c>
      <c r="C1" s="45" t="s">
        <v>5</v>
      </c>
      <c r="D1" s="45" t="s">
        <v>264</v>
      </c>
      <c r="E1" s="42" t="s">
        <v>8</v>
      </c>
      <c r="F1" s="42" t="s">
        <v>9</v>
      </c>
      <c r="G1" s="42" t="s">
        <v>10</v>
      </c>
      <c r="H1" s="45" t="s">
        <v>11</v>
      </c>
      <c r="I1" s="45" t="s">
        <v>280</v>
      </c>
      <c r="J1" s="42" t="s">
        <v>12</v>
      </c>
      <c r="K1" s="42" t="s">
        <v>13</v>
      </c>
      <c r="L1" s="45" t="s">
        <v>15</v>
      </c>
      <c r="M1" s="45" t="s">
        <v>266</v>
      </c>
      <c r="N1" s="45" t="s">
        <v>16</v>
      </c>
      <c r="O1" s="45" t="s">
        <v>265</v>
      </c>
      <c r="P1" s="45" t="s">
        <v>267</v>
      </c>
      <c r="Q1" s="45" t="s">
        <v>279</v>
      </c>
      <c r="R1" s="97" t="s">
        <v>268</v>
      </c>
      <c r="S1" s="98" t="s">
        <v>269</v>
      </c>
      <c r="T1" s="99" t="s">
        <v>270</v>
      </c>
      <c r="U1" s="96" t="s">
        <v>277</v>
      </c>
      <c r="V1" s="96" t="s">
        <v>278</v>
      </c>
      <c r="AP1" s="5" t="s">
        <v>18</v>
      </c>
      <c r="AU1" s="5" t="s">
        <v>19</v>
      </c>
    </row>
    <row r="2" spans="1:47" x14ac:dyDescent="0.25">
      <c r="A2" s="8"/>
      <c r="B2" s="8"/>
      <c r="C2" s="4"/>
      <c r="D2" s="4"/>
      <c r="E2" s="3"/>
      <c r="F2" s="3"/>
      <c r="G2" s="3"/>
      <c r="H2" s="4"/>
      <c r="I2" s="4"/>
      <c r="J2" s="3"/>
      <c r="K2" s="3"/>
      <c r="L2" s="4"/>
      <c r="M2" s="4"/>
      <c r="N2" s="4"/>
      <c r="O2" s="4"/>
      <c r="P2" s="4"/>
      <c r="Q2" s="4"/>
      <c r="R2" s="3"/>
      <c r="T2" s="3"/>
      <c r="X2" s="5" t="s">
        <v>271</v>
      </c>
      <c r="Y2" s="171" t="s">
        <v>73</v>
      </c>
      <c r="Z2" s="171" t="s">
        <v>147</v>
      </c>
      <c r="AA2" t="s">
        <v>103</v>
      </c>
      <c r="AP2" s="7">
        <v>905.12820512820508</v>
      </c>
      <c r="AR2" s="9" t="s">
        <v>23</v>
      </c>
      <c r="AS2" s="9"/>
      <c r="AU2" s="7">
        <v>1067</v>
      </c>
    </row>
    <row r="3" spans="1:47" x14ac:dyDescent="0.25">
      <c r="A3" s="170" t="s">
        <v>24</v>
      </c>
      <c r="B3" s="1" t="s">
        <v>25</v>
      </c>
      <c r="C3" s="13">
        <v>456.66666666666669</v>
      </c>
      <c r="D3" s="13">
        <f>C3*0.773</f>
        <v>353.00333333333333</v>
      </c>
      <c r="E3">
        <v>530</v>
      </c>
      <c r="F3">
        <v>1981.6666666666667</v>
      </c>
      <c r="G3" s="11">
        <v>0.80000000000000016</v>
      </c>
      <c r="H3" s="12">
        <v>26</v>
      </c>
      <c r="I3" s="12">
        <f>(H3-G3)*3.061</f>
        <v>77.137199999999993</v>
      </c>
      <c r="J3" s="11">
        <v>3.7999999999999994</v>
      </c>
      <c r="K3" s="11">
        <v>4.3666666666666663</v>
      </c>
      <c r="L3" s="13">
        <f>'[2]SC SINK WW characteristics'!AG2</f>
        <v>244.83333333333334</v>
      </c>
      <c r="M3" s="13">
        <f>L3*0.53</f>
        <v>129.76166666666668</v>
      </c>
      <c r="N3" s="13">
        <f>'[2]SC SINK WW characteristics'!U3</f>
        <v>311.79487179487182</v>
      </c>
      <c r="O3" s="13">
        <f>N3*0.444</f>
        <v>138.43692307692308</v>
      </c>
      <c r="P3" s="13">
        <f>D3+M3+O3</f>
        <v>621.20192307692309</v>
      </c>
      <c r="Q3" s="13">
        <f>I3+O3+D3</f>
        <v>568.57745641025645</v>
      </c>
      <c r="R3" s="7">
        <f>100*P3/P3</f>
        <v>100</v>
      </c>
      <c r="S3" s="41">
        <f>100*H3/P3</f>
        <v>4.1854345638882435</v>
      </c>
      <c r="T3" s="41">
        <f>100*K3/P3</f>
        <v>0.70293836906328189</v>
      </c>
      <c r="U3" s="7">
        <f>P3/H3</f>
        <v>23.892381656804734</v>
      </c>
      <c r="V3" s="7">
        <f>Q3/H3</f>
        <v>21.868363708086786</v>
      </c>
      <c r="X3" s="11" t="s">
        <v>120</v>
      </c>
      <c r="Y3" s="7">
        <f>D11</f>
        <v>502.82039583333335</v>
      </c>
      <c r="Z3" s="7">
        <f>D22</f>
        <v>219.37095833333333</v>
      </c>
      <c r="AA3" s="7">
        <f>D33</f>
        <v>296.55822916666665</v>
      </c>
      <c r="AC3" s="7"/>
      <c r="AD3" s="7"/>
      <c r="AP3" s="7">
        <v>523.84615384615392</v>
      </c>
      <c r="AR3" s="14"/>
      <c r="AS3" s="14"/>
      <c r="AU3" s="7">
        <v>252.66666666666666</v>
      </c>
    </row>
    <row r="4" spans="1:47" x14ac:dyDescent="0.25">
      <c r="A4" s="43" t="s">
        <v>73</v>
      </c>
      <c r="B4" s="1" t="s">
        <v>26</v>
      </c>
      <c r="C4" s="6">
        <v>1067</v>
      </c>
      <c r="D4" s="13">
        <f t="shared" ref="D4:D10" si="0">C4*0.773</f>
        <v>824.79100000000005</v>
      </c>
      <c r="E4" s="7">
        <v>1698.3333333333333</v>
      </c>
      <c r="F4" s="7">
        <v>5363.333333333333</v>
      </c>
      <c r="G4" s="11">
        <v>3.6</v>
      </c>
      <c r="H4" s="12">
        <v>64.666666666666671</v>
      </c>
      <c r="I4" s="12">
        <f t="shared" ref="I4:I10" si="1">(H4-G4)*3.061</f>
        <v>186.92506666666668</v>
      </c>
      <c r="J4" s="11">
        <v>12.533333333333333</v>
      </c>
      <c r="K4" s="11">
        <v>15.4</v>
      </c>
      <c r="L4" s="13">
        <f>'[2]SC SINK WW characteristics'!AG3</f>
        <v>164.83333333333334</v>
      </c>
      <c r="M4" s="13">
        <f t="shared" ref="M4:M10" si="2">L4*0.53</f>
        <v>87.361666666666679</v>
      </c>
      <c r="N4" s="13">
        <f>'[2]SC SINK WW characteristics'!U8</f>
        <v>905.12820512820508</v>
      </c>
      <c r="O4" s="13">
        <f t="shared" ref="O4:O10" si="3">N4*0.444</f>
        <v>401.87692307692305</v>
      </c>
      <c r="P4" s="13">
        <f t="shared" ref="P4:P10" si="4">D4+M4+O4</f>
        <v>1314.0295897435899</v>
      </c>
      <c r="Q4" s="13">
        <f t="shared" ref="Q4:Q10" si="5">I4+O4+D4</f>
        <v>1413.5929897435899</v>
      </c>
      <c r="R4" s="7">
        <f t="shared" ref="R4:R10" si="6">100*P4/P4</f>
        <v>99.999999999999986</v>
      </c>
      <c r="S4" s="41">
        <f t="shared" ref="S4:S10" si="7">100*H4/P4</f>
        <v>4.9212488951093745</v>
      </c>
      <c r="T4" s="41">
        <f t="shared" ref="T4:T10" si="8">100*K4/P4</f>
        <v>1.171967520381717</v>
      </c>
      <c r="U4" s="7">
        <f t="shared" ref="U4:U10" si="9">P4/H4</f>
        <v>20.320045202220459</v>
      </c>
      <c r="V4" s="7">
        <f t="shared" ref="V4:V10" si="10">Q4/H4</f>
        <v>21.859685408406026</v>
      </c>
      <c r="X4" s="11" t="s">
        <v>119</v>
      </c>
      <c r="Y4" s="7">
        <f>O11</f>
        <v>230.91714071240631</v>
      </c>
      <c r="Z4" s="7">
        <f>O22</f>
        <v>258.47786820925552</v>
      </c>
      <c r="AA4" s="7">
        <f>O33</f>
        <v>648.18376221192227</v>
      </c>
      <c r="AC4" s="7"/>
      <c r="AD4" s="7"/>
      <c r="AP4" s="7">
        <v>201.68707482993196</v>
      </c>
      <c r="AR4" s="14" t="s">
        <v>27</v>
      </c>
      <c r="AS4" s="14">
        <v>843.05236681405142</v>
      </c>
      <c r="AU4" s="7">
        <v>581.33333333333337</v>
      </c>
    </row>
    <row r="5" spans="1:47" ht="35.25" customHeight="1" x14ac:dyDescent="0.25">
      <c r="A5" s="1"/>
      <c r="B5" s="1" t="s">
        <v>28</v>
      </c>
      <c r="C5" s="13">
        <v>252.66666666666666</v>
      </c>
      <c r="D5" s="13">
        <f t="shared" si="0"/>
        <v>195.31133333333332</v>
      </c>
      <c r="E5" s="7">
        <v>960</v>
      </c>
      <c r="F5" s="7">
        <v>1553.3333333333333</v>
      </c>
      <c r="G5" s="11">
        <v>7.4</v>
      </c>
      <c r="H5" s="12">
        <v>42.333333333333336</v>
      </c>
      <c r="I5" s="12">
        <f t="shared" si="1"/>
        <v>106.93093333333334</v>
      </c>
      <c r="J5" s="11">
        <v>6.0500000000000007</v>
      </c>
      <c r="K5" s="11">
        <v>9.1499999999999986</v>
      </c>
      <c r="L5" s="13">
        <f>'[2]SC SINK WW characteristics'!AG4</f>
        <v>23.5</v>
      </c>
      <c r="M5" s="13">
        <f t="shared" si="2"/>
        <v>12.455</v>
      </c>
      <c r="N5" s="13">
        <f>'[2]SC SINK WW characteristics'!U13</f>
        <v>523.84615384615392</v>
      </c>
      <c r="O5" s="13">
        <f t="shared" si="3"/>
        <v>232.58769230769235</v>
      </c>
      <c r="P5" s="13">
        <f t="shared" si="4"/>
        <v>440.35402564102571</v>
      </c>
      <c r="Q5" s="13">
        <f t="shared" si="5"/>
        <v>534.82995897435899</v>
      </c>
      <c r="R5" s="7">
        <f t="shared" si="6"/>
        <v>100</v>
      </c>
      <c r="S5" s="41">
        <f t="shared" si="7"/>
        <v>9.6134770816977273</v>
      </c>
      <c r="T5" s="41">
        <f t="shared" si="8"/>
        <v>2.0778735897055318</v>
      </c>
      <c r="U5" s="7">
        <f t="shared" si="9"/>
        <v>10.402063597819504</v>
      </c>
      <c r="V5" s="7">
        <f t="shared" si="10"/>
        <v>12.633778558449425</v>
      </c>
      <c r="X5" t="s">
        <v>118</v>
      </c>
      <c r="Y5" s="11">
        <f>M11</f>
        <v>57.469666666666669</v>
      </c>
      <c r="Z5" s="102">
        <f>M22</f>
        <v>123.78671969696971</v>
      </c>
      <c r="AA5" s="11">
        <f>M33</f>
        <v>229.97422727272726</v>
      </c>
      <c r="AP5" s="7">
        <v>651.75510204081638</v>
      </c>
      <c r="AR5" s="14" t="s">
        <v>29</v>
      </c>
      <c r="AS5" s="14">
        <v>170.19446048967708</v>
      </c>
      <c r="AU5" s="7">
        <v>1041</v>
      </c>
    </row>
    <row r="6" spans="1:47" ht="20.25" customHeight="1" x14ac:dyDescent="0.25">
      <c r="B6" t="s">
        <v>30</v>
      </c>
      <c r="C6" s="13">
        <v>581.33333333333337</v>
      </c>
      <c r="D6" s="13">
        <f t="shared" si="0"/>
        <v>449.37066666666669</v>
      </c>
      <c r="E6" s="7">
        <v>1010</v>
      </c>
      <c r="F6" s="7">
        <v>2466.6666666666665</v>
      </c>
      <c r="G6" s="11">
        <v>2.2000000000000002</v>
      </c>
      <c r="H6" s="12">
        <v>34.666666666666664</v>
      </c>
      <c r="I6" s="12">
        <f t="shared" si="1"/>
        <v>99.380466666666649</v>
      </c>
      <c r="J6" s="11">
        <v>5.7</v>
      </c>
      <c r="K6" s="11">
        <v>7.5</v>
      </c>
      <c r="L6" s="13">
        <f>'[2]SC SINK WW characteristics'!AG5</f>
        <v>43.166666666666664</v>
      </c>
      <c r="M6" s="13">
        <f t="shared" si="2"/>
        <v>22.878333333333334</v>
      </c>
      <c r="N6" s="13">
        <f>'[2]SC SINK WW characteristics'!U18</f>
        <v>201.68707482993196</v>
      </c>
      <c r="O6" s="13">
        <f t="shared" si="3"/>
        <v>89.54906122448979</v>
      </c>
      <c r="P6" s="13">
        <f t="shared" si="4"/>
        <v>561.79806122448986</v>
      </c>
      <c r="Q6" s="13">
        <f t="shared" si="5"/>
        <v>638.30019455782315</v>
      </c>
      <c r="R6" s="7">
        <f t="shared" si="6"/>
        <v>100</v>
      </c>
      <c r="S6" s="41">
        <f t="shared" si="7"/>
        <v>6.1706632790984575</v>
      </c>
      <c r="T6" s="41">
        <f t="shared" si="8"/>
        <v>1.3349992671126472</v>
      </c>
      <c r="U6" s="7">
        <f t="shared" si="9"/>
        <v>16.205713304552592</v>
      </c>
      <c r="V6" s="7">
        <f t="shared" si="10"/>
        <v>18.4125056122449</v>
      </c>
      <c r="W6" t="s">
        <v>82</v>
      </c>
      <c r="X6" s="11" t="s">
        <v>120</v>
      </c>
      <c r="Y6" s="7">
        <f>D12</f>
        <v>221.25673534653328</v>
      </c>
      <c r="Z6" s="7">
        <f>D23</f>
        <v>104.98715771962607</v>
      </c>
      <c r="AA6" s="7">
        <f>D34</f>
        <v>189.55053842675446</v>
      </c>
      <c r="AP6" s="7">
        <v>960.59863945578229</v>
      </c>
      <c r="AR6" s="14" t="s">
        <v>31</v>
      </c>
      <c r="AS6" s="14">
        <v>675.52294109133004</v>
      </c>
      <c r="AU6" s="7">
        <v>696.5</v>
      </c>
    </row>
    <row r="7" spans="1:47" x14ac:dyDescent="0.25">
      <c r="B7" t="s">
        <v>32</v>
      </c>
      <c r="C7" s="13">
        <v>1041</v>
      </c>
      <c r="D7" s="13">
        <f t="shared" si="0"/>
        <v>804.69299999999998</v>
      </c>
      <c r="E7" s="7">
        <v>2035</v>
      </c>
      <c r="F7" s="7">
        <v>3798.3333333333335</v>
      </c>
      <c r="G7" s="11">
        <v>3.0333333333333332</v>
      </c>
      <c r="H7" s="12">
        <v>79.333333333333329</v>
      </c>
      <c r="I7" s="12">
        <f t="shared" si="1"/>
        <v>233.55429999999998</v>
      </c>
      <c r="J7" s="11">
        <v>12.533333333333333</v>
      </c>
      <c r="K7" s="11">
        <v>17.066666666666666</v>
      </c>
      <c r="L7" s="13">
        <f>'[2]SC SINK WW characteristics'!AG6</f>
        <v>85.166666666666671</v>
      </c>
      <c r="M7" s="13">
        <f t="shared" si="2"/>
        <v>45.138333333333335</v>
      </c>
      <c r="N7" s="13">
        <f>'[2]SC SINK WW characteristics'!U23</f>
        <v>651.75510204081638</v>
      </c>
      <c r="O7" s="13">
        <f t="shared" si="3"/>
        <v>289.37926530612248</v>
      </c>
      <c r="P7" s="13">
        <f t="shared" si="4"/>
        <v>1139.2105986394558</v>
      </c>
      <c r="Q7" s="13">
        <f t="shared" si="5"/>
        <v>1327.6265653061223</v>
      </c>
      <c r="R7" s="7">
        <f t="shared" si="6"/>
        <v>100</v>
      </c>
      <c r="S7" s="41">
        <f t="shared" si="7"/>
        <v>6.9638865217792114</v>
      </c>
      <c r="T7" s="41">
        <f t="shared" si="8"/>
        <v>1.4981134030046035</v>
      </c>
      <c r="U7" s="7">
        <f t="shared" si="9"/>
        <v>14.359797461841881</v>
      </c>
      <c r="V7" s="7">
        <f t="shared" si="10"/>
        <v>16.734788638312466</v>
      </c>
      <c r="X7" s="11" t="s">
        <v>119</v>
      </c>
      <c r="Y7" s="7">
        <f>O12</f>
        <v>130.04618567988075</v>
      </c>
      <c r="Z7" s="7">
        <f>O23</f>
        <v>63.028815753314319</v>
      </c>
      <c r="AA7" s="7">
        <f>O34</f>
        <v>515.7616944028739</v>
      </c>
      <c r="AP7" s="7">
        <v>332.78873239436615</v>
      </c>
      <c r="AR7" s="14" t="s">
        <v>33</v>
      </c>
      <c r="AS7" s="14" t="e">
        <v>#N/A</v>
      </c>
      <c r="AU7" s="7">
        <v>439.66666666666669</v>
      </c>
    </row>
    <row r="8" spans="1:47" x14ac:dyDescent="0.25">
      <c r="B8" t="s">
        <v>34</v>
      </c>
      <c r="C8" s="13">
        <v>696.5</v>
      </c>
      <c r="D8" s="13">
        <f t="shared" si="0"/>
        <v>538.39449999999999</v>
      </c>
      <c r="E8" s="7">
        <v>2685</v>
      </c>
      <c r="F8" s="7">
        <v>4078.3333333333335</v>
      </c>
      <c r="G8" s="11">
        <v>2.5333333333333337</v>
      </c>
      <c r="H8" s="12">
        <v>52</v>
      </c>
      <c r="I8" s="12">
        <f t="shared" si="1"/>
        <v>151.41746666666668</v>
      </c>
      <c r="J8" s="11">
        <v>7.4666666666666659</v>
      </c>
      <c r="K8" s="11">
        <v>11.200000000000001</v>
      </c>
      <c r="L8" s="13">
        <f>'[2]SC SINK WW characteristics'!AG7</f>
        <v>89.833333333333329</v>
      </c>
      <c r="M8" s="13">
        <f t="shared" si="2"/>
        <v>47.611666666666665</v>
      </c>
      <c r="N8" s="13">
        <f>'[2]SC SINK WW characteristics'!U28</f>
        <v>960.59863945578229</v>
      </c>
      <c r="O8" s="13">
        <f t="shared" si="3"/>
        <v>426.50579591836737</v>
      </c>
      <c r="P8" s="13">
        <f t="shared" si="4"/>
        <v>1012.5119625850341</v>
      </c>
      <c r="Q8" s="13">
        <f t="shared" si="5"/>
        <v>1116.317762585034</v>
      </c>
      <c r="R8" s="7">
        <f t="shared" si="6"/>
        <v>100</v>
      </c>
      <c r="S8" s="41">
        <f t="shared" si="7"/>
        <v>5.1357417908662848</v>
      </c>
      <c r="T8" s="41">
        <f t="shared" si="8"/>
        <v>1.1061597703404307</v>
      </c>
      <c r="U8" s="7">
        <f t="shared" si="9"/>
        <v>19.47138389586604</v>
      </c>
      <c r="V8" s="7">
        <f t="shared" si="10"/>
        <v>21.467649280481421</v>
      </c>
      <c r="X8" t="s">
        <v>118</v>
      </c>
      <c r="Y8" s="7">
        <f>M12</f>
        <v>38.955275271676157</v>
      </c>
      <c r="Z8" s="7">
        <f>M23</f>
        <v>47.994855040849593</v>
      </c>
      <c r="AA8" s="7">
        <f>M34</f>
        <v>71.718113059362494</v>
      </c>
      <c r="AP8" s="7">
        <v>273.07042253521126</v>
      </c>
      <c r="AR8" s="14" t="s">
        <v>35</v>
      </c>
      <c r="AS8" s="14">
        <v>798.28277971542741</v>
      </c>
      <c r="AU8" s="7">
        <v>669</v>
      </c>
    </row>
    <row r="9" spans="1:47" x14ac:dyDescent="0.25">
      <c r="B9" t="s">
        <v>36</v>
      </c>
      <c r="C9" s="13">
        <v>439.66666666666669</v>
      </c>
      <c r="D9" s="13">
        <f t="shared" si="0"/>
        <v>339.86233333333337</v>
      </c>
      <c r="E9" s="7">
        <v>953.33333333333337</v>
      </c>
      <c r="F9" s="7">
        <v>1481.6666666666667</v>
      </c>
      <c r="G9" s="11"/>
      <c r="H9" s="12">
        <v>30</v>
      </c>
      <c r="I9" s="12">
        <f t="shared" si="1"/>
        <v>91.83</v>
      </c>
      <c r="J9" s="11">
        <v>3.9</v>
      </c>
      <c r="K9" s="11">
        <v>4.9666666666666668</v>
      </c>
      <c r="L9" s="13">
        <f>'[2]SC SINK WW characteristics'!AG8</f>
        <v>65.233333333333334</v>
      </c>
      <c r="M9" s="13">
        <f t="shared" si="2"/>
        <v>34.573666666666668</v>
      </c>
      <c r="N9" s="13">
        <f>'[2]SC SINK WW characteristics'!U33</f>
        <v>332.78873239436615</v>
      </c>
      <c r="O9" s="13">
        <f t="shared" si="3"/>
        <v>147.75819718309856</v>
      </c>
      <c r="P9" s="13">
        <f t="shared" si="4"/>
        <v>522.19419718309859</v>
      </c>
      <c r="Q9" s="13">
        <f t="shared" si="5"/>
        <v>579.45053051643185</v>
      </c>
      <c r="R9" s="7">
        <f t="shared" si="6"/>
        <v>100</v>
      </c>
      <c r="S9" s="41">
        <f t="shared" si="7"/>
        <v>5.7449891557261035</v>
      </c>
      <c r="T9" s="41">
        <f t="shared" si="8"/>
        <v>0.95111487133687722</v>
      </c>
      <c r="U9" s="7">
        <f t="shared" si="9"/>
        <v>17.406473239436618</v>
      </c>
      <c r="V9" s="7">
        <f t="shared" si="10"/>
        <v>19.315017683881063</v>
      </c>
      <c r="AP9" s="7"/>
      <c r="AR9" s="14" t="s">
        <v>37</v>
      </c>
      <c r="AS9" s="14">
        <v>637255.39639018965</v>
      </c>
      <c r="AU9" s="7">
        <v>112</v>
      </c>
    </row>
    <row r="10" spans="1:47" x14ac:dyDescent="0.25">
      <c r="B10" t="s">
        <v>38</v>
      </c>
      <c r="C10" s="13">
        <v>669</v>
      </c>
      <c r="D10" s="13">
        <f t="shared" si="0"/>
        <v>517.13700000000006</v>
      </c>
      <c r="E10" s="7">
        <v>705</v>
      </c>
      <c r="F10" s="7">
        <v>2368.3333333333335</v>
      </c>
      <c r="G10" s="11">
        <v>1.8</v>
      </c>
      <c r="H10" s="12">
        <v>32</v>
      </c>
      <c r="I10" s="12">
        <f t="shared" si="1"/>
        <v>92.4422</v>
      </c>
      <c r="J10" s="11">
        <v>4.6000000000000005</v>
      </c>
      <c r="K10" s="11">
        <v>5.6000000000000005</v>
      </c>
      <c r="L10" s="13">
        <f>'[2]SC SINK WW characteristics'!AG9</f>
        <v>150.9</v>
      </c>
      <c r="M10" s="13">
        <f t="shared" si="2"/>
        <v>79.977000000000004</v>
      </c>
      <c r="N10" s="13">
        <f>'[2]SC SINK WW characteristics'!U41</f>
        <v>273.07042253521126</v>
      </c>
      <c r="O10" s="13">
        <f t="shared" si="3"/>
        <v>121.2432676056338</v>
      </c>
      <c r="P10" s="13">
        <f t="shared" si="4"/>
        <v>718.35726760563387</v>
      </c>
      <c r="Q10" s="13">
        <f t="shared" si="5"/>
        <v>730.82246760563385</v>
      </c>
      <c r="R10" s="7">
        <f t="shared" si="6"/>
        <v>100</v>
      </c>
      <c r="S10" s="41">
        <f t="shared" si="7"/>
        <v>4.4546079566591734</v>
      </c>
      <c r="T10" s="41">
        <f t="shared" si="8"/>
        <v>0.77955639241535546</v>
      </c>
      <c r="U10" s="7">
        <f t="shared" si="9"/>
        <v>22.448664612676058</v>
      </c>
      <c r="V10" s="7">
        <f t="shared" si="10"/>
        <v>22.838202112676058</v>
      </c>
      <c r="X10" t="s">
        <v>188</v>
      </c>
      <c r="AP10" s="7">
        <v>433.25821596244123</v>
      </c>
      <c r="AR10" s="14" t="s">
        <v>39</v>
      </c>
      <c r="AS10" s="14">
        <v>13.989874413227207</v>
      </c>
      <c r="AU10" s="7">
        <v>409.33333333333331</v>
      </c>
    </row>
    <row r="11" spans="1:47" x14ac:dyDescent="0.25">
      <c r="A11" s="32" t="s">
        <v>68</v>
      </c>
      <c r="B11" s="32"/>
      <c r="C11" s="34">
        <f>AVERAGE(C3:C10)</f>
        <v>650.47916666666674</v>
      </c>
      <c r="D11" s="34">
        <f>AVERAGE(D3:D10)</f>
        <v>502.82039583333335</v>
      </c>
      <c r="E11" s="38"/>
      <c r="F11" s="38">
        <f>AVERAGE(F3:F10)</f>
        <v>2886.4583333333335</v>
      </c>
      <c r="G11" s="36"/>
      <c r="H11" s="37">
        <f>AVERAGE(H3:H10)</f>
        <v>45.125</v>
      </c>
      <c r="I11" s="37"/>
      <c r="J11" s="36"/>
      <c r="K11" s="36">
        <f t="shared" ref="K11:N11" si="11">AVERAGE(K3:K10)</f>
        <v>9.40625</v>
      </c>
      <c r="L11" s="34">
        <f t="shared" si="11"/>
        <v>108.43333333333334</v>
      </c>
      <c r="M11" s="34">
        <f>AVERAGE(M3:M10)</f>
        <v>57.469666666666669</v>
      </c>
      <c r="N11" s="34">
        <f t="shared" si="11"/>
        <v>520.08365025316732</v>
      </c>
      <c r="O11" s="34">
        <f>AVERAGE(O3:O10)</f>
        <v>230.91714071240631</v>
      </c>
      <c r="P11" s="34">
        <f>AVERAGE(P3:P10)</f>
        <v>791.2072032124064</v>
      </c>
      <c r="Q11" s="34"/>
      <c r="R11" s="24">
        <f>AVERAGE(R3:R10)</f>
        <v>100</v>
      </c>
      <c r="S11" s="30">
        <f t="shared" ref="S11:T11" si="12">AVERAGE(S3:S10)</f>
        <v>5.8987561556030723</v>
      </c>
      <c r="T11" s="30">
        <f t="shared" si="12"/>
        <v>1.2028403979200555</v>
      </c>
      <c r="U11" s="24">
        <f t="shared" ref="U11:V11" si="13">AVERAGE(U3:U10)</f>
        <v>18.063315371402236</v>
      </c>
      <c r="V11" s="24">
        <f t="shared" si="13"/>
        <v>19.391248875317267</v>
      </c>
      <c r="X11" t="s">
        <v>189</v>
      </c>
      <c r="Y11" s="7">
        <f>C11</f>
        <v>650.47916666666674</v>
      </c>
      <c r="Z11" s="7">
        <f>C22</f>
        <v>283.79166666666663</v>
      </c>
      <c r="AA11" s="7">
        <f>C33</f>
        <v>383.64583333333331</v>
      </c>
      <c r="AP11" s="7">
        <v>702.36619718309851</v>
      </c>
      <c r="AR11" s="14" t="s">
        <v>40</v>
      </c>
      <c r="AS11" s="14">
        <v>3.4746588571220665</v>
      </c>
      <c r="AU11" s="7">
        <v>195.66666666666666</v>
      </c>
    </row>
    <row r="12" spans="1:47" x14ac:dyDescent="0.25">
      <c r="A12" s="32" t="s">
        <v>84</v>
      </c>
      <c r="B12" s="32"/>
      <c r="C12" s="34">
        <f>_xlfn.STDEV.S(C3:C10)</f>
        <v>286.23122295799897</v>
      </c>
      <c r="D12" s="34">
        <f>_xlfn.STDEV.S(D3:D10)</f>
        <v>221.25673534653328</v>
      </c>
      <c r="E12" s="38"/>
      <c r="F12" s="34">
        <f>_xlfn.STDEV.S(F3:F10)</f>
        <v>1383.6277476429914</v>
      </c>
      <c r="G12" s="36"/>
      <c r="H12" s="37"/>
      <c r="I12" s="37"/>
      <c r="J12" s="36"/>
      <c r="K12" s="36"/>
      <c r="L12" s="34"/>
      <c r="M12" s="34">
        <f>_xlfn.STDEV.S(M3:M10)</f>
        <v>38.955275271676157</v>
      </c>
      <c r="N12" s="34"/>
      <c r="O12" s="34">
        <f>_xlfn.STDEV.S(O3:O10)</f>
        <v>130.04618567988075</v>
      </c>
      <c r="P12" s="34">
        <f>_xlfn.STDEV.S(P3:P10)</f>
        <v>321.98687197112338</v>
      </c>
      <c r="Q12" s="34"/>
      <c r="R12" s="24"/>
      <c r="S12" s="172">
        <f>_xlfn.STDEV.S(S3:S10)</f>
        <v>1.7562125762982295</v>
      </c>
      <c r="T12" s="172">
        <f>_xlfn.STDEV.S(T3:T10)</f>
        <v>0.44289189390151418</v>
      </c>
      <c r="U12" s="173">
        <f>_xlfn.STDEV.S(U3:U10)</f>
        <v>4.4171377108484293</v>
      </c>
      <c r="V12" s="173">
        <f>_xlfn.STDEV.S(V3:V10)</f>
        <v>3.4248282067325064</v>
      </c>
      <c r="X12" t="s">
        <v>82</v>
      </c>
      <c r="Y12" s="7">
        <f>C12</f>
        <v>286.23122295799897</v>
      </c>
      <c r="Z12" s="7">
        <f>C23</f>
        <v>135.81779782616573</v>
      </c>
      <c r="AA12" s="7">
        <f>C34</f>
        <v>245.2141506167587</v>
      </c>
      <c r="AP12" s="7"/>
      <c r="AR12" s="14"/>
      <c r="AS12" s="14"/>
      <c r="AU12" s="7"/>
    </row>
    <row r="13" spans="1:47" x14ac:dyDescent="0.25">
      <c r="A13" s="19"/>
      <c r="C13" s="23"/>
      <c r="D13" s="23"/>
      <c r="E13" s="31"/>
      <c r="F13" s="31"/>
      <c r="G13" s="17"/>
      <c r="H13" s="20"/>
      <c r="I13" s="20"/>
      <c r="J13" s="17"/>
      <c r="K13" s="17"/>
      <c r="L13" s="22"/>
      <c r="M13" s="22"/>
      <c r="N13" s="23"/>
      <c r="O13" s="23"/>
      <c r="P13" s="23"/>
      <c r="Q13" s="23"/>
      <c r="R13" s="24"/>
      <c r="T13" s="11"/>
      <c r="AP13" s="7"/>
      <c r="AR13" s="14"/>
      <c r="AS13" s="14"/>
      <c r="AU13" s="7"/>
    </row>
    <row r="14" spans="1:47" x14ac:dyDescent="0.25">
      <c r="A14" s="5" t="s">
        <v>41</v>
      </c>
      <c r="B14" t="s">
        <v>42</v>
      </c>
      <c r="C14" s="13">
        <v>112</v>
      </c>
      <c r="D14" s="13">
        <f>C14*0.773</f>
        <v>86.576000000000008</v>
      </c>
      <c r="E14" s="7">
        <v>1025</v>
      </c>
      <c r="F14" s="7">
        <v>2130</v>
      </c>
      <c r="G14" s="11">
        <v>1.5</v>
      </c>
      <c r="H14" s="12">
        <v>37.333333333333336</v>
      </c>
      <c r="I14" s="12">
        <f>(H14-G14)*3.061</f>
        <v>109.68583333333333</v>
      </c>
      <c r="J14" s="11">
        <v>5.2</v>
      </c>
      <c r="K14" s="11">
        <v>7.9666666666666659</v>
      </c>
      <c r="L14" s="13">
        <f>'[2]CSA WW characteristics'!Y2</f>
        <v>233.9</v>
      </c>
      <c r="M14" s="13">
        <f>L14*0.53</f>
        <v>123.96700000000001</v>
      </c>
      <c r="N14" s="13">
        <f>'[2]CSA WW characteristics'!AA2</f>
        <v>433.25821596244123</v>
      </c>
      <c r="O14" s="13">
        <f>N14*0.444</f>
        <v>192.36664788732392</v>
      </c>
      <c r="P14" s="13">
        <f>D14+M14+O14</f>
        <v>402.9096478873239</v>
      </c>
      <c r="Q14" s="13">
        <f>I14+O14+D14</f>
        <v>388.62848122065725</v>
      </c>
      <c r="R14" s="7">
        <f>100*P14/P14</f>
        <v>100</v>
      </c>
      <c r="S14" s="41">
        <f>100*H14/P14</f>
        <v>9.2659318358576073</v>
      </c>
      <c r="T14" s="41">
        <f>100*K14/P14</f>
        <v>1.9772836685446145</v>
      </c>
      <c r="U14" s="7">
        <f>P14/H14</f>
        <v>10.792222711267604</v>
      </c>
      <c r="V14" s="7">
        <f>Q14/H14</f>
        <v>10.409691461267604</v>
      </c>
      <c r="Y14" s="7">
        <f>SUM(Y3:Y5)</f>
        <v>791.20720321240628</v>
      </c>
      <c r="Z14" s="7">
        <f>SUM(Z3:Z5)</f>
        <v>601.63554623955861</v>
      </c>
      <c r="AA14" s="7">
        <f>SUM(AA3:AA5)</f>
        <v>1174.716218651316</v>
      </c>
      <c r="AP14" s="7">
        <v>573.35211267605621</v>
      </c>
      <c r="AR14" s="14" t="s">
        <v>43</v>
      </c>
      <c r="AS14" s="14">
        <v>3887.312925170068</v>
      </c>
      <c r="AU14" s="7">
        <v>415.33333333333331</v>
      </c>
    </row>
    <row r="15" spans="1:47" x14ac:dyDescent="0.25">
      <c r="A15" s="5" t="s">
        <v>74</v>
      </c>
      <c r="B15" t="s">
        <v>44</v>
      </c>
      <c r="C15" s="13">
        <v>409.33333333333331</v>
      </c>
      <c r="D15" s="13">
        <f t="shared" ref="D15:D21" si="14">C15*0.773</f>
        <v>316.41466666666668</v>
      </c>
      <c r="E15" s="7">
        <v>1790</v>
      </c>
      <c r="F15" s="7">
        <v>3846.6666666666665</v>
      </c>
      <c r="G15" s="11">
        <v>1.2333333333333334</v>
      </c>
      <c r="H15" s="12">
        <v>65.333333333333329</v>
      </c>
      <c r="I15" s="12">
        <f t="shared" ref="I15:I21" si="15">(H15-G15)*3.061</f>
        <v>196.21009999999998</v>
      </c>
      <c r="J15" s="11">
        <v>10.666666666666666</v>
      </c>
      <c r="K15" s="11">
        <v>28.866666666666664</v>
      </c>
      <c r="L15" s="13">
        <f>'[2]CSA WW characteristics'!Y3</f>
        <v>231.56666666666663</v>
      </c>
      <c r="M15" s="13">
        <f t="shared" ref="M15:M21" si="16">L15*0.53</f>
        <v>122.73033333333332</v>
      </c>
      <c r="N15" s="13">
        <f>'[2]CSA WW characteristics'!AA3</f>
        <v>702.36619718309851</v>
      </c>
      <c r="O15" s="13">
        <f t="shared" ref="O15:O21" si="17">N15*0.444</f>
        <v>311.85059154929576</v>
      </c>
      <c r="P15" s="13">
        <f t="shared" ref="P15:P21" si="18">D15+M15+O15</f>
        <v>750.9955915492958</v>
      </c>
      <c r="Q15" s="13">
        <f t="shared" ref="Q15:Q21" si="19">I15+O15+D15</f>
        <v>824.47535821596239</v>
      </c>
      <c r="R15" s="7">
        <f t="shared" ref="R15:R21" si="20">100*P15/P15</f>
        <v>100</v>
      </c>
      <c r="S15" s="41">
        <f t="shared" ref="S15:S21" si="21">100*H15/P15</f>
        <v>8.6995628294636678</v>
      </c>
      <c r="T15" s="41">
        <f t="shared" ref="T15:T21" si="22">100*K15/P15</f>
        <v>3.8437864338344574</v>
      </c>
      <c r="U15" s="7">
        <f t="shared" ref="U15:U21" si="23">P15/H15</f>
        <v>11.494830482897385</v>
      </c>
      <c r="V15" s="7">
        <f t="shared" ref="V15:V21" si="24">Q15/H15</f>
        <v>12.619520789019834</v>
      </c>
      <c r="AP15" s="7">
        <v>431.375</v>
      </c>
      <c r="AR15" s="14" t="s">
        <v>45</v>
      </c>
      <c r="AS15" s="14">
        <v>201.68707482993196</v>
      </c>
      <c r="AU15" s="7">
        <v>206</v>
      </c>
    </row>
    <row r="16" spans="1:47" x14ac:dyDescent="0.25">
      <c r="A16" s="5" t="s">
        <v>75</v>
      </c>
      <c r="B16" t="s">
        <v>46</v>
      </c>
      <c r="C16" s="13">
        <v>195.66666666666666</v>
      </c>
      <c r="D16" s="13">
        <f t="shared" si="14"/>
        <v>151.25033333333332</v>
      </c>
      <c r="E16" s="7">
        <v>1518.3333333333333</v>
      </c>
      <c r="F16" s="7">
        <v>2581.6666666666665</v>
      </c>
      <c r="G16" s="11">
        <v>1.2666666666666666</v>
      </c>
      <c r="H16" s="12">
        <v>41.333333333333336</v>
      </c>
      <c r="I16" s="12">
        <f t="shared" si="15"/>
        <v>122.64406666666667</v>
      </c>
      <c r="J16" s="11">
        <v>6</v>
      </c>
      <c r="K16" s="11">
        <v>8.8000000000000007</v>
      </c>
      <c r="L16" s="13">
        <f>'[2]CSA WW characteristics'!Y4</f>
        <v>165.56666666666663</v>
      </c>
      <c r="M16" s="13">
        <f t="shared" si="16"/>
        <v>87.750333333333316</v>
      </c>
      <c r="N16" s="13">
        <f>'[2]CSA WW characteristics'!AA4</f>
        <v>573.35211267605621</v>
      </c>
      <c r="O16" s="13">
        <f t="shared" si="17"/>
        <v>254.56833802816897</v>
      </c>
      <c r="P16" s="13">
        <f t="shared" si="18"/>
        <v>493.5690046948356</v>
      </c>
      <c r="Q16" s="13">
        <f t="shared" si="19"/>
        <v>528.46273802816893</v>
      </c>
      <c r="R16" s="7">
        <f t="shared" si="20"/>
        <v>100</v>
      </c>
      <c r="S16" s="41">
        <f t="shared" si="21"/>
        <v>8.3743778357575263</v>
      </c>
      <c r="T16" s="41">
        <f t="shared" si="22"/>
        <v>1.7829320553548282</v>
      </c>
      <c r="U16" s="7">
        <f t="shared" si="23"/>
        <v>11.9411855974557</v>
      </c>
      <c r="V16" s="7">
        <f t="shared" si="24"/>
        <v>12.785388823262151</v>
      </c>
      <c r="AP16" s="7">
        <v>814.81249999999989</v>
      </c>
      <c r="AR16" s="14" t="s">
        <v>47</v>
      </c>
      <c r="AS16" s="14">
        <v>4089</v>
      </c>
      <c r="AU16" s="7">
        <v>312</v>
      </c>
    </row>
    <row r="17" spans="1:48" x14ac:dyDescent="0.25">
      <c r="A17" s="5" t="s">
        <v>76</v>
      </c>
      <c r="B17" t="s">
        <v>48</v>
      </c>
      <c r="C17" s="13">
        <v>415.33333333333331</v>
      </c>
      <c r="D17" s="13">
        <f t="shared" si="14"/>
        <v>321.05266666666665</v>
      </c>
      <c r="E17" s="7">
        <v>1222</v>
      </c>
      <c r="F17" s="7">
        <v>2358</v>
      </c>
      <c r="G17" s="11">
        <v>2.0499999999999998</v>
      </c>
      <c r="H17" s="12">
        <v>32</v>
      </c>
      <c r="I17" s="12">
        <f t="shared" si="15"/>
        <v>91.676949999999991</v>
      </c>
      <c r="J17" s="11">
        <v>5.05</v>
      </c>
      <c r="K17" s="11">
        <v>11.55</v>
      </c>
      <c r="L17" s="13">
        <f>'[2]CSA WW characteristics'!Y5</f>
        <v>269.23333333333329</v>
      </c>
      <c r="M17" s="13">
        <f t="shared" si="16"/>
        <v>142.69366666666664</v>
      </c>
      <c r="N17" s="13"/>
      <c r="O17" s="13"/>
      <c r="P17" s="13"/>
      <c r="Q17" s="13"/>
      <c r="R17" s="7"/>
      <c r="S17" s="41"/>
      <c r="T17" s="41"/>
      <c r="U17" s="7"/>
      <c r="V17" s="7"/>
      <c r="AP17" s="7">
        <v>616.37499999999989</v>
      </c>
      <c r="AR17" s="14" t="s">
        <v>49</v>
      </c>
      <c r="AS17" s="14">
        <v>18547.152069909131</v>
      </c>
      <c r="AU17" s="7">
        <v>151</v>
      </c>
    </row>
    <row r="18" spans="1:48" x14ac:dyDescent="0.25">
      <c r="B18" t="s">
        <v>50</v>
      </c>
      <c r="C18" s="6">
        <v>206</v>
      </c>
      <c r="D18" s="13">
        <f t="shared" si="14"/>
        <v>159.238</v>
      </c>
      <c r="E18" s="7">
        <v>308.66666666666669</v>
      </c>
      <c r="F18" s="7">
        <v>1250</v>
      </c>
      <c r="G18" s="11">
        <v>0.66666666666666663</v>
      </c>
      <c r="H18" s="12">
        <v>24</v>
      </c>
      <c r="I18" s="12">
        <f t="shared" si="15"/>
        <v>71.423333333333332</v>
      </c>
      <c r="J18" s="11">
        <v>4.666666666666667</v>
      </c>
      <c r="K18" s="11">
        <v>10.566666666666668</v>
      </c>
      <c r="L18" s="13">
        <f>'[2]CSA WW characteristics'!Y6</f>
        <v>57.545454545454547</v>
      </c>
      <c r="M18" s="13">
        <f t="shared" si="16"/>
        <v>30.49909090909091</v>
      </c>
      <c r="N18" s="13">
        <f>'[2]CSA WW characteristics'!AA6</f>
        <v>431.375</v>
      </c>
      <c r="O18" s="13">
        <f t="shared" si="17"/>
        <v>191.53049999999999</v>
      </c>
      <c r="P18" s="13">
        <f t="shared" si="18"/>
        <v>381.26759090909093</v>
      </c>
      <c r="Q18" s="13">
        <f t="shared" si="19"/>
        <v>422.19183333333331</v>
      </c>
      <c r="R18" s="7">
        <f t="shared" si="20"/>
        <v>100</v>
      </c>
      <c r="S18" s="41">
        <f t="shared" si="21"/>
        <v>6.2947915249692796</v>
      </c>
      <c r="T18" s="41">
        <f t="shared" si="22"/>
        <v>2.7714568241878639</v>
      </c>
      <c r="U18" s="7">
        <f t="shared" si="23"/>
        <v>15.886149621212121</v>
      </c>
      <c r="V18" s="7">
        <f t="shared" si="24"/>
        <v>17.591326388888888</v>
      </c>
      <c r="AP18" s="7">
        <v>503.5625</v>
      </c>
      <c r="AR18" s="14" t="s">
        <v>51</v>
      </c>
      <c r="AS18" s="14">
        <v>22</v>
      </c>
      <c r="AU18" s="7">
        <v>469</v>
      </c>
    </row>
    <row r="19" spans="1:48" x14ac:dyDescent="0.25">
      <c r="B19" t="s">
        <v>52</v>
      </c>
      <c r="C19" s="6">
        <v>312</v>
      </c>
      <c r="D19" s="13">
        <f t="shared" si="14"/>
        <v>241.17600000000002</v>
      </c>
      <c r="E19" s="7">
        <v>1321.6666666666667</v>
      </c>
      <c r="F19" s="7">
        <v>3240</v>
      </c>
      <c r="G19" s="11">
        <v>3.4333333333333336</v>
      </c>
      <c r="H19" s="12">
        <v>50.333333333333336</v>
      </c>
      <c r="I19" s="12">
        <f t="shared" si="15"/>
        <v>143.5609</v>
      </c>
      <c r="J19" s="11">
        <v>7.7</v>
      </c>
      <c r="K19" s="11">
        <v>17.166666666666664</v>
      </c>
      <c r="L19" s="13">
        <f>'[2]CSA WW characteristics'!Y7</f>
        <v>294.06060606060606</v>
      </c>
      <c r="M19" s="13">
        <f t="shared" si="16"/>
        <v>155.85212121212123</v>
      </c>
      <c r="N19" s="13">
        <f>'[2]CSA WW characteristics'!AA7</f>
        <v>814.81249999999989</v>
      </c>
      <c r="O19" s="13">
        <f t="shared" si="17"/>
        <v>361.77674999999994</v>
      </c>
      <c r="P19" s="13">
        <f t="shared" si="18"/>
        <v>758.80487121212127</v>
      </c>
      <c r="Q19" s="13">
        <f t="shared" si="19"/>
        <v>746.51364999999998</v>
      </c>
      <c r="R19" s="7">
        <f t="shared" si="20"/>
        <v>99.999999999999986</v>
      </c>
      <c r="S19" s="41">
        <f t="shared" si="21"/>
        <v>6.6332380356138794</v>
      </c>
      <c r="T19" s="41">
        <f t="shared" si="22"/>
        <v>2.2623295287027463</v>
      </c>
      <c r="U19" s="7">
        <f t="shared" si="23"/>
        <v>15.075593467790489</v>
      </c>
      <c r="V19" s="7">
        <f t="shared" si="24"/>
        <v>14.831397019867548</v>
      </c>
      <c r="W19" s="15"/>
      <c r="AH19" s="15"/>
      <c r="AI19" s="7"/>
      <c r="AJ19" s="7"/>
      <c r="AK19" s="7"/>
      <c r="AL19" s="7"/>
      <c r="AP19" s="7">
        <v>893.33333333333337</v>
      </c>
      <c r="AR19" s="14" t="s">
        <v>53</v>
      </c>
      <c r="AS19" s="14">
        <v>4089</v>
      </c>
      <c r="AU19" s="7">
        <v>547</v>
      </c>
    </row>
    <row r="20" spans="1:48" ht="15.75" thickBot="1" x14ac:dyDescent="0.3">
      <c r="B20" t="s">
        <v>54</v>
      </c>
      <c r="C20" s="6">
        <v>151</v>
      </c>
      <c r="D20" s="13">
        <f t="shared" si="14"/>
        <v>116.723</v>
      </c>
      <c r="E20" s="7">
        <v>995</v>
      </c>
      <c r="F20" s="7">
        <v>2463.3333333333335</v>
      </c>
      <c r="G20" s="11">
        <v>1.2666666666666666</v>
      </c>
      <c r="H20" s="12">
        <v>39.666666666666664</v>
      </c>
      <c r="I20" s="12">
        <f t="shared" si="15"/>
        <v>117.54239999999999</v>
      </c>
      <c r="J20" s="11">
        <v>6.4333333333333336</v>
      </c>
      <c r="K20" s="11">
        <v>12.799999999999999</v>
      </c>
      <c r="L20" s="13">
        <f>'[2]CSA WW characteristics'!Y8</f>
        <v>254.969696969697</v>
      </c>
      <c r="M20" s="13">
        <f t="shared" si="16"/>
        <v>135.13393939393941</v>
      </c>
      <c r="N20" s="13">
        <f>'[2]CSA WW characteristics'!AA8</f>
        <v>616.37499999999989</v>
      </c>
      <c r="O20" s="13">
        <f t="shared" si="17"/>
        <v>273.67049999999995</v>
      </c>
      <c r="P20" s="13">
        <f t="shared" si="18"/>
        <v>525.5274393939394</v>
      </c>
      <c r="Q20" s="13">
        <f t="shared" si="19"/>
        <v>507.93589999999995</v>
      </c>
      <c r="R20" s="7">
        <f t="shared" si="20"/>
        <v>100</v>
      </c>
      <c r="S20" s="41">
        <f t="shared" si="21"/>
        <v>7.5479725116564707</v>
      </c>
      <c r="T20" s="41">
        <f t="shared" si="22"/>
        <v>2.435648272668979</v>
      </c>
      <c r="U20" s="7">
        <f t="shared" si="23"/>
        <v>13.248590909090909</v>
      </c>
      <c r="V20" s="7">
        <f t="shared" si="24"/>
        <v>12.805106722689075</v>
      </c>
      <c r="AH20" s="15"/>
      <c r="AI20" s="7"/>
      <c r="AJ20" s="7"/>
      <c r="AK20" s="7"/>
      <c r="AL20" s="7"/>
      <c r="AP20" s="7">
        <v>920.56737588652493</v>
      </c>
      <c r="AR20" s="25" t="s">
        <v>55</v>
      </c>
      <c r="AS20" s="25">
        <v>201.68707482993196</v>
      </c>
      <c r="AU20" s="7">
        <v>318.5</v>
      </c>
    </row>
    <row r="21" spans="1:48" x14ac:dyDescent="0.25">
      <c r="B21" t="s">
        <v>56</v>
      </c>
      <c r="C21" s="6">
        <v>469</v>
      </c>
      <c r="D21" s="13">
        <f t="shared" si="14"/>
        <v>362.53700000000003</v>
      </c>
      <c r="E21" s="7">
        <v>1101.6666666666667</v>
      </c>
      <c r="F21" s="7">
        <v>3350</v>
      </c>
      <c r="G21" s="11">
        <v>2.9</v>
      </c>
      <c r="H21" s="12">
        <v>51.666666666666664</v>
      </c>
      <c r="I21" s="12">
        <f t="shared" si="15"/>
        <v>149.27476666666666</v>
      </c>
      <c r="J21" s="11">
        <v>9.8000000000000007</v>
      </c>
      <c r="K21" s="11">
        <v>15.666666666666666</v>
      </c>
      <c r="L21" s="13">
        <f>'[2]CSA WW characteristics'!Y9</f>
        <v>361.63636363636368</v>
      </c>
      <c r="M21" s="13">
        <f t="shared" si="16"/>
        <v>191.66727272727277</v>
      </c>
      <c r="N21" s="13">
        <f>'[2]CSA WW characteristics'!AA9</f>
        <v>503.5625</v>
      </c>
      <c r="O21" s="13">
        <f t="shared" si="17"/>
        <v>223.58175</v>
      </c>
      <c r="P21" s="13">
        <f t="shared" si="18"/>
        <v>777.78602272727289</v>
      </c>
      <c r="Q21" s="13">
        <f t="shared" si="19"/>
        <v>735.39351666666676</v>
      </c>
      <c r="R21" s="7">
        <f t="shared" si="20"/>
        <v>100</v>
      </c>
      <c r="S21" s="41">
        <f t="shared" si="21"/>
        <v>6.642786725004358</v>
      </c>
      <c r="T21" s="41">
        <f t="shared" si="22"/>
        <v>2.0142643617755152</v>
      </c>
      <c r="U21" s="7">
        <f t="shared" si="23"/>
        <v>15.053923020527863</v>
      </c>
      <c r="V21" s="7">
        <f t="shared" si="24"/>
        <v>14.233422903225808</v>
      </c>
      <c r="AC21" s="7"/>
      <c r="AD21" s="7"/>
      <c r="AE21" s="7"/>
      <c r="AF21" s="7"/>
      <c r="AH21" s="15"/>
      <c r="AI21" s="7"/>
      <c r="AJ21" s="7"/>
      <c r="AK21" s="7"/>
      <c r="AL21" s="7"/>
      <c r="AP21" s="7">
        <v>699.29078014184381</v>
      </c>
      <c r="AU21" s="7">
        <v>373</v>
      </c>
    </row>
    <row r="22" spans="1:48" x14ac:dyDescent="0.25">
      <c r="A22" s="32" t="s">
        <v>68</v>
      </c>
      <c r="C22" s="37">
        <f>AVERAGE(C14:C21)</f>
        <v>283.79166666666663</v>
      </c>
      <c r="D22" s="34">
        <f>AVERAGE(D14:D21)</f>
        <v>219.37095833333333</v>
      </c>
      <c r="E22" s="38"/>
      <c r="F22" s="38">
        <f>AVERAGE(F14:F21)</f>
        <v>2652.458333333333</v>
      </c>
      <c r="G22" s="36"/>
      <c r="H22" s="37">
        <f>AVERAGE(H14:H21)</f>
        <v>42.708333333333336</v>
      </c>
      <c r="I22" s="37"/>
      <c r="J22" s="36"/>
      <c r="K22" s="36">
        <f t="shared" ref="K22:P22" si="25">AVERAGE(K14:K21)</f>
        <v>14.172916666666666</v>
      </c>
      <c r="L22" s="39">
        <f t="shared" si="25"/>
        <v>233.55984848484849</v>
      </c>
      <c r="M22" s="34">
        <f t="shared" si="25"/>
        <v>123.78671969696971</v>
      </c>
      <c r="N22" s="34">
        <f t="shared" si="25"/>
        <v>582.15736083165655</v>
      </c>
      <c r="O22" s="34">
        <f t="shared" si="25"/>
        <v>258.47786820925552</v>
      </c>
      <c r="P22" s="34">
        <f t="shared" si="25"/>
        <v>584.40859548198284</v>
      </c>
      <c r="Q22" s="34"/>
      <c r="R22" s="24">
        <f>AVERAGE(R14:R21)</f>
        <v>100</v>
      </c>
      <c r="S22" s="30">
        <f t="shared" ref="S22" si="26">AVERAGE(S14:S21)</f>
        <v>7.6369516140461116</v>
      </c>
      <c r="T22" s="30">
        <f t="shared" ref="T22" si="27">AVERAGE(T14:T21)</f>
        <v>2.4411001635812863</v>
      </c>
      <c r="U22" s="24">
        <f t="shared" ref="U22:V22" si="28">AVERAGE(U14:U21)</f>
        <v>13.356070830034581</v>
      </c>
      <c r="V22" s="24">
        <f t="shared" si="28"/>
        <v>13.610836301174414</v>
      </c>
      <c r="AC22" s="7"/>
      <c r="AD22" s="7"/>
      <c r="AE22" s="7"/>
      <c r="AF22" s="7"/>
      <c r="AH22" s="15"/>
      <c r="AI22" s="11"/>
      <c r="AJ22" s="11"/>
      <c r="AK22" s="7"/>
      <c r="AL22" s="7"/>
      <c r="AP22" s="7">
        <v>806.24113475177307</v>
      </c>
    </row>
    <row r="23" spans="1:48" x14ac:dyDescent="0.25">
      <c r="A23" s="32" t="s">
        <v>84</v>
      </c>
      <c r="C23" s="37">
        <f>_xlfn.STDEV.S(C14:C21)</f>
        <v>135.81779782616573</v>
      </c>
      <c r="D23" s="34">
        <f>_xlfn.STDEV.S(D14:D21)</f>
        <v>104.98715771962607</v>
      </c>
      <c r="E23" s="38"/>
      <c r="F23" s="34">
        <f>_xlfn.STDEV.S(F14:F21)</f>
        <v>812.86448112987546</v>
      </c>
      <c r="G23" s="36"/>
      <c r="H23" s="37"/>
      <c r="I23" s="37"/>
      <c r="J23" s="36"/>
      <c r="K23" s="36"/>
      <c r="L23" s="39"/>
      <c r="M23" s="34">
        <f>_xlfn.STDEV.S(M14:M21)</f>
        <v>47.994855040849593</v>
      </c>
      <c r="N23" s="34"/>
      <c r="O23" s="34">
        <f>_xlfn.STDEV.S(O14:O21)</f>
        <v>63.028815753314319</v>
      </c>
      <c r="P23" s="34">
        <f>_xlfn.STDEV.S(P14:P21)</f>
        <v>173.91907846695742</v>
      </c>
      <c r="Q23" s="34"/>
      <c r="R23" s="24"/>
      <c r="S23" s="172">
        <f>_xlfn.STDEV.S(S14:S21)</f>
        <v>1.164161525888719</v>
      </c>
      <c r="T23" s="172">
        <f>_xlfn.STDEV.S(T14:T21)</f>
        <v>0.69989913087898481</v>
      </c>
      <c r="U23" s="173">
        <f>_xlfn.STDEV.S(U14:U21)</f>
        <v>2.0121192730044828</v>
      </c>
      <c r="V23" s="173">
        <f>_xlfn.STDEV.S(V14:V21)</f>
        <v>2.2465633868423032</v>
      </c>
      <c r="AC23" s="7"/>
      <c r="AD23" s="7"/>
      <c r="AE23" s="7"/>
      <c r="AF23" s="7"/>
      <c r="AH23" s="15"/>
      <c r="AI23" s="11"/>
      <c r="AJ23" s="11"/>
      <c r="AK23" s="7"/>
      <c r="AL23" s="7"/>
      <c r="AP23" s="7"/>
    </row>
    <row r="24" spans="1:48" x14ac:dyDescent="0.25">
      <c r="E24" s="7"/>
      <c r="F24" s="7"/>
      <c r="G24" s="11"/>
      <c r="H24" s="12"/>
      <c r="I24" s="12"/>
      <c r="J24" s="11"/>
      <c r="K24" s="11"/>
      <c r="N24" s="13"/>
      <c r="O24" s="13"/>
      <c r="P24" s="13"/>
      <c r="Q24" s="13"/>
      <c r="R24" s="7"/>
      <c r="T24" s="11"/>
      <c r="AB24" s="15"/>
      <c r="AC24" s="7"/>
      <c r="AD24" s="7"/>
      <c r="AE24" s="7"/>
      <c r="AF24" s="7"/>
      <c r="AH24" s="15"/>
      <c r="AI24" s="7"/>
      <c r="AJ24" s="7"/>
      <c r="AK24" s="7"/>
      <c r="AL24" s="7"/>
      <c r="AP24" s="7">
        <v>1597.9487179487178</v>
      </c>
      <c r="AU24" s="7">
        <v>849.5</v>
      </c>
    </row>
    <row r="25" spans="1:48" x14ac:dyDescent="0.25">
      <c r="A25" s="5" t="s">
        <v>57</v>
      </c>
      <c r="B25" t="s">
        <v>58</v>
      </c>
      <c r="C25" s="13">
        <v>547</v>
      </c>
      <c r="D25" s="13">
        <f>C25*0.773</f>
        <v>422.83100000000002</v>
      </c>
      <c r="E25" s="7">
        <v>2681.6666666666665</v>
      </c>
      <c r="F25" s="7">
        <v>4470</v>
      </c>
      <c r="G25" s="11">
        <v>4.9666666666666668</v>
      </c>
      <c r="H25" s="12">
        <v>63</v>
      </c>
      <c r="I25" s="12">
        <f>(H25-G25)*3.061</f>
        <v>177.64003333333332</v>
      </c>
      <c r="J25" s="11">
        <v>11.766666666666666</v>
      </c>
      <c r="K25" s="11">
        <v>15.766666666666666</v>
      </c>
      <c r="L25" s="13">
        <f>'[2]CP WW characteristics'!Y2</f>
        <v>557.16666666666663</v>
      </c>
      <c r="M25" s="13">
        <f>L25*0.53</f>
        <v>295.29833333333335</v>
      </c>
      <c r="N25" s="13">
        <f>'[2]CP WW characteristics'!AA2</f>
        <v>893.33333333333337</v>
      </c>
      <c r="O25" s="13">
        <f>N25*0.444</f>
        <v>396.64000000000004</v>
      </c>
      <c r="P25" s="13">
        <f>D25+M25+O25</f>
        <v>1114.7693333333334</v>
      </c>
      <c r="Q25" s="13">
        <f>I25+O25+D25</f>
        <v>997.11103333333335</v>
      </c>
      <c r="R25" s="7">
        <f>100*P25/P25</f>
        <v>100</v>
      </c>
      <c r="S25" s="41">
        <f>100*H25/P25</f>
        <v>5.6513933525261422</v>
      </c>
      <c r="T25" s="41">
        <f>100*K25/P25</f>
        <v>1.4143434157380239</v>
      </c>
      <c r="U25" s="7">
        <f>P25/H25</f>
        <v>17.694751322751323</v>
      </c>
      <c r="V25" s="7">
        <f>Q25/H25</f>
        <v>15.827159259259259</v>
      </c>
      <c r="AH25" s="15"/>
      <c r="AI25" s="11"/>
      <c r="AJ25" s="11"/>
      <c r="AK25" s="7"/>
      <c r="AL25" s="7"/>
      <c r="AP25" s="7">
        <v>4089</v>
      </c>
      <c r="AU25" s="7">
        <v>499.5</v>
      </c>
    </row>
    <row r="26" spans="1:48" x14ac:dyDescent="0.25">
      <c r="A26" s="43" t="s">
        <v>76</v>
      </c>
      <c r="B26" s="1" t="s">
        <v>59</v>
      </c>
      <c r="C26" s="13">
        <v>318.5</v>
      </c>
      <c r="D26" s="13">
        <f t="shared" ref="D26:D32" si="29">C26*0.773</f>
        <v>246.20050000000001</v>
      </c>
      <c r="E26" s="7">
        <v>3206.6666666666665</v>
      </c>
      <c r="F26" s="7">
        <v>3840</v>
      </c>
      <c r="G26" s="11">
        <v>2.6666666666666665</v>
      </c>
      <c r="H26" s="12">
        <v>50.333333333333336</v>
      </c>
      <c r="I26" s="12">
        <f t="shared" ref="I26:I32" si="30">(H26-G26)*3.061</f>
        <v>145.90766666666667</v>
      </c>
      <c r="J26" s="11">
        <v>10.166666666666666</v>
      </c>
      <c r="K26" s="11">
        <v>13.700000000000001</v>
      </c>
      <c r="L26" s="13">
        <f>'[2]CP WW characteristics'!Y3</f>
        <v>646.16666666666663</v>
      </c>
      <c r="M26" s="13">
        <f t="shared" ref="M26:M32" si="31">L26*0.53</f>
        <v>342.46833333333331</v>
      </c>
      <c r="N26" s="13">
        <f>'[2]CP WW characteristics'!AA3</f>
        <v>920.56737588652493</v>
      </c>
      <c r="O26" s="13">
        <f t="shared" ref="O26:O32" si="32">N26*0.444</f>
        <v>408.7319148936171</v>
      </c>
      <c r="P26" s="13">
        <f t="shared" ref="P26:P32" si="33">D26+M26+O26</f>
        <v>997.40074822695033</v>
      </c>
      <c r="Q26" s="13">
        <f t="shared" ref="Q26:Q32" si="34">I26+O26+D26</f>
        <v>800.84008156028381</v>
      </c>
      <c r="R26" s="7">
        <f t="shared" ref="R26:R32" si="35">100*P26/P26</f>
        <v>100</v>
      </c>
      <c r="S26" s="41">
        <f t="shared" ref="S26:S32" si="36">100*H26/P26</f>
        <v>5.0464503282967668</v>
      </c>
      <c r="T26" s="41">
        <f t="shared" ref="T26:T32" si="37">100*K26/P26</f>
        <v>1.3735702549205104</v>
      </c>
      <c r="U26" s="7">
        <f t="shared" ref="U26:U32" si="38">P26/H26</f>
        <v>19.815908905171199</v>
      </c>
      <c r="V26" s="7">
        <f t="shared" ref="V26:V32" si="39">Q26/H26</f>
        <v>15.910730097224182</v>
      </c>
      <c r="W26" s="3"/>
      <c r="X26" s="3"/>
      <c r="AH26" s="15"/>
      <c r="AI26" s="7"/>
      <c r="AJ26" s="7"/>
      <c r="AK26" s="7"/>
      <c r="AL26" s="7"/>
      <c r="AP26" s="7">
        <v>1305</v>
      </c>
      <c r="AU26" s="7">
        <v>155.66666666666666</v>
      </c>
    </row>
    <row r="27" spans="1:48" x14ac:dyDescent="0.25">
      <c r="A27" s="1"/>
      <c r="B27" s="1" t="s">
        <v>60</v>
      </c>
      <c r="C27" s="13">
        <v>373</v>
      </c>
      <c r="D27" s="13">
        <f t="shared" si="29"/>
        <v>288.32900000000001</v>
      </c>
      <c r="E27" s="7">
        <v>3175</v>
      </c>
      <c r="F27" s="7">
        <v>4080</v>
      </c>
      <c r="G27" s="11">
        <v>3.6</v>
      </c>
      <c r="H27" s="12">
        <v>45.5</v>
      </c>
      <c r="I27" s="12">
        <f t="shared" si="30"/>
        <v>128.2559</v>
      </c>
      <c r="J27" s="11">
        <v>10.933333333333332</v>
      </c>
      <c r="K27" s="11">
        <v>12.866666666666667</v>
      </c>
      <c r="L27" s="13">
        <f>'[2]CP WW characteristics'!Y4</f>
        <v>413.16666666666669</v>
      </c>
      <c r="M27" s="13">
        <f t="shared" si="31"/>
        <v>218.97833333333335</v>
      </c>
      <c r="N27" s="13">
        <f>'[2]CP WW characteristics'!AA4</f>
        <v>699.29078014184381</v>
      </c>
      <c r="O27" s="13">
        <f t="shared" si="32"/>
        <v>310.48510638297864</v>
      </c>
      <c r="P27" s="13">
        <f t="shared" si="33"/>
        <v>817.79243971631195</v>
      </c>
      <c r="Q27" s="13">
        <f t="shared" si="34"/>
        <v>727.07000638297859</v>
      </c>
      <c r="R27" s="7">
        <f t="shared" si="35"/>
        <v>100</v>
      </c>
      <c r="S27" s="41">
        <f t="shared" si="36"/>
        <v>5.5637589430129388</v>
      </c>
      <c r="T27" s="41">
        <f t="shared" si="37"/>
        <v>1.5733413567787504</v>
      </c>
      <c r="U27" s="7">
        <f t="shared" si="38"/>
        <v>17.973460213545316</v>
      </c>
      <c r="V27" s="7">
        <f t="shared" si="39"/>
        <v>15.979560579845684</v>
      </c>
      <c r="W27" s="27"/>
      <c r="X27" s="28"/>
      <c r="AH27" s="15"/>
      <c r="AI27" s="11"/>
      <c r="AJ27" s="11"/>
      <c r="AK27" s="11"/>
      <c r="AL27" s="7"/>
      <c r="AP27" s="18">
        <f>_xlfn.PERCENTILE.EXC(AP2:AP26,0.9)</f>
        <v>1539.3589743589744</v>
      </c>
      <c r="AQ27" s="18" t="s">
        <v>61</v>
      </c>
      <c r="AU27" s="7">
        <v>234</v>
      </c>
    </row>
    <row r="28" spans="1:48" x14ac:dyDescent="0.25">
      <c r="B28" t="s">
        <v>62</v>
      </c>
      <c r="C28" s="13">
        <v>849.5</v>
      </c>
      <c r="D28" s="13">
        <f t="shared" si="29"/>
        <v>656.6635</v>
      </c>
      <c r="E28" s="7">
        <v>1820.3333333333333</v>
      </c>
      <c r="F28" s="7">
        <v>3761.6666666666665</v>
      </c>
      <c r="G28" s="11">
        <v>3.4333333333333336</v>
      </c>
      <c r="H28" s="12">
        <v>40</v>
      </c>
      <c r="I28" s="12">
        <f t="shared" si="30"/>
        <v>111.93056666666665</v>
      </c>
      <c r="J28" s="11">
        <v>8.2333333333333343</v>
      </c>
      <c r="K28" s="11">
        <v>11.533333333333331</v>
      </c>
      <c r="L28" s="13">
        <f>'[2]CP WW characteristics'!Y5</f>
        <v>317.16666666666669</v>
      </c>
      <c r="M28" s="13">
        <f t="shared" si="31"/>
        <v>168.09833333333336</v>
      </c>
      <c r="N28" s="13">
        <f>'[2]CP WW characteristics'!AA5</f>
        <v>806.24113475177307</v>
      </c>
      <c r="O28" s="13">
        <f t="shared" si="32"/>
        <v>357.97106382978723</v>
      </c>
      <c r="P28" s="13">
        <f t="shared" si="33"/>
        <v>1182.7328971631205</v>
      </c>
      <c r="Q28" s="13">
        <f t="shared" si="34"/>
        <v>1126.565130496454</v>
      </c>
      <c r="R28" s="7">
        <f t="shared" si="35"/>
        <v>100</v>
      </c>
      <c r="S28" s="41">
        <f t="shared" si="36"/>
        <v>3.3819977524885969</v>
      </c>
      <c r="T28" s="41">
        <f t="shared" si="37"/>
        <v>0.97514268530087844</v>
      </c>
      <c r="U28" s="7">
        <f t="shared" si="38"/>
        <v>29.568322429078012</v>
      </c>
      <c r="V28" s="7">
        <f t="shared" si="39"/>
        <v>28.164128262411349</v>
      </c>
      <c r="X28" s="15"/>
      <c r="AH28" s="15"/>
      <c r="AL28" s="7"/>
      <c r="AU28" s="7">
        <v>92</v>
      </c>
    </row>
    <row r="29" spans="1:48" x14ac:dyDescent="0.25">
      <c r="B29" t="s">
        <v>63</v>
      </c>
      <c r="C29" s="13">
        <v>499.5</v>
      </c>
      <c r="D29" s="13">
        <f t="shared" si="29"/>
        <v>386.11349999999999</v>
      </c>
      <c r="E29" s="7">
        <v>2093.3333333333335</v>
      </c>
      <c r="F29" s="7">
        <v>5305</v>
      </c>
      <c r="G29" s="11">
        <v>4.5</v>
      </c>
      <c r="H29" s="12">
        <v>62.333333333333336</v>
      </c>
      <c r="I29" s="12">
        <f t="shared" si="30"/>
        <v>177.02783333333335</v>
      </c>
      <c r="J29" s="11">
        <v>15.266666666666666</v>
      </c>
      <c r="K29" s="11">
        <v>17.533333333333331</v>
      </c>
      <c r="L29" s="13">
        <f>'[2]CP WW characteristics'!Y6</f>
        <v>382.16666666666669</v>
      </c>
      <c r="M29" s="13">
        <f t="shared" si="31"/>
        <v>202.54833333333335</v>
      </c>
      <c r="N29" s="13">
        <f>'[2]CP WW characteristics'!AA6</f>
        <v>1597.9487179487178</v>
      </c>
      <c r="O29" s="13">
        <f t="shared" si="32"/>
        <v>709.48923076923074</v>
      </c>
      <c r="P29" s="13">
        <f t="shared" si="33"/>
        <v>1298.1510641025641</v>
      </c>
      <c r="Q29" s="13">
        <f t="shared" si="34"/>
        <v>1272.630564102564</v>
      </c>
      <c r="R29" s="7">
        <f t="shared" si="35"/>
        <v>100</v>
      </c>
      <c r="S29" s="41">
        <f t="shared" si="36"/>
        <v>4.8017010544474292</v>
      </c>
      <c r="T29" s="41">
        <f t="shared" si="37"/>
        <v>1.3506389062242496</v>
      </c>
      <c r="U29" s="7">
        <f t="shared" si="38"/>
        <v>20.825952900041134</v>
      </c>
      <c r="V29" s="7">
        <f t="shared" si="39"/>
        <v>20.416533113944876</v>
      </c>
      <c r="AH29" s="15"/>
      <c r="AI29" s="11"/>
      <c r="AJ29" s="11"/>
      <c r="AL29" s="7"/>
      <c r="AU29" s="18">
        <f>_xlfn.PERCENTILE.INC(AU2:AU28,0.85)</f>
        <v>688.25</v>
      </c>
      <c r="AV29" s="29">
        <v>0.85</v>
      </c>
    </row>
    <row r="30" spans="1:48" x14ac:dyDescent="0.25">
      <c r="B30" t="s">
        <v>64</v>
      </c>
      <c r="C30" s="13">
        <v>155.66666666666666</v>
      </c>
      <c r="D30" s="13">
        <f t="shared" si="29"/>
        <v>120.33033333333333</v>
      </c>
      <c r="E30" s="7">
        <v>717.33333333333337</v>
      </c>
      <c r="F30" s="7">
        <v>3484</v>
      </c>
      <c r="G30" s="11">
        <v>2.95</v>
      </c>
      <c r="H30" s="12">
        <v>49</v>
      </c>
      <c r="I30" s="12">
        <f t="shared" si="30"/>
        <v>140.95904999999999</v>
      </c>
      <c r="J30" s="11">
        <v>11.35</v>
      </c>
      <c r="K30" s="11">
        <v>13.55</v>
      </c>
      <c r="L30" s="13">
        <f>'[2]CP WW characteristics'!Y7</f>
        <v>365.23333333333329</v>
      </c>
      <c r="M30" s="13">
        <f t="shared" si="31"/>
        <v>193.57366666666667</v>
      </c>
      <c r="N30" s="13"/>
      <c r="O30" s="13"/>
      <c r="P30" s="13"/>
      <c r="Q30" s="13"/>
      <c r="R30" s="7"/>
      <c r="S30" s="41"/>
      <c r="T30" s="41"/>
      <c r="U30" s="7"/>
      <c r="V30" s="7"/>
      <c r="AH30" s="15"/>
      <c r="AI30" s="7"/>
      <c r="AK30" s="7"/>
      <c r="AL30" s="7"/>
    </row>
    <row r="31" spans="1:48" x14ac:dyDescent="0.25">
      <c r="B31" t="s">
        <v>65</v>
      </c>
      <c r="C31" s="13">
        <v>234</v>
      </c>
      <c r="D31" s="13">
        <f t="shared" si="29"/>
        <v>180.88200000000001</v>
      </c>
      <c r="E31" s="7">
        <v>3646.6666666666665</v>
      </c>
      <c r="F31" s="7">
        <v>4951.666666666667</v>
      </c>
      <c r="G31" s="11">
        <v>2.0333333333333332</v>
      </c>
      <c r="H31" s="12">
        <v>40.333333333333336</v>
      </c>
      <c r="I31" s="12">
        <f t="shared" si="30"/>
        <v>117.23630000000001</v>
      </c>
      <c r="J31" s="11">
        <v>10</v>
      </c>
      <c r="K31" s="11">
        <v>12.666666666666666</v>
      </c>
      <c r="L31" s="13">
        <f>'[2]CP WW characteristics'!Y8</f>
        <v>542.5454545454545</v>
      </c>
      <c r="M31" s="13">
        <f t="shared" si="31"/>
        <v>287.54909090909092</v>
      </c>
      <c r="N31" s="33">
        <f>'[2]CP WW characteristics'!AA8</f>
        <v>3996.7320261437908</v>
      </c>
      <c r="O31" s="13">
        <f t="shared" si="32"/>
        <v>1774.5490196078431</v>
      </c>
      <c r="P31" s="13">
        <f t="shared" si="33"/>
        <v>2242.980110516934</v>
      </c>
      <c r="Q31" s="13">
        <f t="shared" si="34"/>
        <v>2072.6673196078432</v>
      </c>
      <c r="R31" s="7">
        <f t="shared" si="35"/>
        <v>100</v>
      </c>
      <c r="S31" s="41">
        <f t="shared" si="36"/>
        <v>1.7982028973069142</v>
      </c>
      <c r="T31" s="41">
        <f t="shared" si="37"/>
        <v>0.56472487684018791</v>
      </c>
      <c r="U31" s="7">
        <f t="shared" si="38"/>
        <v>55.611077120254556</v>
      </c>
      <c r="V31" s="7">
        <f t="shared" si="39"/>
        <v>51.388445940690325</v>
      </c>
      <c r="AH31" s="15"/>
      <c r="AI31" s="11"/>
      <c r="AJ31" s="11"/>
      <c r="AL31" s="7"/>
    </row>
    <row r="32" spans="1:48" x14ac:dyDescent="0.25">
      <c r="B32" t="s">
        <v>66</v>
      </c>
      <c r="C32" s="13">
        <v>92</v>
      </c>
      <c r="D32" s="13">
        <f t="shared" si="29"/>
        <v>71.116</v>
      </c>
      <c r="E32" s="7">
        <v>1148.3333333333333</v>
      </c>
      <c r="F32" s="7">
        <v>2305</v>
      </c>
      <c r="G32" s="11">
        <v>1.2</v>
      </c>
      <c r="H32" s="12">
        <v>32</v>
      </c>
      <c r="I32" s="12">
        <f t="shared" si="30"/>
        <v>94.278800000000004</v>
      </c>
      <c r="J32" s="11">
        <v>4.5999999999999996</v>
      </c>
      <c r="K32" s="11">
        <v>8.8333333333333339</v>
      </c>
      <c r="L32" s="13">
        <f>'[2]CP WW characteristics'!Y9</f>
        <v>247.69696969696972</v>
      </c>
      <c r="M32" s="13">
        <f t="shared" si="31"/>
        <v>131.27939393939397</v>
      </c>
      <c r="N32" s="13">
        <f>'[2]CP WW characteristics'!AA9</f>
        <v>1305</v>
      </c>
      <c r="O32" s="13">
        <f t="shared" si="32"/>
        <v>579.41999999999996</v>
      </c>
      <c r="P32" s="13">
        <f t="shared" si="33"/>
        <v>781.81539393939397</v>
      </c>
      <c r="Q32" s="13">
        <f t="shared" si="34"/>
        <v>744.81479999999999</v>
      </c>
      <c r="R32" s="7">
        <f t="shared" si="35"/>
        <v>100</v>
      </c>
      <c r="S32" s="41">
        <f t="shared" si="36"/>
        <v>4.093037851142725</v>
      </c>
      <c r="T32" s="41">
        <f t="shared" si="37"/>
        <v>1.1298489901591897</v>
      </c>
      <c r="U32" s="7">
        <f t="shared" si="38"/>
        <v>24.431731060606062</v>
      </c>
      <c r="V32" s="7">
        <f t="shared" si="39"/>
        <v>23.2754625</v>
      </c>
      <c r="AH32" s="15"/>
      <c r="AI32" s="7"/>
      <c r="AK32" s="7"/>
      <c r="AL32" s="7"/>
    </row>
    <row r="33" spans="1:38" x14ac:dyDescent="0.25">
      <c r="A33" s="32" t="s">
        <v>68</v>
      </c>
      <c r="C33" s="34">
        <f>AVERAGE(C25:C32)</f>
        <v>383.64583333333331</v>
      </c>
      <c r="D33" s="34">
        <f>AVERAGE(D25:D32)</f>
        <v>296.55822916666665</v>
      </c>
      <c r="E33" s="32"/>
      <c r="F33" s="32">
        <f>AVERAGE(F25:F32)</f>
        <v>4024.6666666666665</v>
      </c>
      <c r="G33" s="36"/>
      <c r="H33" s="37">
        <f>AVERAGE(H25:H32)</f>
        <v>47.8125</v>
      </c>
      <c r="I33" s="37"/>
      <c r="J33" s="36"/>
      <c r="K33" s="36">
        <f t="shared" ref="K33:P33" si="40">AVERAGE(K25:K32)</f>
        <v>13.30625</v>
      </c>
      <c r="L33" s="34">
        <f t="shared" si="40"/>
        <v>433.91363636363633</v>
      </c>
      <c r="M33" s="34">
        <f t="shared" si="40"/>
        <v>229.97422727272726</v>
      </c>
      <c r="N33" s="34">
        <f t="shared" si="40"/>
        <v>1459.8733383151407</v>
      </c>
      <c r="O33" s="34">
        <f t="shared" si="40"/>
        <v>648.18376221192227</v>
      </c>
      <c r="P33" s="34">
        <f t="shared" si="40"/>
        <v>1205.0917124283728</v>
      </c>
      <c r="Q33" s="34"/>
      <c r="R33" s="24">
        <f>AVERAGE(R25:R32)</f>
        <v>100</v>
      </c>
      <c r="S33" s="30">
        <f t="shared" ref="S33" si="41">AVERAGE(S25:S32)</f>
        <v>4.3337917398887882</v>
      </c>
      <c r="T33" s="30">
        <f t="shared" ref="T33" si="42">AVERAGE(T25:T32)</f>
        <v>1.1973729265659701</v>
      </c>
      <c r="U33" s="24">
        <f t="shared" ref="U33:V33" si="43">AVERAGE(U25:U32)</f>
        <v>26.560171993063943</v>
      </c>
      <c r="V33" s="24">
        <f t="shared" si="43"/>
        <v>24.423145679053668</v>
      </c>
      <c r="AI33" s="11"/>
      <c r="AJ33" s="11"/>
      <c r="AL33" s="7"/>
    </row>
    <row r="34" spans="1:38" x14ac:dyDescent="0.25">
      <c r="A34" s="32" t="s">
        <v>84</v>
      </c>
      <c r="C34" s="34">
        <f>_xlfn.STDEV.S(C25:C32)</f>
        <v>245.2141506167587</v>
      </c>
      <c r="D34" s="34">
        <f>_xlfn.STDEV.S(D25:D32)</f>
        <v>189.55053842675446</v>
      </c>
      <c r="E34" s="32"/>
      <c r="F34" s="34">
        <f>_xlfn.STDEV.S(F25:F32)</f>
        <v>929.88560484354252</v>
      </c>
      <c r="G34" s="36"/>
      <c r="H34" s="37"/>
      <c r="I34" s="37"/>
      <c r="J34" s="36"/>
      <c r="K34" s="36"/>
      <c r="L34" s="34"/>
      <c r="M34" s="34">
        <f>_xlfn.STDEV.S(M25:M32)</f>
        <v>71.718113059362494</v>
      </c>
      <c r="N34" s="34"/>
      <c r="O34" s="34">
        <f>_xlfn.STDEV.S(O25:O32)</f>
        <v>515.7616944028739</v>
      </c>
      <c r="P34" s="34">
        <f>_xlfn.STDEV.S(P25:P32)</f>
        <v>494.44068125072755</v>
      </c>
      <c r="Q34" s="34"/>
      <c r="R34" s="24"/>
      <c r="S34" s="172">
        <f>_xlfn.STDEV.S(S25:S32)</f>
        <v>1.3765173281807461</v>
      </c>
      <c r="T34" s="172">
        <f>_xlfn.STDEV.S(T25:T32)</f>
        <v>0.34086989934346823</v>
      </c>
      <c r="U34" s="173">
        <f>_xlfn.STDEV.S(U25:U32)</f>
        <v>13.467417313707633</v>
      </c>
      <c r="V34" s="173">
        <f>_xlfn.STDEV.S(V25:V32)</f>
        <v>12.754991315234264</v>
      </c>
      <c r="AI34" s="11"/>
      <c r="AJ34" s="11"/>
      <c r="AL34" s="7"/>
    </row>
    <row r="35" spans="1:38" x14ac:dyDescent="0.25">
      <c r="C35" s="39"/>
      <c r="D35" s="39"/>
      <c r="E35" s="32"/>
      <c r="F35" s="32"/>
      <c r="G35" s="32"/>
      <c r="H35" s="39"/>
      <c r="I35" s="39"/>
      <c r="J35" s="32"/>
      <c r="K35" s="32"/>
      <c r="L35" s="39"/>
      <c r="M35" s="39"/>
      <c r="N35" s="100">
        <f>AVERAGE(N25:N30,N32)</f>
        <v>1037.0635570103657</v>
      </c>
      <c r="O35" s="100"/>
      <c r="P35" s="100"/>
      <c r="Q35" s="100"/>
      <c r="R35" s="40" t="s">
        <v>69</v>
      </c>
      <c r="T35" s="32"/>
      <c r="U35" s="18"/>
      <c r="V35" s="18"/>
    </row>
    <row r="36" spans="1:38" s="47" customFormat="1" ht="18.75" x14ac:dyDescent="0.3">
      <c r="A36" s="46" t="s">
        <v>67</v>
      </c>
      <c r="C36" s="53">
        <f>AVERAGE(C3:C10,C14:C21,C25:C32)</f>
        <v>439.3055555555556</v>
      </c>
      <c r="D36" s="53"/>
      <c r="E36" s="52">
        <f t="shared" ref="E36:N36" si="44">AVERAGE(E3:E10,E14:E21,E25:E32)</f>
        <v>1597.8472222222226</v>
      </c>
      <c r="F36" s="52">
        <f t="shared" si="44"/>
        <v>3187.8611111111113</v>
      </c>
      <c r="G36" s="48">
        <f t="shared" si="44"/>
        <v>2.6536231884057977</v>
      </c>
      <c r="H36" s="53">
        <f t="shared" si="44"/>
        <v>45.215277777777779</v>
      </c>
      <c r="I36" s="53"/>
      <c r="J36" s="48">
        <f t="shared" si="44"/>
        <v>8.1006944444444429</v>
      </c>
      <c r="K36" s="48">
        <f t="shared" si="44"/>
        <v>12.295138888888888</v>
      </c>
      <c r="L36" s="53">
        <f t="shared" si="44"/>
        <v>258.63560606060611</v>
      </c>
      <c r="M36" s="53"/>
      <c r="N36" s="53">
        <f t="shared" si="44"/>
        <v>838.85836800240543</v>
      </c>
      <c r="O36" s="53"/>
      <c r="P36" s="53"/>
      <c r="Q36" s="53"/>
      <c r="R36" s="52">
        <f>AVERAGE(R3:R10,R14:R21,R25:R32)</f>
        <v>100</v>
      </c>
      <c r="S36" s="101">
        <f t="shared" ref="S36:T36" si="45">AVERAGE(S3:S10,S14:S21,S25:S32)</f>
        <v>5.9538751237440408</v>
      </c>
      <c r="T36" s="101">
        <f t="shared" si="45"/>
        <v>1.5950924915632378</v>
      </c>
      <c r="U36" s="52">
        <f t="shared" ref="U36" si="46">AVERAGE(U3:U10,U14:U21,U25:U32)</f>
        <v>19.269101033313984</v>
      </c>
      <c r="V36" s="52">
        <f t="shared" ref="V36" si="47">AVERAGE(V3:V10,V14:V21,V25:V32)</f>
        <v>19.153084766551576</v>
      </c>
    </row>
    <row r="37" spans="1:38" s="47" customFormat="1" ht="18.75" x14ac:dyDescent="0.3">
      <c r="A37" s="50" t="s">
        <v>70</v>
      </c>
      <c r="C37" s="54">
        <f t="shared" ref="C37:N37" si="48">_xlfn.STDEV.S(C3:C10,C14:C21,C25:C32)</f>
        <v>271.75343002633633</v>
      </c>
      <c r="D37" s="54"/>
      <c r="E37" s="49">
        <f t="shared" si="48"/>
        <v>910.55022904037207</v>
      </c>
      <c r="F37" s="49">
        <f t="shared" si="48"/>
        <v>1192.3848587468558</v>
      </c>
      <c r="G37" s="51">
        <f t="shared" si="48"/>
        <v>1.5517988626574408</v>
      </c>
      <c r="H37" s="54">
        <f t="shared" si="48"/>
        <v>14.087072153284803</v>
      </c>
      <c r="I37" s="54"/>
      <c r="J37" s="51">
        <f t="shared" si="48"/>
        <v>3.283178761780047</v>
      </c>
      <c r="K37" s="51">
        <f t="shared" si="48"/>
        <v>5.227085902585805</v>
      </c>
      <c r="L37" s="54">
        <f t="shared" si="48"/>
        <v>168.71507535041738</v>
      </c>
      <c r="M37" s="54"/>
      <c r="N37" s="54">
        <f t="shared" si="48"/>
        <v>780.46066093795673</v>
      </c>
      <c r="O37" s="54"/>
      <c r="P37" s="54"/>
      <c r="Q37" s="54"/>
      <c r="R37" s="49"/>
      <c r="S37" s="152">
        <f>_xlfn.STDEV.S(S3:S10,S14:S21,S25:S32)</f>
        <v>1.9434460272319432</v>
      </c>
      <c r="T37" s="152">
        <f>_xlfn.STDEV.S(T3:T10,T14:T21,T25:T32)</f>
        <v>0.76711089320943104</v>
      </c>
      <c r="U37" s="49">
        <f>_xlfn.STDEV.S(U3:U10,U14:U21,U25:U32)</f>
        <v>9.4556465954352316</v>
      </c>
      <c r="V37" s="49">
        <f>_xlfn.STDEV.S(V3:V10,V14:V21,V25:V32)</f>
        <v>8.4470660964454005</v>
      </c>
    </row>
    <row r="38" spans="1:38" x14ac:dyDescent="0.25">
      <c r="E38" s="31"/>
      <c r="H38" s="26"/>
      <c r="I38" s="26"/>
      <c r="R38" t="s">
        <v>71</v>
      </c>
      <c r="S38" s="17">
        <f>MAX(S3:S10,S14:S21,S25:S32)</f>
        <v>9.6134770816977273</v>
      </c>
      <c r="T38" s="17">
        <f>MAX(T3:T10,T14:T21,T25:T32)</f>
        <v>3.8437864338344574</v>
      </c>
      <c r="U38" s="31">
        <f>MAX(U3:U10,U14:U21,U25:U32)</f>
        <v>55.611077120254556</v>
      </c>
      <c r="V38" s="31">
        <f>MAX(V3:V10,V14:V21,V25:V32)</f>
        <v>51.388445940690325</v>
      </c>
    </row>
    <row r="39" spans="1:38" x14ac:dyDescent="0.25">
      <c r="A39" s="19" t="s">
        <v>71</v>
      </c>
      <c r="C39" s="23">
        <f t="shared" ref="C39:N39" si="49">MAX(C3:C10,C14:C21,C25:C32)</f>
        <v>1067</v>
      </c>
      <c r="D39" s="23"/>
      <c r="E39" s="24">
        <f t="shared" si="49"/>
        <v>3646.6666666666665</v>
      </c>
      <c r="F39" s="24">
        <f t="shared" si="49"/>
        <v>5363.333333333333</v>
      </c>
      <c r="G39" s="24">
        <f t="shared" si="49"/>
        <v>7.4</v>
      </c>
      <c r="H39" s="23">
        <f t="shared" si="49"/>
        <v>79.333333333333329</v>
      </c>
      <c r="I39" s="23"/>
      <c r="J39" s="24">
        <f t="shared" si="49"/>
        <v>15.266666666666666</v>
      </c>
      <c r="K39" s="24">
        <f t="shared" si="49"/>
        <v>28.866666666666664</v>
      </c>
      <c r="L39" s="23">
        <f t="shared" si="49"/>
        <v>646.16666666666663</v>
      </c>
      <c r="M39" s="23"/>
      <c r="N39" s="23">
        <f t="shared" si="49"/>
        <v>3996.7320261437908</v>
      </c>
      <c r="O39" s="23"/>
      <c r="P39" s="23"/>
      <c r="Q39" s="23"/>
      <c r="R39" t="s">
        <v>72</v>
      </c>
      <c r="S39" s="17">
        <f>MIN(S3:S10,S14:S21,S25:S32)</f>
        <v>1.7982028973069142</v>
      </c>
      <c r="T39" s="17">
        <f>MIN(T3:T10,T14:T21,T25:T32)</f>
        <v>0.56472487684018791</v>
      </c>
      <c r="U39" s="31">
        <f>MIN(U3:U10,U14:U21,U25:U32)</f>
        <v>10.402063597819504</v>
      </c>
      <c r="V39" s="31">
        <f>MIN(V3:V10,V14:V21,V25:V32)</f>
        <v>10.409691461267604</v>
      </c>
    </row>
    <row r="40" spans="1:38" x14ac:dyDescent="0.25">
      <c r="A40" s="19" t="s">
        <v>72</v>
      </c>
      <c r="C40" s="23">
        <f t="shared" ref="C40:N40" si="50">MIN(C3:C10,C14:C21,C25:C32)</f>
        <v>92</v>
      </c>
      <c r="D40" s="23"/>
      <c r="E40" s="24">
        <f t="shared" si="50"/>
        <v>308.66666666666669</v>
      </c>
      <c r="F40" s="24">
        <f t="shared" si="50"/>
        <v>1250</v>
      </c>
      <c r="G40" s="24">
        <f t="shared" si="50"/>
        <v>0.66666666666666663</v>
      </c>
      <c r="H40" s="23">
        <f t="shared" si="50"/>
        <v>24</v>
      </c>
      <c r="I40" s="23"/>
      <c r="J40" s="24">
        <f t="shared" si="50"/>
        <v>3.7999999999999994</v>
      </c>
      <c r="K40" s="24">
        <f t="shared" si="50"/>
        <v>4.3666666666666663</v>
      </c>
      <c r="L40" s="23">
        <f t="shared" si="50"/>
        <v>23.5</v>
      </c>
      <c r="M40" s="23"/>
      <c r="N40" s="23">
        <f t="shared" si="50"/>
        <v>201.68707482993196</v>
      </c>
      <c r="O40" s="23"/>
      <c r="P40" s="23"/>
      <c r="Q40" s="2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9"/>
  <sheetViews>
    <sheetView topLeftCell="T1" zoomScale="82" zoomScaleNormal="82" workbookViewId="0">
      <pane ySplit="2" topLeftCell="A19" activePane="bottomLeft" state="frozen"/>
      <selection pane="bottomLeft" activeCell="AI15" sqref="AI15"/>
    </sheetView>
  </sheetViews>
  <sheetFormatPr defaultRowHeight="15" x14ac:dyDescent="0.25"/>
  <cols>
    <col min="1" max="1" width="17.5703125" customWidth="1"/>
    <col min="2" max="2" width="12.7109375" customWidth="1"/>
    <col min="7" max="7" width="12.7109375" style="6" customWidth="1"/>
    <col min="13" max="13" width="9.140625" style="6"/>
    <col min="20" max="21" width="9.140625" style="6"/>
    <col min="26" max="26" width="14.42578125" customWidth="1"/>
    <col min="27" max="27" width="10" customWidth="1"/>
    <col min="28" max="28" width="10.42578125" customWidth="1"/>
    <col min="29" max="29" width="8.85546875" customWidth="1"/>
    <col min="30" max="34" width="9.140625" customWidth="1"/>
    <col min="36" max="36" width="15.5703125" customWidth="1"/>
    <col min="37" max="37" width="9.85546875" customWidth="1"/>
    <col min="38" max="38" width="10.85546875" customWidth="1"/>
    <col min="39" max="39" width="11.42578125" customWidth="1"/>
    <col min="42" max="42" width="16" customWidth="1"/>
    <col min="59" max="59" width="13.7109375" customWidth="1"/>
  </cols>
  <sheetData>
    <row r="1" spans="1:61" ht="75.75" thickBot="1" x14ac:dyDescent="0.3">
      <c r="B1" s="43" t="s">
        <v>0</v>
      </c>
      <c r="C1" s="44" t="s">
        <v>1</v>
      </c>
      <c r="D1" s="42" t="s">
        <v>2</v>
      </c>
      <c r="E1" s="42" t="s">
        <v>3</v>
      </c>
      <c r="F1" s="42" t="s">
        <v>4</v>
      </c>
      <c r="G1" s="45" t="s">
        <v>5</v>
      </c>
      <c r="H1" s="42" t="s">
        <v>6</v>
      </c>
      <c r="I1" s="42" t="s">
        <v>7</v>
      </c>
      <c r="J1" s="42" t="s">
        <v>8</v>
      </c>
      <c r="K1" s="42" t="s">
        <v>9</v>
      </c>
      <c r="L1" s="42" t="s">
        <v>10</v>
      </c>
      <c r="M1" s="45" t="s">
        <v>11</v>
      </c>
      <c r="N1" s="42" t="s">
        <v>12</v>
      </c>
      <c r="O1" s="42" t="s">
        <v>13</v>
      </c>
      <c r="P1" s="183" t="s">
        <v>14</v>
      </c>
      <c r="Q1" s="183"/>
      <c r="R1" s="183"/>
      <c r="S1" s="42" t="s">
        <v>17</v>
      </c>
      <c r="T1" s="45" t="s">
        <v>15</v>
      </c>
      <c r="U1" s="45" t="s">
        <v>16</v>
      </c>
      <c r="V1" s="97" t="s">
        <v>138</v>
      </c>
      <c r="W1" s="98" t="s">
        <v>139</v>
      </c>
      <c r="X1" s="99" t="s">
        <v>140</v>
      </c>
      <c r="Y1" s="96" t="s">
        <v>141</v>
      </c>
      <c r="Z1" s="96" t="s">
        <v>142</v>
      </c>
      <c r="AA1" s="96" t="s">
        <v>143</v>
      </c>
      <c r="AB1" s="174" t="s">
        <v>263</v>
      </c>
      <c r="AC1" s="96" t="s">
        <v>234</v>
      </c>
      <c r="AD1" s="96" t="s">
        <v>235</v>
      </c>
      <c r="AE1" s="96" t="s">
        <v>236</v>
      </c>
      <c r="AF1" s="96" t="s">
        <v>272</v>
      </c>
      <c r="AG1" s="96" t="s">
        <v>274</v>
      </c>
      <c r="AH1" s="96" t="s">
        <v>275</v>
      </c>
      <c r="AI1" s="96" t="s">
        <v>276</v>
      </c>
      <c r="BD1" s="5" t="s">
        <v>18</v>
      </c>
      <c r="BI1" s="5" t="s">
        <v>19</v>
      </c>
    </row>
    <row r="2" spans="1:61" ht="60" x14ac:dyDescent="0.25">
      <c r="A2" s="8"/>
      <c r="B2" s="8"/>
      <c r="C2" s="2"/>
      <c r="D2" s="3"/>
      <c r="E2" s="3"/>
      <c r="F2" s="3"/>
      <c r="G2" s="4"/>
      <c r="H2" s="3"/>
      <c r="I2" s="3"/>
      <c r="J2" s="3"/>
      <c r="K2" s="3"/>
      <c r="L2" s="3"/>
      <c r="M2" s="4"/>
      <c r="N2" s="3"/>
      <c r="O2" s="3"/>
      <c r="P2" s="3" t="s">
        <v>20</v>
      </c>
      <c r="Q2" s="3" t="s">
        <v>21</v>
      </c>
      <c r="R2" s="3" t="s">
        <v>22</v>
      </c>
      <c r="S2" s="3"/>
      <c r="T2" s="4"/>
      <c r="U2" s="4"/>
      <c r="V2" s="3"/>
      <c r="X2" s="3"/>
      <c r="Y2" s="3"/>
      <c r="Z2" s="3"/>
      <c r="AJ2" s="5" t="s">
        <v>262</v>
      </c>
      <c r="AK2" s="184" t="s">
        <v>73</v>
      </c>
      <c r="AL2" s="184"/>
      <c r="AM2" s="184" t="s">
        <v>147</v>
      </c>
      <c r="AN2" s="184"/>
      <c r="AO2" t="s">
        <v>103</v>
      </c>
      <c r="BD2" s="7">
        <v>905.12820512820508</v>
      </c>
      <c r="BF2" s="9" t="s">
        <v>23</v>
      </c>
      <c r="BG2" s="9"/>
      <c r="BI2" s="7">
        <v>1067</v>
      </c>
    </row>
    <row r="3" spans="1:61" x14ac:dyDescent="0.25">
      <c r="A3" s="10" t="s">
        <v>24</v>
      </c>
      <c r="B3" s="1" t="s">
        <v>25</v>
      </c>
      <c r="C3" s="1">
        <v>46.1</v>
      </c>
      <c r="D3">
        <v>8.67</v>
      </c>
      <c r="E3">
        <v>7.22</v>
      </c>
      <c r="F3">
        <v>579</v>
      </c>
      <c r="G3" s="13">
        <v>456.66666666666669</v>
      </c>
      <c r="H3">
        <v>1.48</v>
      </c>
      <c r="I3" s="41">
        <v>0.74371859296482412</v>
      </c>
      <c r="J3">
        <v>530</v>
      </c>
      <c r="K3">
        <v>1981.6666666666667</v>
      </c>
      <c r="L3" s="11">
        <v>0.80000000000000016</v>
      </c>
      <c r="M3" s="12">
        <v>26</v>
      </c>
      <c r="N3" s="11">
        <v>3.7999999999999994</v>
      </c>
      <c r="O3" s="11">
        <v>4.3666666666666663</v>
      </c>
      <c r="P3" s="11">
        <v>121.33333333333333</v>
      </c>
      <c r="Q3" s="11">
        <v>6.166666666666667</v>
      </c>
      <c r="R3" s="11">
        <v>0.55666666666666675</v>
      </c>
      <c r="S3" s="7">
        <v>127.5</v>
      </c>
      <c r="T3" s="13">
        <f>'[2]SC SINK WW characteristics'!AG2</f>
        <v>244.83333333333334</v>
      </c>
      <c r="U3" s="13">
        <f>'[2]SC SINK WW characteristics'!U3</f>
        <v>311.79487179487182</v>
      </c>
      <c r="V3" s="7">
        <f>100*K3/K3</f>
        <v>100</v>
      </c>
      <c r="W3" s="41">
        <f>100*M3/K3</f>
        <v>1.3120269133725819</v>
      </c>
      <c r="X3" s="41">
        <f>100*O3/K3</f>
        <v>0.22035323801513876</v>
      </c>
      <c r="Y3" s="7">
        <f>100*G3*2.9/K3</f>
        <v>66.829268292682926</v>
      </c>
      <c r="Z3" s="7">
        <f>100*U3*1.1/K3</f>
        <v>17.307368829656468</v>
      </c>
      <c r="AA3" s="11">
        <f>100*T3*1.5/K3</f>
        <v>18.53238015138772</v>
      </c>
      <c r="AB3" s="7">
        <f>(G3*0.77)+(U3*0.42)+(T3*0.53)</f>
        <v>612.34884615384624</v>
      </c>
      <c r="AC3" s="7">
        <f>AB3/M3</f>
        <v>23.551878698224854</v>
      </c>
      <c r="AD3" s="11">
        <f>G3/U3</f>
        <v>1.4646381578947367</v>
      </c>
      <c r="AE3" s="11">
        <f>G3/T3</f>
        <v>1.865214431586113</v>
      </c>
      <c r="AF3" s="11">
        <f>100*G3/K3</f>
        <v>23.044575273338943</v>
      </c>
      <c r="AG3" s="11"/>
      <c r="AH3" s="11"/>
      <c r="AJ3" s="11" t="s">
        <v>120</v>
      </c>
      <c r="AK3" s="7">
        <f>Y11</f>
        <v>67.12735028567738</v>
      </c>
      <c r="AM3" s="7">
        <f>Y22</f>
        <v>31.657806132330816</v>
      </c>
      <c r="AO3" s="7">
        <f>Y33</f>
        <v>27.135783520415529</v>
      </c>
      <c r="AP3" s="7"/>
      <c r="AQ3" s="7"/>
      <c r="AR3" s="7"/>
      <c r="BD3" s="7">
        <v>523.84615384615392</v>
      </c>
      <c r="BF3" s="14"/>
      <c r="BG3" s="14"/>
      <c r="BI3" s="7">
        <v>252.66666666666666</v>
      </c>
    </row>
    <row r="4" spans="1:61" x14ac:dyDescent="0.25">
      <c r="A4" s="43" t="s">
        <v>73</v>
      </c>
      <c r="B4" s="1" t="s">
        <v>26</v>
      </c>
      <c r="C4" s="1">
        <v>40.1</v>
      </c>
      <c r="D4">
        <v>7.78</v>
      </c>
      <c r="E4">
        <v>7.04</v>
      </c>
      <c r="F4">
        <v>1791</v>
      </c>
      <c r="G4" s="6">
        <v>1067</v>
      </c>
      <c r="I4" s="41"/>
      <c r="J4" s="7">
        <v>1698.3333333333333</v>
      </c>
      <c r="K4" s="7">
        <v>5363.333333333333</v>
      </c>
      <c r="L4" s="11">
        <v>3.6</v>
      </c>
      <c r="M4" s="12">
        <v>64.666666666666671</v>
      </c>
      <c r="N4" s="11">
        <v>12.533333333333333</v>
      </c>
      <c r="O4" s="11">
        <v>15.4</v>
      </c>
      <c r="P4" s="11">
        <v>625</v>
      </c>
      <c r="Q4" s="11">
        <v>32.200000000000003</v>
      </c>
      <c r="R4" s="11">
        <v>9.3333333333333338E-2</v>
      </c>
      <c r="S4" s="7">
        <v>657.2</v>
      </c>
      <c r="T4" s="13">
        <f>'[2]SC SINK WW characteristics'!AG3</f>
        <v>164.83333333333334</v>
      </c>
      <c r="U4" s="13">
        <f>'[2]SC SINK WW characteristics'!U8</f>
        <v>905.12820512820508</v>
      </c>
      <c r="V4" s="7">
        <f t="shared" ref="V4:V10" si="0">100*K4/K4</f>
        <v>99.999999999999986</v>
      </c>
      <c r="W4" s="41">
        <f t="shared" ref="W4:W10" si="1">100*M4/K4</f>
        <v>1.2057178371659416</v>
      </c>
      <c r="X4" s="41">
        <f t="shared" ref="X4:X10" si="2">100*O4/K4</f>
        <v>0.28713486637663144</v>
      </c>
      <c r="Y4" s="7">
        <f t="shared" ref="Y4:Y10" si="3">100*G4*2.9/K4</f>
        <v>57.693598508390309</v>
      </c>
      <c r="Z4" s="7">
        <f t="shared" ref="Z4:Z10" si="4">100*U4*1.1/K4</f>
        <v>18.563847588086247</v>
      </c>
      <c r="AA4" s="11">
        <f t="shared" ref="AA4:AA10" si="5">100*T4*1.5/K4</f>
        <v>4.6100062150403991</v>
      </c>
      <c r="AB4" s="7">
        <f t="shared" ref="AB4:AB10" si="6">(G4*0.77)+(U4*0.42)+(T4*0.53)</f>
        <v>1289.1055128205128</v>
      </c>
      <c r="AC4" s="7">
        <f t="shared" ref="AC4:AC10" si="7">AB4/M4</f>
        <v>19.93462133227597</v>
      </c>
      <c r="AD4" s="11">
        <f t="shared" ref="AD4:AD10" si="8">G4/U4</f>
        <v>1.1788385269121813</v>
      </c>
      <c r="AE4" s="11">
        <f t="shared" ref="AE4:AE10" si="9">G4/T4</f>
        <v>6.4732052578361978</v>
      </c>
      <c r="AF4" s="11">
        <f t="shared" ref="AF4:AF10" si="10">100*G4/K4</f>
        <v>19.894344313238037</v>
      </c>
      <c r="AG4" s="11"/>
      <c r="AH4" s="11"/>
      <c r="AJ4" s="11" t="s">
        <v>119</v>
      </c>
      <c r="AK4" s="7">
        <f>Z11</f>
        <v>20.516908763310742</v>
      </c>
      <c r="AM4" s="7">
        <f>Z22</f>
        <v>25.224679998323502</v>
      </c>
      <c r="AO4" s="7">
        <f>Z33</f>
        <v>39.283082616118023</v>
      </c>
      <c r="AP4" s="7"/>
      <c r="AQ4" s="7"/>
      <c r="AR4" s="7"/>
      <c r="BD4" s="7">
        <v>201.68707482993196</v>
      </c>
      <c r="BF4" s="14" t="s">
        <v>27</v>
      </c>
      <c r="BG4" s="14">
        <v>843.05236681405142</v>
      </c>
      <c r="BI4" s="7">
        <v>581.33333333333337</v>
      </c>
    </row>
    <row r="5" spans="1:61" ht="35.25" customHeight="1" x14ac:dyDescent="0.25">
      <c r="A5" s="1"/>
      <c r="B5" s="1" t="s">
        <v>28</v>
      </c>
      <c r="C5" s="1">
        <v>40.4</v>
      </c>
      <c r="D5">
        <v>7.79</v>
      </c>
      <c r="E5">
        <v>7.34</v>
      </c>
      <c r="F5">
        <v>217</v>
      </c>
      <c r="G5" s="13">
        <v>252.66666666666666</v>
      </c>
      <c r="H5">
        <v>9.1999999999999993</v>
      </c>
      <c r="I5" s="41">
        <v>4.6231155778894468</v>
      </c>
      <c r="J5" s="7">
        <v>960</v>
      </c>
      <c r="K5" s="7">
        <v>1553.3333333333333</v>
      </c>
      <c r="L5" s="11">
        <v>7.4</v>
      </c>
      <c r="M5" s="12">
        <v>42.333333333333336</v>
      </c>
      <c r="N5" s="11">
        <v>6.0500000000000007</v>
      </c>
      <c r="O5" s="11">
        <v>9.1499999999999986</v>
      </c>
      <c r="P5" s="11">
        <v>816.66666666666663</v>
      </c>
      <c r="Q5" s="11">
        <v>18.266666666666666</v>
      </c>
      <c r="R5" s="11">
        <v>0.15000000000000002</v>
      </c>
      <c r="S5" s="7">
        <v>834.93333333333328</v>
      </c>
      <c r="T5" s="13">
        <f>'[2]SC SINK WW characteristics'!AG4</f>
        <v>23.5</v>
      </c>
      <c r="U5" s="13">
        <f>'[2]SC SINK WW characteristics'!U13</f>
        <v>523.84615384615392</v>
      </c>
      <c r="V5" s="7">
        <f t="shared" si="0"/>
        <v>99.999999999999986</v>
      </c>
      <c r="W5" s="41">
        <f t="shared" si="1"/>
        <v>2.7253218884120178</v>
      </c>
      <c r="X5" s="41">
        <f t="shared" si="2"/>
        <v>0.58905579399141628</v>
      </c>
      <c r="Y5" s="7">
        <f t="shared" si="3"/>
        <v>47.171673819742487</v>
      </c>
      <c r="Z5" s="7">
        <f t="shared" si="4"/>
        <v>37.09640145262464</v>
      </c>
      <c r="AA5" s="11">
        <f t="shared" si="5"/>
        <v>2.2693133047210301</v>
      </c>
      <c r="AB5" s="7">
        <f t="shared" si="6"/>
        <v>427.023717948718</v>
      </c>
      <c r="AC5" s="7">
        <f t="shared" si="7"/>
        <v>10.087174439733495</v>
      </c>
      <c r="AD5" s="11">
        <f t="shared" si="8"/>
        <v>0.48232990699951045</v>
      </c>
      <c r="AE5" s="11">
        <f t="shared" si="9"/>
        <v>10.75177304964539</v>
      </c>
      <c r="AF5" s="11">
        <f t="shared" si="10"/>
        <v>16.266094420600858</v>
      </c>
      <c r="AG5" s="11"/>
      <c r="AH5" s="11"/>
      <c r="AJ5" t="s">
        <v>118</v>
      </c>
      <c r="AK5" s="11">
        <f>AA11</f>
        <v>6.3581832694715086</v>
      </c>
      <c r="AM5" s="102">
        <f>AA22</f>
        <v>13.0607779363111</v>
      </c>
      <c r="AO5" s="11">
        <f>AA33</f>
        <v>16.35749441669557</v>
      </c>
      <c r="BD5" s="7">
        <v>651.75510204081638</v>
      </c>
      <c r="BF5" s="14" t="s">
        <v>29</v>
      </c>
      <c r="BG5" s="14">
        <v>170.19446048967708</v>
      </c>
      <c r="BI5" s="7">
        <v>1041</v>
      </c>
    </row>
    <row r="6" spans="1:61" ht="20.25" customHeight="1" x14ac:dyDescent="0.25">
      <c r="B6" t="s">
        <v>30</v>
      </c>
      <c r="C6">
        <v>35.4</v>
      </c>
      <c r="D6">
        <v>7.99</v>
      </c>
      <c r="E6">
        <v>6.9</v>
      </c>
      <c r="F6">
        <v>1024</v>
      </c>
      <c r="G6" s="13">
        <v>581.33333333333337</v>
      </c>
      <c r="H6">
        <v>3.11</v>
      </c>
      <c r="I6" s="41">
        <v>1.5628140703517588</v>
      </c>
      <c r="J6" s="7">
        <v>1010</v>
      </c>
      <c r="K6" s="7">
        <v>2466.6666666666665</v>
      </c>
      <c r="L6" s="11">
        <v>2.2000000000000002</v>
      </c>
      <c r="M6" s="12">
        <v>34.666666666666664</v>
      </c>
      <c r="N6" s="11">
        <v>5.7</v>
      </c>
      <c r="O6" s="11">
        <v>7.5</v>
      </c>
      <c r="P6" s="11">
        <v>310</v>
      </c>
      <c r="Q6" s="11">
        <v>10.799999999999999</v>
      </c>
      <c r="R6" s="11">
        <v>0.31000000000000005</v>
      </c>
      <c r="S6" s="7">
        <v>320.8</v>
      </c>
      <c r="T6" s="13">
        <f>'[2]SC SINK WW characteristics'!AG5</f>
        <v>43.166666666666664</v>
      </c>
      <c r="U6" s="13">
        <f>'[2]SC SINK WW characteristics'!U18</f>
        <v>201.68707482993196</v>
      </c>
      <c r="V6" s="7">
        <f t="shared" si="0"/>
        <v>100</v>
      </c>
      <c r="W6" s="41">
        <f t="shared" si="1"/>
        <v>1.4054054054054055</v>
      </c>
      <c r="X6" s="41">
        <f t="shared" si="2"/>
        <v>0.30405405405405406</v>
      </c>
      <c r="Y6" s="7">
        <f t="shared" si="3"/>
        <v>68.345945945945942</v>
      </c>
      <c r="Z6" s="7">
        <f t="shared" si="4"/>
        <v>8.9941533370104789</v>
      </c>
      <c r="AA6" s="11">
        <f t="shared" si="5"/>
        <v>2.625</v>
      </c>
      <c r="AB6" s="7">
        <f t="shared" si="6"/>
        <v>555.21357142857141</v>
      </c>
      <c r="AC6" s="7">
        <f t="shared" si="7"/>
        <v>16.0157760989011</v>
      </c>
      <c r="AD6" s="11">
        <f t="shared" si="8"/>
        <v>2.882352941176471</v>
      </c>
      <c r="AE6" s="11">
        <f t="shared" si="9"/>
        <v>13.467181467181469</v>
      </c>
      <c r="AF6" s="11">
        <f t="shared" si="10"/>
        <v>23.567567567567568</v>
      </c>
      <c r="AG6" s="11"/>
      <c r="AH6" s="11"/>
      <c r="AJ6" t="s">
        <v>144</v>
      </c>
      <c r="AM6" s="16"/>
      <c r="BD6" s="7">
        <v>960.59863945578229</v>
      </c>
      <c r="BF6" s="14" t="s">
        <v>31</v>
      </c>
      <c r="BG6" s="14">
        <v>675.52294109133004</v>
      </c>
      <c r="BI6" s="7">
        <v>696.5</v>
      </c>
    </row>
    <row r="7" spans="1:61" x14ac:dyDescent="0.25">
      <c r="B7" t="s">
        <v>32</v>
      </c>
      <c r="C7">
        <v>37</v>
      </c>
      <c r="D7">
        <v>7.45</v>
      </c>
      <c r="E7">
        <v>7.26</v>
      </c>
      <c r="F7">
        <v>563</v>
      </c>
      <c r="G7" s="13">
        <v>1041</v>
      </c>
      <c r="H7">
        <v>1.9</v>
      </c>
      <c r="I7" s="41">
        <v>0.95477386934673358</v>
      </c>
      <c r="J7" s="7">
        <v>2035</v>
      </c>
      <c r="K7" s="7">
        <v>3798.3333333333335</v>
      </c>
      <c r="L7" s="11">
        <v>3.0333333333333332</v>
      </c>
      <c r="M7" s="12">
        <v>79.333333333333329</v>
      </c>
      <c r="N7" s="11">
        <v>12.533333333333333</v>
      </c>
      <c r="O7" s="11">
        <v>17.066666666666666</v>
      </c>
      <c r="P7" s="11">
        <v>523.33333333333337</v>
      </c>
      <c r="Q7" s="11">
        <v>39.799999999999997</v>
      </c>
      <c r="R7" s="11"/>
      <c r="S7" s="7">
        <v>563.13333333333333</v>
      </c>
      <c r="T7" s="13">
        <f>'[2]SC SINK WW characteristics'!AG6</f>
        <v>85.166666666666671</v>
      </c>
      <c r="U7" s="13">
        <f>'[2]SC SINK WW characteristics'!U23</f>
        <v>651.75510204081638</v>
      </c>
      <c r="V7" s="7">
        <f t="shared" si="0"/>
        <v>100</v>
      </c>
      <c r="W7" s="41">
        <f t="shared" si="1"/>
        <v>2.0886353663887669</v>
      </c>
      <c r="X7" s="41">
        <f t="shared" si="2"/>
        <v>0.4493198771390961</v>
      </c>
      <c r="Y7" s="7">
        <f t="shared" si="3"/>
        <v>79.479596314172881</v>
      </c>
      <c r="Z7" s="7">
        <f t="shared" si="4"/>
        <v>18.874873512371163</v>
      </c>
      <c r="AA7" s="11">
        <f t="shared" si="5"/>
        <v>3.3633172444054411</v>
      </c>
      <c r="AB7" s="7">
        <f t="shared" si="6"/>
        <v>1120.4454761904763</v>
      </c>
      <c r="AC7" s="7">
        <f t="shared" si="7"/>
        <v>14.123262304921971</v>
      </c>
      <c r="AD7" s="11">
        <f t="shared" si="8"/>
        <v>1.5972257014028055</v>
      </c>
      <c r="AE7" s="11">
        <f t="shared" si="9"/>
        <v>12.223091976516633</v>
      </c>
      <c r="AF7" s="11">
        <f t="shared" si="10"/>
        <v>27.406757349714788</v>
      </c>
      <c r="AG7" s="11"/>
      <c r="AH7" s="11"/>
      <c r="AJ7" t="s">
        <v>145</v>
      </c>
      <c r="AM7" s="16"/>
      <c r="BD7" s="7">
        <v>332.78873239436615</v>
      </c>
      <c r="BF7" s="14" t="s">
        <v>33</v>
      </c>
      <c r="BG7" s="14" t="e">
        <v>#N/A</v>
      </c>
      <c r="BI7" s="7">
        <v>439.66666666666669</v>
      </c>
    </row>
    <row r="8" spans="1:61" x14ac:dyDescent="0.25">
      <c r="B8" t="s">
        <v>34</v>
      </c>
      <c r="C8">
        <v>33.4</v>
      </c>
      <c r="D8">
        <v>7.77</v>
      </c>
      <c r="E8">
        <v>6.8</v>
      </c>
      <c r="F8">
        <v>260</v>
      </c>
      <c r="G8" s="13">
        <v>696.5</v>
      </c>
      <c r="I8" s="41"/>
      <c r="J8" s="7">
        <v>2685</v>
      </c>
      <c r="K8" s="7">
        <v>4078.3333333333335</v>
      </c>
      <c r="L8" s="11">
        <v>2.5333333333333337</v>
      </c>
      <c r="M8" s="12">
        <v>52</v>
      </c>
      <c r="N8" s="11">
        <v>7.4666666666666659</v>
      </c>
      <c r="O8" s="11">
        <v>11.200000000000001</v>
      </c>
      <c r="P8" s="11">
        <v>658.33333333333337</v>
      </c>
      <c r="Q8" s="11">
        <v>20</v>
      </c>
      <c r="R8" s="11"/>
      <c r="S8" s="7">
        <v>678.33333333333337</v>
      </c>
      <c r="T8" s="13">
        <f>'[2]SC SINK WW characteristics'!AG7</f>
        <v>89.833333333333329</v>
      </c>
      <c r="U8" s="13">
        <f>'[2]SC SINK WW characteristics'!U28</f>
        <v>960.59863945578229</v>
      </c>
      <c r="V8" s="7">
        <f t="shared" si="0"/>
        <v>100</v>
      </c>
      <c r="W8" s="41">
        <f t="shared" si="1"/>
        <v>1.2750306497752348</v>
      </c>
      <c r="X8" s="41">
        <f t="shared" si="2"/>
        <v>0.2746219861054352</v>
      </c>
      <c r="Y8" s="7">
        <f t="shared" si="3"/>
        <v>49.526358806702085</v>
      </c>
      <c r="Z8" s="7">
        <f t="shared" si="4"/>
        <v>25.909076503506999</v>
      </c>
      <c r="AA8" s="11">
        <f t="shared" si="5"/>
        <v>3.3040457703310171</v>
      </c>
      <c r="AB8" s="7">
        <f t="shared" si="6"/>
        <v>987.36809523809529</v>
      </c>
      <c r="AC8" s="7">
        <f t="shared" si="7"/>
        <v>18.987847985347987</v>
      </c>
      <c r="AD8" s="11">
        <f t="shared" si="8"/>
        <v>0.72506869299189847</v>
      </c>
      <c r="AE8" s="11">
        <f t="shared" si="9"/>
        <v>7.7532467532467537</v>
      </c>
      <c r="AF8" s="11">
        <f t="shared" si="10"/>
        <v>17.078054760931753</v>
      </c>
      <c r="AG8" s="11"/>
      <c r="AH8" s="11"/>
      <c r="AJ8" t="s">
        <v>146</v>
      </c>
      <c r="AK8" s="7">
        <f>K11</f>
        <v>2886.4583333333335</v>
      </c>
      <c r="AM8" s="16">
        <f>K22</f>
        <v>2652.458333333333</v>
      </c>
      <c r="AO8" s="7">
        <f>K33</f>
        <v>4024.6666666666665</v>
      </c>
      <c r="BD8" s="7">
        <v>273.07042253521126</v>
      </c>
      <c r="BF8" s="14" t="s">
        <v>35</v>
      </c>
      <c r="BG8" s="14">
        <v>798.28277971542741</v>
      </c>
      <c r="BI8" s="7">
        <v>669</v>
      </c>
    </row>
    <row r="9" spans="1:61" x14ac:dyDescent="0.25">
      <c r="B9" t="s">
        <v>36</v>
      </c>
      <c r="C9">
        <v>35.9</v>
      </c>
      <c r="D9">
        <v>7.73</v>
      </c>
      <c r="E9">
        <v>7.17</v>
      </c>
      <c r="G9" s="13">
        <v>439.66666666666669</v>
      </c>
      <c r="H9">
        <v>1.29</v>
      </c>
      <c r="I9" s="41">
        <v>0.64824120603015079</v>
      </c>
      <c r="J9" s="7">
        <v>953.33333333333337</v>
      </c>
      <c r="K9" s="7">
        <v>1481.6666666666667</v>
      </c>
      <c r="L9" s="11"/>
      <c r="M9" s="12">
        <v>30</v>
      </c>
      <c r="N9" s="11">
        <v>3.9</v>
      </c>
      <c r="O9" s="11">
        <v>4.9666666666666668</v>
      </c>
      <c r="P9" s="11"/>
      <c r="Q9" s="11">
        <v>11.899999999999999</v>
      </c>
      <c r="R9" s="11">
        <v>0.33666666666666667</v>
      </c>
      <c r="S9" s="7"/>
      <c r="T9" s="13">
        <f>'[2]SC SINK WW characteristics'!AG8</f>
        <v>65.233333333333334</v>
      </c>
      <c r="U9" s="13">
        <f>'[2]SC SINK WW characteristics'!U33</f>
        <v>332.78873239436615</v>
      </c>
      <c r="V9" s="7">
        <f t="shared" si="0"/>
        <v>100.00000000000001</v>
      </c>
      <c r="W9" s="41">
        <f t="shared" si="1"/>
        <v>2.0247469066366701</v>
      </c>
      <c r="X9" s="41">
        <f t="shared" si="2"/>
        <v>0.33520809898762655</v>
      </c>
      <c r="Y9" s="7">
        <f t="shared" si="3"/>
        <v>86.053993250843646</v>
      </c>
      <c r="Z9" s="7">
        <f t="shared" si="4"/>
        <v>24.706475070897827</v>
      </c>
      <c r="AA9" s="11">
        <f t="shared" si="5"/>
        <v>6.6040494938132728</v>
      </c>
      <c r="AB9" s="7">
        <f t="shared" si="6"/>
        <v>512.88826760563381</v>
      </c>
      <c r="AC9" s="7">
        <f t="shared" si="7"/>
        <v>17.09627558685446</v>
      </c>
      <c r="AD9" s="11">
        <f t="shared" si="8"/>
        <v>1.3211585124992948</v>
      </c>
      <c r="AE9" s="11">
        <f t="shared" si="9"/>
        <v>6.7399080224833927</v>
      </c>
      <c r="AF9" s="11">
        <f t="shared" si="10"/>
        <v>29.673790776152984</v>
      </c>
      <c r="AG9" s="11"/>
      <c r="AH9" s="11"/>
      <c r="BD9" s="7"/>
      <c r="BF9" s="14" t="s">
        <v>37</v>
      </c>
      <c r="BG9" s="14">
        <v>637255.39639018965</v>
      </c>
      <c r="BI9" s="7">
        <v>112</v>
      </c>
    </row>
    <row r="10" spans="1:61" x14ac:dyDescent="0.25">
      <c r="B10" t="s">
        <v>38</v>
      </c>
      <c r="C10">
        <v>31</v>
      </c>
      <c r="D10">
        <v>8.01</v>
      </c>
      <c r="E10">
        <v>7.11</v>
      </c>
      <c r="F10">
        <v>830</v>
      </c>
      <c r="G10" s="13">
        <v>669</v>
      </c>
      <c r="H10">
        <v>2.76</v>
      </c>
      <c r="I10" s="41">
        <v>1.3869346733668342</v>
      </c>
      <c r="J10" s="7">
        <v>705</v>
      </c>
      <c r="K10" s="7">
        <v>2368.3333333333335</v>
      </c>
      <c r="L10" s="11">
        <v>1.8</v>
      </c>
      <c r="M10" s="12">
        <v>32</v>
      </c>
      <c r="N10" s="11">
        <v>4.6000000000000005</v>
      </c>
      <c r="O10" s="11">
        <v>5.6000000000000005</v>
      </c>
      <c r="P10" s="11"/>
      <c r="Q10" s="11">
        <v>12.440000000000001</v>
      </c>
      <c r="R10" s="11">
        <v>0.30249999999999999</v>
      </c>
      <c r="S10" s="7"/>
      <c r="T10" s="13">
        <f>'[2]SC SINK WW characteristics'!AG9</f>
        <v>150.9</v>
      </c>
      <c r="U10" s="13">
        <f>'[2]SC SINK WW characteristics'!U41</f>
        <v>273.07042253521126</v>
      </c>
      <c r="V10" s="7">
        <f t="shared" si="0"/>
        <v>100</v>
      </c>
      <c r="W10" s="41">
        <f t="shared" si="1"/>
        <v>1.3511611541168191</v>
      </c>
      <c r="X10" s="41">
        <f t="shared" si="2"/>
        <v>0.23645320197044334</v>
      </c>
      <c r="Y10" s="7">
        <f t="shared" si="3"/>
        <v>81.918367346938766</v>
      </c>
      <c r="Z10" s="7">
        <f t="shared" si="4"/>
        <v>12.68307381233212</v>
      </c>
      <c r="AA10" s="11">
        <f t="shared" si="5"/>
        <v>9.5573539760731876</v>
      </c>
      <c r="AB10" s="7">
        <f t="shared" si="6"/>
        <v>709.7965774647887</v>
      </c>
      <c r="AC10" s="7">
        <f t="shared" si="7"/>
        <v>22.181143045774647</v>
      </c>
      <c r="AD10" s="11">
        <f t="shared" si="8"/>
        <v>2.449917474726635</v>
      </c>
      <c r="AE10" s="11">
        <f t="shared" si="9"/>
        <v>4.4333996023856859</v>
      </c>
      <c r="AF10" s="11">
        <f t="shared" si="10"/>
        <v>28.247712878254749</v>
      </c>
      <c r="AG10" s="11"/>
      <c r="AH10" s="11"/>
      <c r="AJ10" t="s">
        <v>188</v>
      </c>
      <c r="BD10" s="7">
        <v>433.25821596244123</v>
      </c>
      <c r="BF10" s="14" t="s">
        <v>39</v>
      </c>
      <c r="BG10" s="14">
        <v>13.989874413227207</v>
      </c>
      <c r="BI10" s="7">
        <v>409.33333333333331</v>
      </c>
    </row>
    <row r="11" spans="1:61" x14ac:dyDescent="0.25">
      <c r="A11" s="32" t="s">
        <v>68</v>
      </c>
      <c r="B11" s="32"/>
      <c r="C11" s="36">
        <f>AVERAGE(C3:C10)</f>
        <v>37.412500000000001</v>
      </c>
      <c r="D11" s="32"/>
      <c r="E11" s="36">
        <f>AVERAGE(E3:E10)</f>
        <v>7.1049999999999995</v>
      </c>
      <c r="F11" s="32"/>
      <c r="G11" s="34">
        <f>AVERAGE(G3:G10)</f>
        <v>650.47916666666674</v>
      </c>
      <c r="H11" s="32"/>
      <c r="I11" s="35">
        <f>AVERAGE(I3:I10)</f>
        <v>1.6532663316582914</v>
      </c>
      <c r="J11" s="38"/>
      <c r="K11" s="38">
        <f>AVERAGE(K3:K10)</f>
        <v>2886.4583333333335</v>
      </c>
      <c r="L11" s="36"/>
      <c r="M11" s="37">
        <f>AVERAGE(M3:M10)</f>
        <v>45.125</v>
      </c>
      <c r="N11" s="36"/>
      <c r="O11" s="36">
        <f t="shared" ref="O11:U11" si="11">AVERAGE(O3:O10)</f>
        <v>9.40625</v>
      </c>
      <c r="P11" s="36">
        <f t="shared" si="11"/>
        <v>509.11111111111114</v>
      </c>
      <c r="Q11" s="36">
        <f t="shared" si="11"/>
        <v>18.946666666666665</v>
      </c>
      <c r="R11" s="36">
        <f t="shared" si="11"/>
        <v>0.29152777777777783</v>
      </c>
      <c r="S11" s="38">
        <f t="shared" si="11"/>
        <v>530.31666666666672</v>
      </c>
      <c r="T11" s="34">
        <f t="shared" si="11"/>
        <v>108.43333333333334</v>
      </c>
      <c r="U11" s="34">
        <f t="shared" si="11"/>
        <v>520.08365025316732</v>
      </c>
      <c r="V11" s="24">
        <f>AVERAGE(V3:V10)</f>
        <v>100</v>
      </c>
      <c r="W11" s="30">
        <f t="shared" ref="W11:AA11" si="12">AVERAGE(W3:W10)</f>
        <v>1.6735057651591796</v>
      </c>
      <c r="X11" s="24">
        <f t="shared" si="12"/>
        <v>0.33702513957998026</v>
      </c>
      <c r="Y11" s="24">
        <f t="shared" si="12"/>
        <v>67.12735028567738</v>
      </c>
      <c r="Z11" s="24">
        <f t="shared" si="12"/>
        <v>20.516908763310742</v>
      </c>
      <c r="AA11" s="21">
        <f t="shared" si="12"/>
        <v>6.3581832694715086</v>
      </c>
      <c r="AB11" s="7"/>
      <c r="AC11" s="7"/>
      <c r="AE11" s="175" t="s">
        <v>273</v>
      </c>
      <c r="AF11" s="176">
        <f>CORREL(G3:G10,K3:K10)</f>
        <v>0.88876852177725674</v>
      </c>
      <c r="AG11" s="176">
        <f>CORREL(U3:U10,K3:K10)</f>
        <v>0.81323784749247385</v>
      </c>
      <c r="AH11" s="176">
        <f>CORREL(T3:T10,K3:K10)</f>
        <v>0.21380821064593228</v>
      </c>
      <c r="AI11" s="176">
        <f>CORREL(M3:M10,K3:K10)</f>
        <v>0.77431286748268147</v>
      </c>
      <c r="AJ11" t="s">
        <v>189</v>
      </c>
      <c r="AK11" s="7">
        <f t="shared" ref="AK11:AK12" si="13">G11</f>
        <v>650.47916666666674</v>
      </c>
      <c r="AM11" s="7">
        <f t="shared" ref="AM11:AM12" si="14">G22</f>
        <v>283.79166666666663</v>
      </c>
      <c r="AO11" s="7">
        <f t="shared" ref="AO11:AO12" si="15">G33</f>
        <v>383.64583333333331</v>
      </c>
      <c r="BD11" s="7">
        <v>702.36619718309851</v>
      </c>
      <c r="BF11" s="14" t="s">
        <v>40</v>
      </c>
      <c r="BG11" s="14">
        <v>3.4746588571220665</v>
      </c>
      <c r="BI11" s="7">
        <v>195.66666666666666</v>
      </c>
    </row>
    <row r="12" spans="1:61" x14ac:dyDescent="0.25">
      <c r="A12" s="32" t="s">
        <v>84</v>
      </c>
      <c r="B12" s="32"/>
      <c r="C12" s="36"/>
      <c r="D12" s="32"/>
      <c r="E12" s="36"/>
      <c r="F12" s="32"/>
      <c r="G12" s="34">
        <f>_xlfn.STDEV.S(G3:G10)</f>
        <v>286.23122295799897</v>
      </c>
      <c r="H12" s="32"/>
      <c r="I12" s="35"/>
      <c r="J12" s="38"/>
      <c r="K12" s="34">
        <f>_xlfn.STDEV.S(K3:K10)</f>
        <v>1383.6277476429914</v>
      </c>
      <c r="L12" s="36"/>
      <c r="M12" s="37"/>
      <c r="N12" s="36"/>
      <c r="O12" s="36"/>
      <c r="P12" s="36">
        <f>_xlfn.STDEV.S(P3:P8)</f>
        <v>253.18255747070594</v>
      </c>
      <c r="Q12" s="36">
        <f>_xlfn.STDEV.S(Q3:Q8)</f>
        <v>12.737074784819081</v>
      </c>
      <c r="R12" s="36"/>
      <c r="S12" s="38"/>
      <c r="T12" s="34"/>
      <c r="U12" s="34"/>
      <c r="V12" s="24"/>
      <c r="W12" s="30"/>
      <c r="X12" s="24"/>
      <c r="Y12" s="24"/>
      <c r="Z12" s="24"/>
      <c r="AA12" s="21"/>
      <c r="AB12" s="7"/>
      <c r="AC12" s="7"/>
      <c r="AJ12" t="s">
        <v>82</v>
      </c>
      <c r="AK12" s="7">
        <f t="shared" si="13"/>
        <v>286.23122295799897</v>
      </c>
      <c r="AM12" s="7">
        <f t="shared" si="14"/>
        <v>135.81779782616573</v>
      </c>
      <c r="AO12" s="7">
        <f t="shared" si="15"/>
        <v>245.2141506167587</v>
      </c>
      <c r="BD12" s="7"/>
      <c r="BF12" s="14"/>
      <c r="BG12" s="14"/>
      <c r="BI12" s="7"/>
    </row>
    <row r="13" spans="1:61" x14ac:dyDescent="0.25">
      <c r="A13" s="19"/>
      <c r="E13" s="17"/>
      <c r="G13" s="23"/>
      <c r="H13" s="18"/>
      <c r="I13" s="30"/>
      <c r="J13" s="31"/>
      <c r="K13" s="31"/>
      <c r="L13" s="17"/>
      <c r="M13" s="20"/>
      <c r="N13" s="17"/>
      <c r="O13" s="17"/>
      <c r="P13" s="21"/>
      <c r="Q13" s="21"/>
      <c r="R13" s="21"/>
      <c r="S13" s="24"/>
      <c r="T13" s="22"/>
      <c r="U13" s="23"/>
      <c r="V13" s="24"/>
      <c r="X13" s="11"/>
      <c r="AB13" s="7"/>
      <c r="AC13" s="7"/>
      <c r="BD13" s="7"/>
      <c r="BF13" s="14"/>
      <c r="BG13" s="14"/>
      <c r="BI13" s="7"/>
    </row>
    <row r="14" spans="1:61" x14ac:dyDescent="0.25">
      <c r="A14" s="5" t="s">
        <v>41</v>
      </c>
      <c r="B14" t="s">
        <v>42</v>
      </c>
      <c r="C14">
        <v>54.5</v>
      </c>
      <c r="D14">
        <v>5.59</v>
      </c>
      <c r="E14">
        <v>10.45</v>
      </c>
      <c r="F14">
        <v>539</v>
      </c>
      <c r="G14" s="13">
        <v>112</v>
      </c>
      <c r="I14" s="41"/>
      <c r="J14" s="7">
        <v>1025</v>
      </c>
      <c r="K14" s="7">
        <v>2130</v>
      </c>
      <c r="L14" s="11">
        <v>1.5</v>
      </c>
      <c r="M14" s="12">
        <v>37.333333333333336</v>
      </c>
      <c r="N14" s="11">
        <v>5.2</v>
      </c>
      <c r="O14" s="11">
        <v>7.9666666666666659</v>
      </c>
      <c r="P14" s="11"/>
      <c r="Q14" s="11"/>
      <c r="R14" s="11"/>
      <c r="S14" s="7"/>
      <c r="T14" s="13">
        <f>'[2]CSA WW characteristics'!Y2</f>
        <v>233.9</v>
      </c>
      <c r="U14" s="13">
        <f>'[2]CSA WW characteristics'!AA2</f>
        <v>433.25821596244123</v>
      </c>
      <c r="V14" s="7">
        <f t="shared" ref="V14" si="16">100*K14/K14</f>
        <v>100</v>
      </c>
      <c r="W14" s="41">
        <f t="shared" ref="W14" si="17">100*M14/K14</f>
        <v>1.7527386541471048</v>
      </c>
      <c r="X14" s="41">
        <f t="shared" ref="X14" si="18">100*O14/K14</f>
        <v>0.3740219092331768</v>
      </c>
      <c r="Y14" s="7">
        <f>100*G14*2.9/K14</f>
        <v>15.248826291079812</v>
      </c>
      <c r="Z14" s="7">
        <f t="shared" ref="Z14:Z21" si="19">100*U14*1.1/K14</f>
        <v>22.374837444069737</v>
      </c>
      <c r="AA14" s="11">
        <f t="shared" ref="AA14:AA21" si="20">100*T14*1.5/K14</f>
        <v>16.471830985915492</v>
      </c>
      <c r="AB14" s="7">
        <f t="shared" ref="AB14:AB21" si="21">(G14*0.77)+(U14*0.42)+(T14*0.53)</f>
        <v>392.17545070422534</v>
      </c>
      <c r="AC14" s="7">
        <f t="shared" ref="AC14:AC21" si="22">AB14/M14</f>
        <v>10.504699572434607</v>
      </c>
      <c r="AD14" s="11">
        <f t="shared" ref="AD14" si="23">G14/U14</f>
        <v>0.25850634996315724</v>
      </c>
      <c r="AE14" s="11">
        <f t="shared" ref="AE14" si="24">G14/T14</f>
        <v>0.47883710987601535</v>
      </c>
      <c r="AF14" s="11">
        <f>100*G14/K14</f>
        <v>5.258215962441315</v>
      </c>
      <c r="AG14" s="11"/>
      <c r="AH14" s="11"/>
      <c r="AK14" s="7">
        <f>SUM(AK3:AK5)</f>
        <v>94.002442318459629</v>
      </c>
      <c r="AM14" s="7">
        <f>SUM(AM3:AM5)</f>
        <v>69.943264066965412</v>
      </c>
      <c r="AO14" s="7">
        <f>SUM(AO3:AO5)</f>
        <v>82.776360553229125</v>
      </c>
      <c r="BD14" s="7">
        <v>573.35211267605621</v>
      </c>
      <c r="BF14" s="14" t="s">
        <v>43</v>
      </c>
      <c r="BG14" s="14">
        <v>3887.312925170068</v>
      </c>
      <c r="BI14" s="7">
        <v>415.33333333333331</v>
      </c>
    </row>
    <row r="15" spans="1:61" x14ac:dyDescent="0.25">
      <c r="A15" s="5" t="s">
        <v>74</v>
      </c>
      <c r="B15" t="s">
        <v>44</v>
      </c>
      <c r="C15">
        <v>45.4</v>
      </c>
      <c r="E15">
        <v>12</v>
      </c>
      <c r="G15" s="13">
        <v>409.33333333333331</v>
      </c>
      <c r="H15">
        <v>5.37</v>
      </c>
      <c r="I15" s="41">
        <v>2.6984924623115578</v>
      </c>
      <c r="J15" s="7">
        <v>1790</v>
      </c>
      <c r="K15" s="7">
        <v>3846.6666666666665</v>
      </c>
      <c r="L15" s="11">
        <v>1.2333333333333334</v>
      </c>
      <c r="M15" s="12">
        <v>65.333333333333329</v>
      </c>
      <c r="N15" s="11">
        <v>10.666666666666666</v>
      </c>
      <c r="O15" s="11">
        <v>28.866666666666664</v>
      </c>
      <c r="P15" s="11"/>
      <c r="Q15" s="11"/>
      <c r="R15" s="11"/>
      <c r="S15" s="7"/>
      <c r="T15" s="13">
        <f>'[2]CSA WW characteristics'!Y3</f>
        <v>231.56666666666663</v>
      </c>
      <c r="U15" s="13">
        <f>'[2]CSA WW characteristics'!AA3</f>
        <v>702.36619718309851</v>
      </c>
      <c r="V15" s="7">
        <f t="shared" ref="V15:V21" si="25">100*K15/K15</f>
        <v>100</v>
      </c>
      <c r="W15" s="41">
        <f t="shared" ref="W15:W21" si="26">100*M15/K15</f>
        <v>1.6984402079722702</v>
      </c>
      <c r="X15" s="41">
        <f t="shared" ref="X15:X21" si="27">100*O15/K15</f>
        <v>0.75043327556325823</v>
      </c>
      <c r="Y15" s="7">
        <f t="shared" ref="Y15:Y21" si="28">100*G15*2.9/K15</f>
        <v>30.859618717504329</v>
      </c>
      <c r="Z15" s="7">
        <f t="shared" si="19"/>
        <v>20.084995240071279</v>
      </c>
      <c r="AA15" s="11">
        <f t="shared" si="20"/>
        <v>9.0298960138648177</v>
      </c>
      <c r="AB15" s="7">
        <f t="shared" si="21"/>
        <v>732.91080281690131</v>
      </c>
      <c r="AC15" s="7">
        <f t="shared" si="22"/>
        <v>11.218022492095429</v>
      </c>
      <c r="AD15" s="11">
        <f t="shared" ref="AD15:AD21" si="29">G15/U15</f>
        <v>0.58279190395978719</v>
      </c>
      <c r="AE15" s="11">
        <f t="shared" ref="AE15:AE21" si="30">G15/T15</f>
        <v>1.7676694976248741</v>
      </c>
      <c r="AF15" s="11">
        <f t="shared" ref="AF15:AF21" si="31">100*G15/K15</f>
        <v>10.641247833622183</v>
      </c>
      <c r="AG15" s="11"/>
      <c r="AH15" s="11"/>
      <c r="BD15" s="7">
        <v>431.375</v>
      </c>
      <c r="BF15" s="14" t="s">
        <v>45</v>
      </c>
      <c r="BG15" s="14">
        <v>201.68707482993196</v>
      </c>
      <c r="BI15" s="7">
        <v>206</v>
      </c>
    </row>
    <row r="16" spans="1:61" x14ac:dyDescent="0.25">
      <c r="A16" s="5" t="s">
        <v>75</v>
      </c>
      <c r="B16" t="s">
        <v>46</v>
      </c>
      <c r="D16">
        <v>6.99</v>
      </c>
      <c r="E16">
        <v>11.35</v>
      </c>
      <c r="F16">
        <v>452</v>
      </c>
      <c r="G16" s="13">
        <v>195.66666666666666</v>
      </c>
      <c r="H16">
        <v>3.3</v>
      </c>
      <c r="I16" s="41">
        <v>1.658291457286432</v>
      </c>
      <c r="J16" s="7">
        <v>1518.3333333333333</v>
      </c>
      <c r="K16" s="7">
        <v>2581.6666666666665</v>
      </c>
      <c r="L16" s="11">
        <v>1.2666666666666666</v>
      </c>
      <c r="M16" s="12">
        <v>41.333333333333336</v>
      </c>
      <c r="N16" s="11">
        <v>6</v>
      </c>
      <c r="O16" s="11">
        <v>8.8000000000000007</v>
      </c>
      <c r="P16" s="11"/>
      <c r="Q16" s="11"/>
      <c r="R16" s="11"/>
      <c r="S16" s="7"/>
      <c r="T16" s="13">
        <f>'[2]CSA WW characteristics'!Y4</f>
        <v>165.56666666666663</v>
      </c>
      <c r="U16" s="13">
        <f>'[2]CSA WW characteristics'!AA4</f>
        <v>573.35211267605621</v>
      </c>
      <c r="V16" s="7">
        <f t="shared" si="25"/>
        <v>100</v>
      </c>
      <c r="W16" s="41">
        <f t="shared" si="26"/>
        <v>1.6010329244673986</v>
      </c>
      <c r="X16" s="41">
        <f t="shared" si="27"/>
        <v>0.34086507424144613</v>
      </c>
      <c r="Y16" s="7">
        <f t="shared" si="28"/>
        <v>21.979341510652031</v>
      </c>
      <c r="Z16" s="7">
        <f t="shared" si="19"/>
        <v>24.429463806726737</v>
      </c>
      <c r="AA16" s="11">
        <f t="shared" si="20"/>
        <v>9.6197546804389926</v>
      </c>
      <c r="AB16" s="7">
        <f t="shared" si="21"/>
        <v>479.22155399061023</v>
      </c>
      <c r="AC16" s="7">
        <f t="shared" si="22"/>
        <v>11.594069854611536</v>
      </c>
      <c r="AD16" s="11">
        <f t="shared" si="29"/>
        <v>0.34126789165110877</v>
      </c>
      <c r="AE16" s="11">
        <f t="shared" si="30"/>
        <v>1.1817998792027382</v>
      </c>
      <c r="AF16" s="11">
        <f t="shared" si="31"/>
        <v>7.5790832795351832</v>
      </c>
      <c r="AG16" s="11"/>
      <c r="AH16" s="11"/>
      <c r="BD16" s="7">
        <v>814.81249999999989</v>
      </c>
      <c r="BF16" s="14" t="s">
        <v>47</v>
      </c>
      <c r="BG16" s="14">
        <v>4089</v>
      </c>
      <c r="BI16" s="7">
        <v>312</v>
      </c>
    </row>
    <row r="17" spans="1:62" x14ac:dyDescent="0.25">
      <c r="A17" s="5" t="s">
        <v>76</v>
      </c>
      <c r="B17" t="s">
        <v>48</v>
      </c>
      <c r="D17">
        <v>6.97</v>
      </c>
      <c r="E17">
        <v>11.35</v>
      </c>
      <c r="F17">
        <v>505</v>
      </c>
      <c r="G17" s="13">
        <v>415.33333333333331</v>
      </c>
      <c r="H17">
        <v>3.03</v>
      </c>
      <c r="I17" s="41">
        <v>1.522613065326633</v>
      </c>
      <c r="J17" s="7">
        <v>1222</v>
      </c>
      <c r="K17" s="7">
        <v>2358</v>
      </c>
      <c r="L17" s="11">
        <v>2.0499999999999998</v>
      </c>
      <c r="M17" s="12">
        <v>32</v>
      </c>
      <c r="N17" s="11">
        <v>5.05</v>
      </c>
      <c r="O17" s="11">
        <v>11.55</v>
      </c>
      <c r="P17" s="11">
        <f>'[2]CSA WW characteristics'!O29</f>
        <v>13.5</v>
      </c>
      <c r="Q17" s="11">
        <f>'[2]CSA WW characteristics'!P29</f>
        <v>10</v>
      </c>
      <c r="R17" s="11"/>
      <c r="S17" s="7">
        <f>P17+Q17</f>
        <v>23.5</v>
      </c>
      <c r="T17" s="13">
        <f>'[2]CSA WW characteristics'!Y5</f>
        <v>269.23333333333329</v>
      </c>
      <c r="U17" s="13"/>
      <c r="V17" s="7">
        <f t="shared" si="25"/>
        <v>100</v>
      </c>
      <c r="W17" s="41">
        <f t="shared" si="26"/>
        <v>1.3570822731128074</v>
      </c>
      <c r="X17" s="41">
        <f t="shared" si="27"/>
        <v>0.48982188295165396</v>
      </c>
      <c r="Y17" s="7">
        <f t="shared" si="28"/>
        <v>51.080011309018936</v>
      </c>
      <c r="Z17" s="7"/>
      <c r="AA17" s="11">
        <f t="shared" si="20"/>
        <v>17.126802374893973</v>
      </c>
      <c r="AB17" s="7"/>
      <c r="AC17" s="7"/>
      <c r="AD17" s="11"/>
      <c r="AE17" s="11">
        <f t="shared" si="30"/>
        <v>1.5426519747430978</v>
      </c>
      <c r="AF17" s="11">
        <f t="shared" si="31"/>
        <v>17.61379700310998</v>
      </c>
      <c r="AG17" s="11"/>
      <c r="AH17" s="11"/>
      <c r="BD17" s="7">
        <v>616.37499999999989</v>
      </c>
      <c r="BF17" s="14" t="s">
        <v>49</v>
      </c>
      <c r="BG17" s="14">
        <v>18547.152069909131</v>
      </c>
      <c r="BI17" s="7">
        <v>151</v>
      </c>
    </row>
    <row r="18" spans="1:62" x14ac:dyDescent="0.25">
      <c r="B18" t="s">
        <v>50</v>
      </c>
      <c r="C18">
        <v>45.5</v>
      </c>
      <c r="D18">
        <v>6.08</v>
      </c>
      <c r="E18">
        <v>11.22</v>
      </c>
      <c r="F18">
        <v>272</v>
      </c>
      <c r="G18" s="6">
        <v>206</v>
      </c>
      <c r="H18">
        <v>2.58</v>
      </c>
      <c r="I18" s="41">
        <v>1.2964824120603016</v>
      </c>
      <c r="J18" s="7">
        <v>308.66666666666669</v>
      </c>
      <c r="K18" s="7">
        <v>1250</v>
      </c>
      <c r="L18" s="11">
        <v>0.66666666666666663</v>
      </c>
      <c r="M18" s="12">
        <v>24</v>
      </c>
      <c r="N18" s="11">
        <v>4.666666666666667</v>
      </c>
      <c r="O18" s="11">
        <v>10.566666666666668</v>
      </c>
      <c r="P18" s="11">
        <v>12</v>
      </c>
      <c r="Q18" s="11">
        <v>11.333333333333334</v>
      </c>
      <c r="R18" s="11"/>
      <c r="S18" s="7">
        <v>23.333333333333336</v>
      </c>
      <c r="T18" s="13">
        <f>'[2]CSA WW characteristics'!Y6</f>
        <v>57.545454545454547</v>
      </c>
      <c r="U18" s="13">
        <f>'[2]CSA WW characteristics'!AA6</f>
        <v>431.375</v>
      </c>
      <c r="V18" s="7">
        <f t="shared" si="25"/>
        <v>100</v>
      </c>
      <c r="W18" s="41">
        <f t="shared" si="26"/>
        <v>1.92</v>
      </c>
      <c r="X18" s="41">
        <f t="shared" si="27"/>
        <v>0.84533333333333338</v>
      </c>
      <c r="Y18" s="7">
        <f t="shared" si="28"/>
        <v>47.792000000000002</v>
      </c>
      <c r="Z18" s="7">
        <f t="shared" si="19"/>
        <v>37.961000000000006</v>
      </c>
      <c r="AA18" s="11">
        <f t="shared" si="20"/>
        <v>6.9054545454545453</v>
      </c>
      <c r="AB18" s="7">
        <f t="shared" si="21"/>
        <v>370.29659090909092</v>
      </c>
      <c r="AC18" s="7">
        <f t="shared" si="22"/>
        <v>15.429024621212122</v>
      </c>
      <c r="AD18" s="11">
        <f t="shared" si="29"/>
        <v>0.47754274123442481</v>
      </c>
      <c r="AE18" s="11">
        <f t="shared" si="30"/>
        <v>3.5797788309636651</v>
      </c>
      <c r="AF18" s="11">
        <f t="shared" si="31"/>
        <v>16.48</v>
      </c>
      <c r="AG18" s="11"/>
      <c r="AH18" s="11"/>
      <c r="BD18" s="7">
        <v>503.5625</v>
      </c>
      <c r="BF18" s="14" t="s">
        <v>51</v>
      </c>
      <c r="BG18" s="14">
        <v>22</v>
      </c>
      <c r="BI18" s="7">
        <v>469</v>
      </c>
    </row>
    <row r="19" spans="1:62" x14ac:dyDescent="0.25">
      <c r="B19" t="s">
        <v>52</v>
      </c>
      <c r="C19">
        <v>45.2</v>
      </c>
      <c r="D19">
        <v>6.34</v>
      </c>
      <c r="E19">
        <v>10.96</v>
      </c>
      <c r="F19">
        <v>912</v>
      </c>
      <c r="G19" s="6">
        <v>312</v>
      </c>
      <c r="H19">
        <v>1.66</v>
      </c>
      <c r="I19" s="41">
        <v>0.83417085427135673</v>
      </c>
      <c r="J19" s="7">
        <v>1321.6666666666667</v>
      </c>
      <c r="K19" s="7">
        <v>3240</v>
      </c>
      <c r="L19" s="11">
        <v>3.4333333333333336</v>
      </c>
      <c r="M19" s="12">
        <v>50.333333333333336</v>
      </c>
      <c r="N19" s="11">
        <v>7.7</v>
      </c>
      <c r="O19" s="11">
        <v>17.166666666666664</v>
      </c>
      <c r="P19" s="11">
        <v>16</v>
      </c>
      <c r="Q19" s="11">
        <v>9.1333333333333329</v>
      </c>
      <c r="R19" s="11"/>
      <c r="S19" s="7">
        <v>25.133333333333333</v>
      </c>
      <c r="T19" s="13">
        <f>'[2]CSA WW characteristics'!Y7</f>
        <v>294.06060606060606</v>
      </c>
      <c r="U19" s="13">
        <f>'[2]CSA WW characteristics'!AA7</f>
        <v>814.81249999999989</v>
      </c>
      <c r="V19" s="7">
        <f t="shared" si="25"/>
        <v>100</v>
      </c>
      <c r="W19" s="41">
        <f t="shared" si="26"/>
        <v>1.5534979423868314</v>
      </c>
      <c r="X19" s="41">
        <f t="shared" si="27"/>
        <v>0.52983539094650201</v>
      </c>
      <c r="Y19" s="7">
        <f t="shared" si="28"/>
        <v>27.925925925925927</v>
      </c>
      <c r="Z19" s="7">
        <f t="shared" si="19"/>
        <v>27.663387345679009</v>
      </c>
      <c r="AA19" s="11">
        <f t="shared" si="20"/>
        <v>13.613916947250281</v>
      </c>
      <c r="AB19" s="7">
        <f t="shared" si="21"/>
        <v>738.31337121212118</v>
      </c>
      <c r="AC19" s="7">
        <f t="shared" si="22"/>
        <v>14.668477573750751</v>
      </c>
      <c r="AD19" s="11">
        <f t="shared" si="29"/>
        <v>0.3829101787220987</v>
      </c>
      <c r="AE19" s="11">
        <f t="shared" si="30"/>
        <v>1.0610057708161582</v>
      </c>
      <c r="AF19" s="11">
        <f t="shared" si="31"/>
        <v>9.6296296296296298</v>
      </c>
      <c r="AG19" s="11"/>
      <c r="AH19" s="11"/>
      <c r="AI19" s="15"/>
      <c r="AV19" s="15"/>
      <c r="AW19" s="7"/>
      <c r="AX19" s="7"/>
      <c r="AY19" s="7"/>
      <c r="AZ19" s="7"/>
      <c r="BD19" s="7">
        <v>893.33333333333337</v>
      </c>
      <c r="BF19" s="14" t="s">
        <v>53</v>
      </c>
      <c r="BG19" s="14">
        <v>4089</v>
      </c>
      <c r="BI19" s="7">
        <v>547</v>
      </c>
    </row>
    <row r="20" spans="1:62" ht="15.75" thickBot="1" x14ac:dyDescent="0.3">
      <c r="B20" t="s">
        <v>54</v>
      </c>
      <c r="C20">
        <v>36.5</v>
      </c>
      <c r="D20">
        <v>6.18</v>
      </c>
      <c r="E20">
        <v>10.83</v>
      </c>
      <c r="F20">
        <v>493</v>
      </c>
      <c r="G20" s="6">
        <v>151</v>
      </c>
      <c r="H20">
        <v>2.16</v>
      </c>
      <c r="I20" s="41">
        <v>1.085427135678392</v>
      </c>
      <c r="J20" s="7">
        <v>995</v>
      </c>
      <c r="K20" s="7">
        <v>2463.3333333333335</v>
      </c>
      <c r="L20" s="11">
        <v>1.2666666666666666</v>
      </c>
      <c r="M20" s="12">
        <v>39.666666666666664</v>
      </c>
      <c r="N20" s="11">
        <v>6.4333333333333336</v>
      </c>
      <c r="O20" s="11">
        <v>12.799999999999999</v>
      </c>
      <c r="P20" s="11">
        <v>15.625</v>
      </c>
      <c r="Q20" s="11">
        <v>11</v>
      </c>
      <c r="R20" s="11"/>
      <c r="S20" s="7">
        <v>26.625</v>
      </c>
      <c r="T20" s="13">
        <f>'[2]CSA WW characteristics'!Y8</f>
        <v>254.969696969697</v>
      </c>
      <c r="U20" s="13">
        <f>'[2]CSA WW characteristics'!AA8</f>
        <v>616.37499999999989</v>
      </c>
      <c r="V20" s="7">
        <f t="shared" si="25"/>
        <v>100</v>
      </c>
      <c r="W20" s="41">
        <f t="shared" si="26"/>
        <v>1.6102841677943165</v>
      </c>
      <c r="X20" s="41">
        <f t="shared" si="27"/>
        <v>0.51962110960757779</v>
      </c>
      <c r="Y20" s="7">
        <f t="shared" si="28"/>
        <v>17.776725304465494</v>
      </c>
      <c r="Z20" s="7">
        <f t="shared" si="19"/>
        <v>27.524188092016232</v>
      </c>
      <c r="AA20" s="11">
        <f t="shared" si="20"/>
        <v>15.525894944027558</v>
      </c>
      <c r="AB20" s="7">
        <f t="shared" si="21"/>
        <v>510.28143939393931</v>
      </c>
      <c r="AC20" s="7">
        <f t="shared" si="22"/>
        <v>12.864237967914438</v>
      </c>
      <c r="AD20" s="11">
        <f t="shared" si="29"/>
        <v>0.24498073413100796</v>
      </c>
      <c r="AE20" s="11">
        <f t="shared" si="30"/>
        <v>0.59222724031376273</v>
      </c>
      <c r="AF20" s="11">
        <f t="shared" si="31"/>
        <v>6.1299052774018943</v>
      </c>
      <c r="AG20" s="11"/>
      <c r="AH20" s="11"/>
      <c r="AV20" s="15"/>
      <c r="AW20" s="7"/>
      <c r="AX20" s="7"/>
      <c r="AY20" s="7"/>
      <c r="AZ20" s="7"/>
      <c r="BD20" s="7">
        <v>920.56737588652493</v>
      </c>
      <c r="BF20" s="25" t="s">
        <v>55</v>
      </c>
      <c r="BG20" s="25">
        <v>201.68707482993196</v>
      </c>
      <c r="BI20" s="7">
        <v>318.5</v>
      </c>
    </row>
    <row r="21" spans="1:62" x14ac:dyDescent="0.25">
      <c r="B21" t="s">
        <v>56</v>
      </c>
      <c r="C21">
        <v>40.5</v>
      </c>
      <c r="E21">
        <v>10.82</v>
      </c>
      <c r="F21">
        <v>723</v>
      </c>
      <c r="G21" s="6">
        <v>469</v>
      </c>
      <c r="I21" s="41"/>
      <c r="J21" s="7">
        <v>1101.6666666666667</v>
      </c>
      <c r="K21" s="7">
        <v>3350</v>
      </c>
      <c r="L21" s="11">
        <v>2.9</v>
      </c>
      <c r="M21" s="12">
        <v>51.666666666666664</v>
      </c>
      <c r="N21" s="11">
        <v>9.8000000000000007</v>
      </c>
      <c r="O21" s="11">
        <v>15.666666666666666</v>
      </c>
      <c r="P21" s="11">
        <v>13</v>
      </c>
      <c r="Q21" s="11">
        <v>12.25</v>
      </c>
      <c r="R21" s="11"/>
      <c r="S21" s="7">
        <v>25.25</v>
      </c>
      <c r="T21" s="13">
        <f>'[2]CSA WW characteristics'!Y9</f>
        <v>361.63636363636368</v>
      </c>
      <c r="U21" s="13">
        <f>'[2]CSA WW characteristics'!AA9</f>
        <v>503.5625</v>
      </c>
      <c r="V21" s="7">
        <f t="shared" si="25"/>
        <v>100</v>
      </c>
      <c r="W21" s="41">
        <f t="shared" si="26"/>
        <v>1.5422885572139302</v>
      </c>
      <c r="X21" s="41">
        <f t="shared" si="27"/>
        <v>0.46766169154228854</v>
      </c>
      <c r="Y21" s="7">
        <f t="shared" si="28"/>
        <v>40.6</v>
      </c>
      <c r="Z21" s="7">
        <f t="shared" si="19"/>
        <v>16.534888059701494</v>
      </c>
      <c r="AA21" s="11">
        <f t="shared" si="20"/>
        <v>16.19267299864315</v>
      </c>
      <c r="AB21" s="7">
        <f t="shared" si="21"/>
        <v>764.29352272727283</v>
      </c>
      <c r="AC21" s="7">
        <f t="shared" si="22"/>
        <v>14.792777859237539</v>
      </c>
      <c r="AD21" s="11">
        <f t="shared" si="29"/>
        <v>0.93136403127715028</v>
      </c>
      <c r="AE21" s="11">
        <f t="shared" si="30"/>
        <v>1.296882855706385</v>
      </c>
      <c r="AF21" s="11">
        <f t="shared" si="31"/>
        <v>14</v>
      </c>
      <c r="AG21" s="11"/>
      <c r="AH21" s="11"/>
      <c r="AQ21" s="7"/>
      <c r="AR21" s="7"/>
      <c r="AS21" s="7"/>
      <c r="AT21" s="7"/>
      <c r="AV21" s="15"/>
      <c r="AW21" s="7"/>
      <c r="AX21" s="7"/>
      <c r="AY21" s="7"/>
      <c r="AZ21" s="7"/>
      <c r="BD21" s="7">
        <v>699.29078014184381</v>
      </c>
      <c r="BI21" s="7">
        <v>373</v>
      </c>
    </row>
    <row r="22" spans="1:62" x14ac:dyDescent="0.25">
      <c r="A22" s="32" t="s">
        <v>68</v>
      </c>
      <c r="C22" s="36">
        <f>AVERAGE(C14:C21)</f>
        <v>44.6</v>
      </c>
      <c r="E22" s="36">
        <f>AVERAGE(E14:E21)</f>
        <v>11.122499999999999</v>
      </c>
      <c r="F22" s="32"/>
      <c r="G22" s="37">
        <f>AVERAGE(G14:G21)</f>
        <v>283.79166666666663</v>
      </c>
      <c r="H22" s="32"/>
      <c r="I22" s="35">
        <f>AVERAGE(I15:I21)</f>
        <v>1.5159128978224456</v>
      </c>
      <c r="J22" s="38"/>
      <c r="K22" s="38">
        <f>AVERAGE(K14:K21)</f>
        <v>2652.458333333333</v>
      </c>
      <c r="L22" s="36"/>
      <c r="M22" s="37">
        <f>AVERAGE(M14:M21)</f>
        <v>42.708333333333336</v>
      </c>
      <c r="N22" s="36"/>
      <c r="O22" s="36">
        <f>AVERAGE(O14:O21)</f>
        <v>14.172916666666666</v>
      </c>
      <c r="P22" s="36">
        <f>AVERAGE(P14:P21)</f>
        <v>14.025</v>
      </c>
      <c r="Q22" s="36">
        <f>AVERAGE(Q14:Q21)</f>
        <v>10.743333333333334</v>
      </c>
      <c r="R22" s="36"/>
      <c r="S22" s="38">
        <f>AVERAGE(S17:S21)</f>
        <v>24.768333333333334</v>
      </c>
      <c r="T22" s="39">
        <f>AVERAGE(T14:T21)</f>
        <v>233.55984848484849</v>
      </c>
      <c r="U22" s="34">
        <f>AVERAGE(U14:U21)</f>
        <v>582.15736083165655</v>
      </c>
      <c r="V22" s="24">
        <f>AVERAGE(V14:V21)</f>
        <v>100</v>
      </c>
      <c r="W22" s="30">
        <f t="shared" ref="W22" si="32">AVERAGE(W14:W21)</f>
        <v>1.6294205908868324</v>
      </c>
      <c r="X22" s="30">
        <f t="shared" ref="X22:AA22" si="33">AVERAGE(X14:X21)</f>
        <v>0.53969920842740471</v>
      </c>
      <c r="Y22" s="24">
        <f t="shared" si="33"/>
        <v>31.657806132330816</v>
      </c>
      <c r="Z22" s="24">
        <f t="shared" si="33"/>
        <v>25.224679998323502</v>
      </c>
      <c r="AA22" s="21">
        <f t="shared" si="33"/>
        <v>13.0607779363111</v>
      </c>
      <c r="AB22" s="7"/>
      <c r="AC22" s="7"/>
      <c r="AF22" s="176">
        <f>CORREL(G14:G21,K14:K21)</f>
        <v>0.63037435931620867</v>
      </c>
      <c r="AG22" s="176">
        <f>CORREL(U14:U21,K14:K21)</f>
        <v>0.68783257432910094</v>
      </c>
      <c r="AH22" s="176">
        <f>CORREL(T14:T21,K14:K21)</f>
        <v>0.6975760765717639</v>
      </c>
      <c r="AI22" s="176">
        <f>CORREL(M14:M21,K14:K21)</f>
        <v>0.96620324665589685</v>
      </c>
      <c r="AQ22" s="7"/>
      <c r="AR22" s="7"/>
      <c r="AS22" s="7"/>
      <c r="AT22" s="7"/>
      <c r="AV22" s="15"/>
      <c r="AW22" s="11"/>
      <c r="AX22" s="11"/>
      <c r="AY22" s="7"/>
      <c r="AZ22" s="7"/>
      <c r="BD22" s="7">
        <v>806.24113475177307</v>
      </c>
    </row>
    <row r="23" spans="1:62" x14ac:dyDescent="0.25">
      <c r="A23" s="32" t="s">
        <v>84</v>
      </c>
      <c r="C23" s="36"/>
      <c r="E23" s="36"/>
      <c r="F23" s="32"/>
      <c r="G23" s="37">
        <f>_xlfn.STDEV.S(G14:G21)</f>
        <v>135.81779782616573</v>
      </c>
      <c r="H23" s="32"/>
      <c r="I23" s="35"/>
      <c r="J23" s="38"/>
      <c r="K23" s="34">
        <f>_xlfn.STDEV.S(K14:K21)</f>
        <v>812.86448112987546</v>
      </c>
      <c r="L23" s="36"/>
      <c r="M23" s="37"/>
      <c r="N23" s="36"/>
      <c r="O23" s="36"/>
      <c r="P23" s="36"/>
      <c r="Q23" s="36"/>
      <c r="R23" s="36"/>
      <c r="S23" s="38"/>
      <c r="T23" s="39"/>
      <c r="U23" s="34"/>
      <c r="V23" s="24"/>
      <c r="W23" s="30"/>
      <c r="X23" s="30"/>
      <c r="Y23" s="24"/>
      <c r="Z23" s="24"/>
      <c r="AA23" s="21"/>
      <c r="AB23" s="7"/>
      <c r="AC23" s="7"/>
      <c r="AQ23" s="7"/>
      <c r="AR23" s="7"/>
      <c r="AS23" s="7"/>
      <c r="AT23" s="7"/>
      <c r="AV23" s="15"/>
      <c r="AW23" s="11"/>
      <c r="AX23" s="11"/>
      <c r="AY23" s="7"/>
      <c r="AZ23" s="7"/>
      <c r="BD23" s="7"/>
    </row>
    <row r="24" spans="1:62" x14ac:dyDescent="0.25">
      <c r="I24" s="41"/>
      <c r="J24" s="7"/>
      <c r="K24" s="7"/>
      <c r="L24" s="11"/>
      <c r="M24" s="12"/>
      <c r="N24" s="11"/>
      <c r="O24" s="11"/>
      <c r="P24" s="11"/>
      <c r="Q24" s="11"/>
      <c r="R24" s="11"/>
      <c r="S24" s="7"/>
      <c r="U24" s="13"/>
      <c r="V24" s="7"/>
      <c r="X24" s="11"/>
      <c r="AB24" s="7"/>
      <c r="AC24" s="7"/>
      <c r="AP24" s="15"/>
      <c r="AQ24" s="7"/>
      <c r="AR24" s="7"/>
      <c r="AS24" s="7"/>
      <c r="AT24" s="7"/>
      <c r="AV24" s="15"/>
      <c r="AW24" s="7"/>
      <c r="AX24" s="7"/>
      <c r="AY24" s="7"/>
      <c r="AZ24" s="7"/>
      <c r="BD24" s="7">
        <v>1597.9487179487178</v>
      </c>
      <c r="BI24" s="7">
        <v>849.5</v>
      </c>
    </row>
    <row r="25" spans="1:62" x14ac:dyDescent="0.25">
      <c r="A25" s="5" t="s">
        <v>57</v>
      </c>
      <c r="B25" t="s">
        <v>58</v>
      </c>
      <c r="C25">
        <v>57</v>
      </c>
      <c r="D25">
        <v>5.68</v>
      </c>
      <c r="E25">
        <v>11.34</v>
      </c>
      <c r="F25">
        <v>261</v>
      </c>
      <c r="G25" s="13">
        <v>547</v>
      </c>
      <c r="H25">
        <v>1.76</v>
      </c>
      <c r="I25" s="41">
        <v>0.88442211055276387</v>
      </c>
      <c r="J25" s="7">
        <v>2681.6666666666665</v>
      </c>
      <c r="K25" s="7">
        <v>4470</v>
      </c>
      <c r="L25" s="11">
        <v>4.9666666666666668</v>
      </c>
      <c r="M25" s="12">
        <v>63</v>
      </c>
      <c r="N25" s="11">
        <v>11.766666666666666</v>
      </c>
      <c r="O25" s="11">
        <v>15.766666666666666</v>
      </c>
      <c r="P25" s="11">
        <v>25.666666666666668</v>
      </c>
      <c r="Q25" s="11">
        <v>18.533333333333335</v>
      </c>
      <c r="R25" s="11"/>
      <c r="S25" s="7">
        <v>44.2</v>
      </c>
      <c r="T25" s="13">
        <f>'[2]CP WW characteristics'!Y2</f>
        <v>557.16666666666663</v>
      </c>
      <c r="U25" s="13">
        <f>'[2]CP WW characteristics'!AA2</f>
        <v>893.33333333333337</v>
      </c>
      <c r="V25" s="7">
        <f t="shared" ref="V25" si="34">100*K25/K25</f>
        <v>100</v>
      </c>
      <c r="W25" s="41">
        <f t="shared" ref="W25" si="35">100*M25/K25</f>
        <v>1.4093959731543624</v>
      </c>
      <c r="X25" s="41">
        <f t="shared" ref="X25" si="36">100*O25/K25</f>
        <v>0.35272184936614465</v>
      </c>
      <c r="Y25" s="7">
        <f>100*G25*2.9/K25</f>
        <v>35.487695749440718</v>
      </c>
      <c r="Z25" s="7">
        <f t="shared" ref="Z25:Z32" si="37">100*U25*1.1/K25</f>
        <v>21.983594332587625</v>
      </c>
      <c r="AA25" s="11">
        <f t="shared" ref="AA25:AA32" si="38">100*T25*1.5/K25</f>
        <v>18.696868008948545</v>
      </c>
      <c r="AB25" s="7">
        <f t="shared" ref="AB25:AB32" si="39">(G25*0.77)+(U25*0.42)+(T25*0.53)</f>
        <v>1091.6883333333333</v>
      </c>
      <c r="AC25" s="7">
        <f t="shared" ref="AC25:AC32" si="40">AB25/M25</f>
        <v>17.328386243386241</v>
      </c>
      <c r="AD25" s="11">
        <f t="shared" ref="AD25" si="41">G25/U25</f>
        <v>0.61231343283582085</v>
      </c>
      <c r="AE25" s="11">
        <f t="shared" ref="AE25" si="42">G25/T25</f>
        <v>0.98175291654202823</v>
      </c>
      <c r="AF25" s="11">
        <f>100*G25/K25</f>
        <v>12.237136465324385</v>
      </c>
      <c r="AG25" s="11"/>
      <c r="AH25" s="11"/>
      <c r="AV25" s="15"/>
      <c r="AW25" s="11"/>
      <c r="AX25" s="11"/>
      <c r="AY25" s="7"/>
      <c r="AZ25" s="7"/>
      <c r="BD25" s="7">
        <v>4089</v>
      </c>
      <c r="BI25" s="7">
        <v>499.5</v>
      </c>
    </row>
    <row r="26" spans="1:62" x14ac:dyDescent="0.25">
      <c r="A26" s="43" t="s">
        <v>76</v>
      </c>
      <c r="B26" s="1" t="s">
        <v>59</v>
      </c>
      <c r="C26" s="1">
        <v>53.7</v>
      </c>
      <c r="D26">
        <v>6.05</v>
      </c>
      <c r="E26">
        <v>11.55</v>
      </c>
      <c r="F26">
        <v>726</v>
      </c>
      <c r="G26" s="13">
        <v>318.5</v>
      </c>
      <c r="I26" s="41"/>
      <c r="J26" s="7">
        <v>3206.6666666666665</v>
      </c>
      <c r="K26" s="7">
        <v>3840</v>
      </c>
      <c r="L26" s="11">
        <v>2.6666666666666665</v>
      </c>
      <c r="M26" s="12">
        <v>50.333333333333336</v>
      </c>
      <c r="N26" s="11">
        <v>10.166666666666666</v>
      </c>
      <c r="O26" s="11">
        <v>13.700000000000001</v>
      </c>
      <c r="P26" s="11">
        <v>30.333333333333332</v>
      </c>
      <c r="Q26" s="11">
        <v>26.133333333333336</v>
      </c>
      <c r="R26" s="11"/>
      <c r="S26" s="7">
        <v>56.466666666666669</v>
      </c>
      <c r="T26" s="13">
        <f>'[2]CP WW characteristics'!Y3</f>
        <v>646.16666666666663</v>
      </c>
      <c r="U26" s="13">
        <f>'[2]CP WW characteristics'!AA3</f>
        <v>920.56737588652493</v>
      </c>
      <c r="V26" s="7">
        <f t="shared" ref="V26:V32" si="43">100*K26/K26</f>
        <v>100</v>
      </c>
      <c r="W26" s="41">
        <f t="shared" ref="W26:W32" si="44">100*M26/K26</f>
        <v>1.3107638888888891</v>
      </c>
      <c r="X26" s="41">
        <f t="shared" ref="X26:X32" si="45">100*O26/K26</f>
        <v>0.35677083333333331</v>
      </c>
      <c r="Y26" s="7">
        <f t="shared" ref="Y26:Y32" si="46">100*G26*2.9/K26</f>
        <v>24.053385416666668</v>
      </c>
      <c r="Z26" s="7">
        <f t="shared" si="37"/>
        <v>26.370419621749416</v>
      </c>
      <c r="AA26" s="11">
        <f t="shared" si="38"/>
        <v>25.240885416666668</v>
      </c>
      <c r="AB26" s="7">
        <f t="shared" si="39"/>
        <v>974.35163120567381</v>
      </c>
      <c r="AC26" s="7">
        <f t="shared" si="40"/>
        <v>19.357979427927294</v>
      </c>
      <c r="AD26" s="11">
        <f t="shared" ref="AD26:AD32" si="47">G26/U26</f>
        <v>0.34598228043143292</v>
      </c>
      <c r="AE26" s="11">
        <f t="shared" ref="AE26:AE32" si="48">G26/T26</f>
        <v>0.49290688676811972</v>
      </c>
      <c r="AF26" s="11">
        <f t="shared" ref="AF26:AF32" si="49">100*G26/K26</f>
        <v>8.2942708333333339</v>
      </c>
      <c r="AG26" s="11"/>
      <c r="AH26" s="11"/>
      <c r="AI26" s="3"/>
      <c r="AJ26" s="3"/>
      <c r="AV26" s="15"/>
      <c r="AW26" s="7"/>
      <c r="AX26" s="7"/>
      <c r="AY26" s="7"/>
      <c r="AZ26" s="7"/>
      <c r="BD26" s="7">
        <v>1305</v>
      </c>
      <c r="BI26" s="7">
        <v>155.66666666666666</v>
      </c>
    </row>
    <row r="27" spans="1:62" x14ac:dyDescent="0.25">
      <c r="A27" s="1"/>
      <c r="B27" s="1" t="s">
        <v>60</v>
      </c>
      <c r="C27" s="1">
        <v>56.4</v>
      </c>
      <c r="D27">
        <v>6.13</v>
      </c>
      <c r="E27">
        <v>11.61</v>
      </c>
      <c r="F27">
        <v>758</v>
      </c>
      <c r="G27" s="13">
        <v>373</v>
      </c>
      <c r="H27">
        <v>1.71</v>
      </c>
      <c r="I27" s="41">
        <v>0.85929648241206025</v>
      </c>
      <c r="J27" s="7">
        <v>3175</v>
      </c>
      <c r="K27" s="7">
        <v>4080</v>
      </c>
      <c r="L27" s="11">
        <v>3.6</v>
      </c>
      <c r="M27" s="12">
        <v>45.5</v>
      </c>
      <c r="N27" s="11">
        <v>10.933333333333332</v>
      </c>
      <c r="O27" s="11">
        <v>12.866666666666667</v>
      </c>
      <c r="P27" s="11">
        <v>26.833333333333332</v>
      </c>
      <c r="Q27" s="11">
        <v>12.466666666666667</v>
      </c>
      <c r="R27" s="11">
        <v>0.51</v>
      </c>
      <c r="S27" s="7">
        <v>39.299999999999997</v>
      </c>
      <c r="T27" s="13">
        <f>'[2]CP WW characteristics'!Y4</f>
        <v>413.16666666666669</v>
      </c>
      <c r="U27" s="13">
        <f>'[2]CP WW characteristics'!AA4</f>
        <v>699.29078014184381</v>
      </c>
      <c r="V27" s="7">
        <f t="shared" si="43"/>
        <v>100</v>
      </c>
      <c r="W27" s="41">
        <f t="shared" si="44"/>
        <v>1.1151960784313726</v>
      </c>
      <c r="X27" s="41">
        <f t="shared" si="45"/>
        <v>0.31535947712418305</v>
      </c>
      <c r="Y27" s="7">
        <f t="shared" si="46"/>
        <v>26.512254901960784</v>
      </c>
      <c r="Z27" s="7">
        <f t="shared" si="37"/>
        <v>18.853427895981088</v>
      </c>
      <c r="AA27" s="11">
        <f t="shared" si="38"/>
        <v>15.189950980392158</v>
      </c>
      <c r="AB27" s="7">
        <f t="shared" si="39"/>
        <v>799.89046099290772</v>
      </c>
      <c r="AC27" s="7">
        <f t="shared" si="40"/>
        <v>17.580010131712257</v>
      </c>
      <c r="AD27" s="11">
        <f t="shared" si="47"/>
        <v>0.53339756592292098</v>
      </c>
      <c r="AE27" s="11">
        <f t="shared" si="48"/>
        <v>0.90278338039532069</v>
      </c>
      <c r="AF27" s="11">
        <f t="shared" si="49"/>
        <v>9.1421568627450984</v>
      </c>
      <c r="AG27" s="11"/>
      <c r="AH27" s="11"/>
      <c r="AI27" s="27"/>
      <c r="AJ27" s="28"/>
      <c r="AV27" s="15"/>
      <c r="AW27" s="11"/>
      <c r="AX27" s="11"/>
      <c r="AY27" s="11"/>
      <c r="AZ27" s="7"/>
      <c r="BD27" s="18">
        <f>_xlfn.PERCENTILE.EXC(BD2:BD26,0.9)</f>
        <v>1539.3589743589744</v>
      </c>
      <c r="BE27" s="18" t="s">
        <v>61</v>
      </c>
      <c r="BI27" s="7">
        <v>234</v>
      </c>
    </row>
    <row r="28" spans="1:62" x14ac:dyDescent="0.25">
      <c r="B28" t="s">
        <v>62</v>
      </c>
      <c r="C28">
        <v>55.4</v>
      </c>
      <c r="D28">
        <v>5.49</v>
      </c>
      <c r="E28">
        <v>11.81</v>
      </c>
      <c r="F28">
        <v>781</v>
      </c>
      <c r="G28" s="13">
        <v>849.5</v>
      </c>
      <c r="H28">
        <v>1.68</v>
      </c>
      <c r="I28" s="41">
        <v>0.84422110552763818</v>
      </c>
      <c r="J28" s="7">
        <v>1820.3333333333333</v>
      </c>
      <c r="K28" s="7">
        <v>3761.6666666666665</v>
      </c>
      <c r="L28" s="11">
        <v>3.4333333333333336</v>
      </c>
      <c r="M28" s="12">
        <v>40</v>
      </c>
      <c r="N28" s="11">
        <v>8.2333333333333343</v>
      </c>
      <c r="O28" s="11">
        <v>11.533333333333331</v>
      </c>
      <c r="P28" s="11">
        <v>28.666666666666668</v>
      </c>
      <c r="Q28" s="11">
        <v>13</v>
      </c>
      <c r="R28" s="11">
        <v>0.25666666666666665</v>
      </c>
      <c r="S28" s="7">
        <v>41.666666666666671</v>
      </c>
      <c r="T28" s="13">
        <f>'[2]CP WW characteristics'!Y5</f>
        <v>317.16666666666669</v>
      </c>
      <c r="U28" s="13">
        <f>'[2]CP WW characteristics'!AA5</f>
        <v>806.24113475177307</v>
      </c>
      <c r="V28" s="7">
        <f t="shared" si="43"/>
        <v>100</v>
      </c>
      <c r="W28" s="41">
        <f t="shared" si="44"/>
        <v>1.0633584404076208</v>
      </c>
      <c r="X28" s="41">
        <f t="shared" si="45"/>
        <v>0.30660168365086393</v>
      </c>
      <c r="Y28" s="7">
        <f t="shared" si="46"/>
        <v>65.490917146654851</v>
      </c>
      <c r="Z28" s="7">
        <f t="shared" si="37"/>
        <v>23.57639118015819</v>
      </c>
      <c r="AA28" s="11">
        <f t="shared" si="38"/>
        <v>12.64731945059814</v>
      </c>
      <c r="AB28" s="7">
        <f t="shared" si="39"/>
        <v>1160.8346099290779</v>
      </c>
      <c r="AC28" s="7">
        <f t="shared" si="40"/>
        <v>29.020865248226947</v>
      </c>
      <c r="AD28" s="11">
        <f t="shared" si="47"/>
        <v>1.0536549964813511</v>
      </c>
      <c r="AE28" s="11">
        <f t="shared" si="48"/>
        <v>2.6784025223331582</v>
      </c>
      <c r="AF28" s="11">
        <f t="shared" si="49"/>
        <v>22.583074878156847</v>
      </c>
      <c r="AG28" s="11"/>
      <c r="AH28" s="11"/>
      <c r="AJ28" s="15"/>
      <c r="AV28" s="15"/>
      <c r="AZ28" s="7"/>
      <c r="BI28" s="7">
        <v>92</v>
      </c>
    </row>
    <row r="29" spans="1:62" x14ac:dyDescent="0.25">
      <c r="B29" t="s">
        <v>63</v>
      </c>
      <c r="C29">
        <v>54</v>
      </c>
      <c r="D29">
        <v>4.05</v>
      </c>
      <c r="E29">
        <v>11.52</v>
      </c>
      <c r="G29" s="13">
        <v>499.5</v>
      </c>
      <c r="I29" s="41"/>
      <c r="J29" s="7">
        <v>2093.3333333333335</v>
      </c>
      <c r="K29" s="7">
        <v>5305</v>
      </c>
      <c r="L29" s="11">
        <v>4.5</v>
      </c>
      <c r="M29" s="12">
        <v>62.333333333333336</v>
      </c>
      <c r="N29" s="11">
        <v>15.266666666666666</v>
      </c>
      <c r="O29" s="11">
        <v>17.533333333333331</v>
      </c>
      <c r="P29" s="11">
        <v>46.5</v>
      </c>
      <c r="Q29" s="11">
        <v>12.866666666666667</v>
      </c>
      <c r="R29" s="11">
        <v>0.10333333333333333</v>
      </c>
      <c r="S29" s="7">
        <v>59.366666666666667</v>
      </c>
      <c r="T29" s="13">
        <f>'[2]CP WW characteristics'!Y6</f>
        <v>382.16666666666669</v>
      </c>
      <c r="U29" s="13">
        <f>'[2]CP WW characteristics'!AA6</f>
        <v>1597.9487179487178</v>
      </c>
      <c r="V29" s="7">
        <f t="shared" si="43"/>
        <v>100</v>
      </c>
      <c r="W29" s="41">
        <f t="shared" si="44"/>
        <v>1.1749921457744268</v>
      </c>
      <c r="X29" s="41">
        <f t="shared" si="45"/>
        <v>0.3305058121269242</v>
      </c>
      <c r="Y29" s="7">
        <f t="shared" si="46"/>
        <v>27.305372290292176</v>
      </c>
      <c r="Z29" s="7">
        <f t="shared" si="37"/>
        <v>33.13371516953044</v>
      </c>
      <c r="AA29" s="11">
        <f t="shared" si="38"/>
        <v>10.80584354382658</v>
      </c>
      <c r="AB29" s="7">
        <f t="shared" si="39"/>
        <v>1258.301794871795</v>
      </c>
      <c r="AC29" s="7">
        <f t="shared" si="40"/>
        <v>20.18665981077746</v>
      </c>
      <c r="AD29" s="11">
        <f t="shared" si="47"/>
        <v>0.31258825417201541</v>
      </c>
      <c r="AE29" s="11">
        <f t="shared" si="48"/>
        <v>1.307021369385085</v>
      </c>
      <c r="AF29" s="11">
        <f t="shared" si="49"/>
        <v>9.4156456173421308</v>
      </c>
      <c r="AG29" s="11"/>
      <c r="AH29" s="11"/>
      <c r="AV29" s="15"/>
      <c r="AW29" s="11"/>
      <c r="AX29" s="11"/>
      <c r="AZ29" s="7"/>
      <c r="BI29" s="18">
        <f>_xlfn.PERCENTILE.INC(BI2:BI28,0.85)</f>
        <v>688.25</v>
      </c>
      <c r="BJ29" s="29">
        <v>0.85</v>
      </c>
    </row>
    <row r="30" spans="1:62" x14ac:dyDescent="0.25">
      <c r="B30" t="s">
        <v>64</v>
      </c>
      <c r="C30">
        <v>52.6</v>
      </c>
      <c r="D30">
        <v>5.0999999999999996</v>
      </c>
      <c r="E30">
        <v>11.52</v>
      </c>
      <c r="F30">
        <v>1094</v>
      </c>
      <c r="G30" s="13">
        <v>155.66666666666666</v>
      </c>
      <c r="H30">
        <v>1.97</v>
      </c>
      <c r="I30" s="41">
        <v>0.98994974874371855</v>
      </c>
      <c r="J30" s="7">
        <v>717.33333333333337</v>
      </c>
      <c r="K30" s="7">
        <v>3484</v>
      </c>
      <c r="L30" s="11">
        <v>2.95</v>
      </c>
      <c r="M30" s="12">
        <v>49</v>
      </c>
      <c r="N30" s="11">
        <v>11.35</v>
      </c>
      <c r="O30" s="11">
        <v>13.55</v>
      </c>
      <c r="P30" s="11"/>
      <c r="Q30" s="11"/>
      <c r="R30" s="11"/>
      <c r="S30" s="7"/>
      <c r="T30" s="13">
        <f>'[2]CP WW characteristics'!Y7</f>
        <v>365.23333333333329</v>
      </c>
      <c r="U30" s="13"/>
      <c r="V30" s="7">
        <f t="shared" si="43"/>
        <v>100</v>
      </c>
      <c r="W30" s="41">
        <f t="shared" si="44"/>
        <v>1.4064293915040185</v>
      </c>
      <c r="X30" s="41">
        <f t="shared" si="45"/>
        <v>0.38892078071182551</v>
      </c>
      <c r="Y30" s="7">
        <f t="shared" si="46"/>
        <v>12.957328740910828</v>
      </c>
      <c r="Z30" s="7"/>
      <c r="AA30" s="11">
        <f t="shared" si="38"/>
        <v>15.724741676234212</v>
      </c>
      <c r="AB30" s="7"/>
      <c r="AC30" s="7"/>
      <c r="AD30" s="11"/>
      <c r="AE30" s="11">
        <f t="shared" si="48"/>
        <v>0.42621155425755225</v>
      </c>
      <c r="AF30" s="11">
        <f t="shared" si="49"/>
        <v>4.4680443934175278</v>
      </c>
      <c r="AG30" s="11"/>
      <c r="AH30" s="11"/>
      <c r="AV30" s="15"/>
      <c r="AW30" s="7"/>
      <c r="AY30" s="7"/>
      <c r="AZ30" s="7"/>
    </row>
    <row r="31" spans="1:62" x14ac:dyDescent="0.25">
      <c r="B31" t="s">
        <v>65</v>
      </c>
      <c r="C31">
        <v>46.8</v>
      </c>
      <c r="D31">
        <v>1.97</v>
      </c>
      <c r="E31">
        <v>11.82</v>
      </c>
      <c r="F31">
        <v>642</v>
      </c>
      <c r="G31" s="13">
        <v>234</v>
      </c>
      <c r="H31">
        <v>1.91</v>
      </c>
      <c r="I31" s="41">
        <v>0.95979899497487431</v>
      </c>
      <c r="J31" s="7">
        <v>3646.6666666666665</v>
      </c>
      <c r="K31" s="7">
        <v>4951.666666666667</v>
      </c>
      <c r="L31" s="11">
        <v>2.0333333333333332</v>
      </c>
      <c r="M31" s="12">
        <v>40.333333333333336</v>
      </c>
      <c r="N31" s="11">
        <v>10</v>
      </c>
      <c r="O31" s="11">
        <v>12.666666666666666</v>
      </c>
      <c r="P31" s="11">
        <v>80</v>
      </c>
      <c r="Q31" s="11">
        <v>16.2</v>
      </c>
      <c r="R31" s="11"/>
      <c r="S31" s="7">
        <v>96.2</v>
      </c>
      <c r="T31" s="13">
        <f>'[2]CP WW characteristics'!Y8</f>
        <v>542.5454545454545</v>
      </c>
      <c r="U31" s="33">
        <f>'[2]CP WW characteristics'!AA8</f>
        <v>3996.7320261437908</v>
      </c>
      <c r="V31" s="7">
        <f t="shared" si="43"/>
        <v>100</v>
      </c>
      <c r="W31" s="41">
        <f t="shared" si="44"/>
        <v>0.81454055873443287</v>
      </c>
      <c r="X31" s="41">
        <f t="shared" si="45"/>
        <v>0.25580612588354085</v>
      </c>
      <c r="Y31" s="7">
        <f t="shared" si="46"/>
        <v>13.704476607202961</v>
      </c>
      <c r="Z31" s="7">
        <f t="shared" si="37"/>
        <v>88.786372846008149</v>
      </c>
      <c r="AA31" s="11">
        <f t="shared" si="38"/>
        <v>16.435237599828646</v>
      </c>
      <c r="AB31" s="7">
        <f t="shared" si="39"/>
        <v>2146.3565418894832</v>
      </c>
      <c r="AC31" s="7">
        <f t="shared" si="40"/>
        <v>53.215451451805365</v>
      </c>
      <c r="AD31" s="11">
        <f t="shared" si="47"/>
        <v>5.854783319705642E-2</v>
      </c>
      <c r="AE31" s="11">
        <f t="shared" si="48"/>
        <v>0.43130026809651478</v>
      </c>
      <c r="AF31" s="11">
        <f t="shared" si="49"/>
        <v>4.7256815886906764</v>
      </c>
      <c r="AG31" s="11"/>
      <c r="AH31" s="11"/>
      <c r="AV31" s="15"/>
      <c r="AW31" s="11"/>
      <c r="AX31" s="11"/>
      <c r="AZ31" s="7"/>
    </row>
    <row r="32" spans="1:62" x14ac:dyDescent="0.25">
      <c r="B32" t="s">
        <v>66</v>
      </c>
      <c r="C32">
        <v>52.4</v>
      </c>
      <c r="E32">
        <v>11.39</v>
      </c>
      <c r="F32">
        <v>665</v>
      </c>
      <c r="G32" s="13">
        <v>92</v>
      </c>
      <c r="H32">
        <v>2.5299999999999998</v>
      </c>
      <c r="I32" s="41">
        <v>1.2713567839195978</v>
      </c>
      <c r="J32" s="7">
        <v>1148.3333333333333</v>
      </c>
      <c r="K32" s="7">
        <v>2305</v>
      </c>
      <c r="L32" s="11">
        <v>1.2</v>
      </c>
      <c r="M32" s="12">
        <v>32</v>
      </c>
      <c r="N32" s="11">
        <v>4.5999999999999996</v>
      </c>
      <c r="O32" s="11">
        <v>8.8333333333333339</v>
      </c>
      <c r="P32" s="11">
        <v>68.333333333333329</v>
      </c>
      <c r="Q32" s="11">
        <v>16.599999999999998</v>
      </c>
      <c r="R32" s="11"/>
      <c r="S32" s="7">
        <v>84.933333333333323</v>
      </c>
      <c r="T32" s="13">
        <f>'[2]CP WW characteristics'!Y9</f>
        <v>247.69696969696972</v>
      </c>
      <c r="U32" s="13">
        <f>'[2]CP WW characteristics'!AA9</f>
        <v>1305</v>
      </c>
      <c r="V32" s="7">
        <f t="shared" si="43"/>
        <v>100</v>
      </c>
      <c r="W32" s="41">
        <f t="shared" si="44"/>
        <v>1.3882863340563991</v>
      </c>
      <c r="X32" s="41">
        <f t="shared" si="45"/>
        <v>0.38322487346348522</v>
      </c>
      <c r="Y32" s="7">
        <f t="shared" si="46"/>
        <v>11.574837310195228</v>
      </c>
      <c r="Z32" s="7">
        <f t="shared" si="37"/>
        <v>62.277657266811282</v>
      </c>
      <c r="AA32" s="11">
        <f t="shared" si="38"/>
        <v>16.119108657069614</v>
      </c>
      <c r="AB32" s="7">
        <f t="shared" si="39"/>
        <v>750.21939393939397</v>
      </c>
      <c r="AC32" s="7">
        <f t="shared" si="40"/>
        <v>23.444356060606061</v>
      </c>
      <c r="AD32" s="11">
        <f t="shared" si="47"/>
        <v>7.0498084291187743E-2</v>
      </c>
      <c r="AE32" s="11">
        <f t="shared" si="48"/>
        <v>0.37142158062148273</v>
      </c>
      <c r="AF32" s="11">
        <f t="shared" si="49"/>
        <v>3.9913232104121477</v>
      </c>
      <c r="AG32" s="11"/>
      <c r="AH32" s="11"/>
      <c r="AV32" s="15"/>
      <c r="AW32" s="7"/>
      <c r="AY32" s="7"/>
      <c r="AZ32" s="7"/>
    </row>
    <row r="33" spans="1:52" x14ac:dyDescent="0.25">
      <c r="A33" s="32" t="s">
        <v>68</v>
      </c>
      <c r="C33" s="32">
        <f>AVERAGE(C3:C32)</f>
        <v>44.883854166666673</v>
      </c>
      <c r="D33" s="32"/>
      <c r="E33" s="32">
        <f>AVERAGE(E25:E32)</f>
        <v>11.569999999999999</v>
      </c>
      <c r="F33" s="32"/>
      <c r="G33" s="34">
        <f>AVERAGE(G25:G32)</f>
        <v>383.64583333333331</v>
      </c>
      <c r="H33" s="32"/>
      <c r="I33" s="35">
        <f>AVERAGE(I25:I32)</f>
        <v>0.96817420435510881</v>
      </c>
      <c r="J33" s="32"/>
      <c r="K33" s="32">
        <f>AVERAGE(K25:K32)</f>
        <v>4024.6666666666665</v>
      </c>
      <c r="L33" s="36"/>
      <c r="M33" s="37">
        <f>AVERAGE(M25:M32)</f>
        <v>47.8125</v>
      </c>
      <c r="N33" s="36"/>
      <c r="O33" s="36">
        <f>AVERAGE(O25:O32)</f>
        <v>13.30625</v>
      </c>
      <c r="P33" s="36">
        <f>AVERAGE(P17:P32)</f>
        <v>30.037179487179483</v>
      </c>
      <c r="Q33" s="36">
        <f>AVERAGE(Q17:Q32)</f>
        <v>13.866153846153848</v>
      </c>
      <c r="R33" s="36"/>
      <c r="S33" s="38">
        <f>AVERAGE(S25:S32)</f>
        <v>60.304761904761904</v>
      </c>
      <c r="T33" s="34">
        <f>AVERAGE(T25:T32)</f>
        <v>433.91363636363633</v>
      </c>
      <c r="U33" s="34">
        <f>AVERAGE(U25:U32)</f>
        <v>1459.8733383151407</v>
      </c>
      <c r="V33" s="24">
        <f>AVERAGE(V25:V32)</f>
        <v>100</v>
      </c>
      <c r="W33" s="30">
        <f t="shared" ref="W33" si="50">AVERAGE(W25:W32)</f>
        <v>1.2103703513689403</v>
      </c>
      <c r="X33" s="30">
        <f t="shared" ref="X33:AA33" si="51">AVERAGE(X25:X32)</f>
        <v>0.33623892945753758</v>
      </c>
      <c r="Y33" s="24">
        <f t="shared" si="51"/>
        <v>27.135783520415529</v>
      </c>
      <c r="Z33" s="24">
        <f t="shared" si="51"/>
        <v>39.283082616118023</v>
      </c>
      <c r="AA33" s="21">
        <f t="shared" si="51"/>
        <v>16.35749441669557</v>
      </c>
      <c r="AC33" s="31">
        <f>AVERAGE(AC3:AC32)</f>
        <v>18.781045354896936</v>
      </c>
      <c r="AD33" s="159">
        <f>AVERAGE(AD3:AD32)</f>
        <v>0.83217619058518466</v>
      </c>
      <c r="AE33" s="17">
        <f>AVERAGE(AE3:AE32)</f>
        <v>3.4499864249386505</v>
      </c>
      <c r="AF33" s="176">
        <f>CORREL(G25:G32,K25:K32)</f>
        <v>0.37344488816176052</v>
      </c>
      <c r="AG33" s="176">
        <f>CORREL(U25:U32,K25:K32)</f>
        <v>0.40736619450876499</v>
      </c>
      <c r="AH33" s="176">
        <f>CORREL(T25:T32,K25:K32)</f>
        <v>0.49620558947182347</v>
      </c>
      <c r="AI33" s="176">
        <f>CORREL(M25:M32,K25:K32)</f>
        <v>0.6584316552629057</v>
      </c>
      <c r="AW33" s="11"/>
      <c r="AX33" s="11"/>
      <c r="AZ33" s="7"/>
    </row>
    <row r="34" spans="1:52" x14ac:dyDescent="0.25">
      <c r="A34" s="32" t="s">
        <v>84</v>
      </c>
      <c r="C34" s="32"/>
      <c r="D34" s="32"/>
      <c r="E34" s="166">
        <f>_xlfn.STDEV.S(E25:E32)</f>
        <v>0.17419201228201361</v>
      </c>
      <c r="F34" s="32"/>
      <c r="G34" s="34">
        <f>_xlfn.STDEV.S(G25:G32)</f>
        <v>245.2141506167587</v>
      </c>
      <c r="H34" s="38"/>
      <c r="I34" s="35"/>
      <c r="J34" s="32"/>
      <c r="K34" s="34">
        <f>_xlfn.STDEV.S(K25:K32)</f>
        <v>929.88560484354252</v>
      </c>
      <c r="L34" s="36"/>
      <c r="M34" s="37"/>
      <c r="N34" s="36"/>
      <c r="O34" s="36"/>
      <c r="P34" s="36"/>
      <c r="Q34" s="36"/>
      <c r="R34" s="36"/>
      <c r="S34" s="38"/>
      <c r="T34" s="34"/>
      <c r="U34" s="34"/>
      <c r="V34" s="24"/>
      <c r="W34" s="30"/>
      <c r="X34" s="30"/>
      <c r="Y34" s="24"/>
      <c r="Z34" s="24"/>
      <c r="AA34" s="21"/>
      <c r="AB34" s="18" t="s">
        <v>71</v>
      </c>
      <c r="AC34" s="31">
        <f>MAX(AC3:AC32)</f>
        <v>53.215451451805365</v>
      </c>
      <c r="AD34" s="159">
        <f>MAX(AD3:AD32)</f>
        <v>2.882352941176471</v>
      </c>
      <c r="AE34" s="17">
        <f>MAX(AE3:AE32)</f>
        <v>13.467181467181469</v>
      </c>
      <c r="AF34" s="18"/>
      <c r="AG34" s="18"/>
      <c r="AH34" s="18"/>
      <c r="AJ34">
        <f>0.41/9.75</f>
        <v>4.205128205128205E-2</v>
      </c>
      <c r="AW34" s="11"/>
      <c r="AX34" s="11"/>
      <c r="AZ34" s="7"/>
    </row>
    <row r="35" spans="1:52" x14ac:dyDescent="0.25">
      <c r="C35" s="32"/>
      <c r="D35" s="36"/>
      <c r="E35" s="32"/>
      <c r="F35" s="32"/>
      <c r="G35" s="39"/>
      <c r="H35" s="32"/>
      <c r="I35" s="32"/>
      <c r="J35" s="32"/>
      <c r="K35" s="32"/>
      <c r="L35" s="32"/>
      <c r="M35" s="39"/>
      <c r="N35" s="32"/>
      <c r="O35" s="32"/>
      <c r="P35" s="32"/>
      <c r="Q35" s="32"/>
      <c r="R35" s="32"/>
      <c r="S35" s="55"/>
      <c r="T35" s="39"/>
      <c r="U35" s="100">
        <f>AVERAGE(U25:U30,U32)</f>
        <v>1037.0635570103657</v>
      </c>
      <c r="V35" s="40" t="s">
        <v>69</v>
      </c>
      <c r="X35" s="32"/>
      <c r="AB35" s="18" t="s">
        <v>72</v>
      </c>
      <c r="AC35" s="31">
        <f>MIN(AC3:AC32)</f>
        <v>10.087174439733495</v>
      </c>
      <c r="AD35" s="159">
        <f>MIN(AD3:AD32)</f>
        <v>5.854783319705642E-2</v>
      </c>
      <c r="AE35" s="17">
        <f>MIN(AE3:AE32)</f>
        <v>0.37142158062148273</v>
      </c>
      <c r="AF35" s="18"/>
      <c r="AG35" s="18"/>
      <c r="AH35" s="18"/>
      <c r="AJ35">
        <f>0.36/9.76</f>
        <v>3.6885245901639344E-2</v>
      </c>
    </row>
    <row r="36" spans="1:52" s="47" customFormat="1" ht="18.75" x14ac:dyDescent="0.3">
      <c r="A36" s="46" t="s">
        <v>67</v>
      </c>
      <c r="C36" s="48">
        <f>AVERAGE(C3:C10,C14:C21,C25:C32)</f>
        <v>45.236363636363635</v>
      </c>
      <c r="D36" s="48">
        <f t="shared" ref="D36:U36" si="52">AVERAGE(D3:D10,D14:D21,D25:D32)</f>
        <v>6.4671428571428571</v>
      </c>
      <c r="E36" s="48">
        <f t="shared" si="52"/>
        <v>9.9324999999999992</v>
      </c>
      <c r="F36" s="48">
        <f t="shared" si="52"/>
        <v>670.80952380952385</v>
      </c>
      <c r="G36" s="53">
        <f>AVERAGE(G3:G10,G14:G21,G25:G32)</f>
        <v>439.3055555555556</v>
      </c>
      <c r="H36" s="48">
        <f t="shared" si="52"/>
        <v>2.7444444444444445</v>
      </c>
      <c r="I36" s="48">
        <f t="shared" si="52"/>
        <v>1.3791178112786149</v>
      </c>
      <c r="J36" s="52">
        <f t="shared" si="52"/>
        <v>1597.8472222222226</v>
      </c>
      <c r="K36" s="52">
        <f t="shared" si="52"/>
        <v>3187.8611111111113</v>
      </c>
      <c r="L36" s="48">
        <f t="shared" si="52"/>
        <v>2.6536231884057977</v>
      </c>
      <c r="M36" s="53">
        <f t="shared" si="52"/>
        <v>45.215277777777779</v>
      </c>
      <c r="N36" s="48">
        <f t="shared" si="52"/>
        <v>8.1006944444444429</v>
      </c>
      <c r="O36" s="48">
        <f t="shared" si="52"/>
        <v>12.295138888888888</v>
      </c>
      <c r="P36" s="52">
        <f t="shared" si="52"/>
        <v>190.61805555555557</v>
      </c>
      <c r="Q36" s="48">
        <f t="shared" si="52"/>
        <v>16.054499999999997</v>
      </c>
      <c r="R36" s="48">
        <f t="shared" si="52"/>
        <v>0.29101851851851862</v>
      </c>
      <c r="S36" s="48">
        <f t="shared" si="52"/>
        <v>207.10416666666666</v>
      </c>
      <c r="T36" s="53">
        <f t="shared" si="52"/>
        <v>258.63560606060611</v>
      </c>
      <c r="U36" s="53">
        <f t="shared" si="52"/>
        <v>838.85836800240543</v>
      </c>
      <c r="V36" s="52">
        <f>AVERAGE(V3:V10,V14:V21,V25:V32)</f>
        <v>100</v>
      </c>
      <c r="W36" s="101">
        <f t="shared" ref="W36:X36" si="53">AVERAGE(W3:W10,W14:W21,W25:W32)</f>
        <v>1.504432235804984</v>
      </c>
      <c r="X36" s="101">
        <f t="shared" si="53"/>
        <v>0.40432109248830755</v>
      </c>
      <c r="Y36" s="50"/>
      <c r="AB36" s="47" t="s">
        <v>84</v>
      </c>
      <c r="AC36" s="47">
        <f>_xlfn.STDEV.S(AC3:AC32)</f>
        <v>9.0450262661939398</v>
      </c>
      <c r="AD36" s="47">
        <f>_xlfn.STDEV.S(AD3:AD32)</f>
        <v>0.73952871724211233</v>
      </c>
      <c r="AE36" s="165">
        <f>_xlfn.STDEV.S(AE3:AE32)</f>
        <v>3.9880288684823881</v>
      </c>
    </row>
    <row r="37" spans="1:52" s="47" customFormat="1" ht="18.75" x14ac:dyDescent="0.3">
      <c r="A37" s="50" t="s">
        <v>70</v>
      </c>
      <c r="C37" s="51">
        <f>_xlfn.STDEV.S(C3:C10,C14:C21,C25:C32)</f>
        <v>8.316509424291489</v>
      </c>
      <c r="D37" s="51">
        <f t="shared" ref="D37:U37" si="54">_xlfn.STDEV.S(D3:D10,D14:D21,D25:D32)</f>
        <v>1.5592631043449436</v>
      </c>
      <c r="E37" s="51">
        <f t="shared" si="54"/>
        <v>2.0718113268135836</v>
      </c>
      <c r="F37" s="51">
        <f t="shared" si="54"/>
        <v>354.58886319900392</v>
      </c>
      <c r="G37" s="54">
        <f t="shared" si="54"/>
        <v>271.75343002633633</v>
      </c>
      <c r="H37" s="51">
        <f t="shared" si="54"/>
        <v>1.8720552474949028</v>
      </c>
      <c r="I37" s="51">
        <f t="shared" si="54"/>
        <v>0.94073128014819274</v>
      </c>
      <c r="J37" s="49">
        <f t="shared" si="54"/>
        <v>910.55022904037207</v>
      </c>
      <c r="K37" s="49">
        <f t="shared" si="54"/>
        <v>1192.3848587468558</v>
      </c>
      <c r="L37" s="51">
        <f t="shared" si="54"/>
        <v>1.5517988626574408</v>
      </c>
      <c r="M37" s="54">
        <f t="shared" si="54"/>
        <v>14.087072153284803</v>
      </c>
      <c r="N37" s="51">
        <f t="shared" si="54"/>
        <v>3.283178761780047</v>
      </c>
      <c r="O37" s="51">
        <f t="shared" si="54"/>
        <v>5.227085902585805</v>
      </c>
      <c r="P37" s="49">
        <f t="shared" si="54"/>
        <v>269.96570385923542</v>
      </c>
      <c r="Q37" s="51">
        <f t="shared" si="54"/>
        <v>8.2333476294357055</v>
      </c>
      <c r="R37" s="51">
        <f t="shared" si="54"/>
        <v>0.16449511231434383</v>
      </c>
      <c r="S37" s="51">
        <f t="shared" si="54"/>
        <v>274.92044708290558</v>
      </c>
      <c r="T37" s="54">
        <f t="shared" si="54"/>
        <v>168.71507535041738</v>
      </c>
      <c r="U37" s="54">
        <f t="shared" si="54"/>
        <v>780.46066093795673</v>
      </c>
      <c r="V37" s="49"/>
      <c r="W37" s="152">
        <f>_xlfn.STDEV.S(W3:W10,W14:W21,W25:W32)</f>
        <v>0.3974381148243612</v>
      </c>
      <c r="X37" s="152">
        <f>_xlfn.STDEV.S(X3:X10,X14:X21,X25:X32)</f>
        <v>0.15516261085622493</v>
      </c>
    </row>
    <row r="38" spans="1:52" x14ac:dyDescent="0.25">
      <c r="J38" s="31"/>
      <c r="M38" s="26"/>
      <c r="P38" s="18"/>
      <c r="Q38" s="18"/>
    </row>
    <row r="39" spans="1:52" x14ac:dyDescent="0.25">
      <c r="A39" s="19" t="s">
        <v>71</v>
      </c>
      <c r="C39" s="24">
        <f>MAX(C3:C10,C14:C21,C25:C32)</f>
        <v>57</v>
      </c>
      <c r="D39" s="24">
        <f t="shared" ref="D39:U39" si="55">MAX(D3:D10,D14:D21,D25:D32)</f>
        <v>8.67</v>
      </c>
      <c r="E39" s="24">
        <f t="shared" si="55"/>
        <v>12</v>
      </c>
      <c r="F39" s="24">
        <f t="shared" si="55"/>
        <v>1791</v>
      </c>
      <c r="G39" s="23">
        <f t="shared" si="55"/>
        <v>1067</v>
      </c>
      <c r="H39" s="24">
        <f t="shared" si="55"/>
        <v>9.1999999999999993</v>
      </c>
      <c r="I39" s="24">
        <f t="shared" si="55"/>
        <v>4.6231155778894468</v>
      </c>
      <c r="J39" s="24">
        <f t="shared" si="55"/>
        <v>3646.6666666666665</v>
      </c>
      <c r="K39" s="24">
        <f t="shared" si="55"/>
        <v>5363.333333333333</v>
      </c>
      <c r="L39" s="24">
        <f t="shared" si="55"/>
        <v>7.4</v>
      </c>
      <c r="M39" s="23">
        <f t="shared" si="55"/>
        <v>79.333333333333329</v>
      </c>
      <c r="N39" s="24">
        <f t="shared" si="55"/>
        <v>15.266666666666666</v>
      </c>
      <c r="O39" s="24">
        <f t="shared" si="55"/>
        <v>28.866666666666664</v>
      </c>
      <c r="P39" s="24">
        <f t="shared" si="55"/>
        <v>816.66666666666663</v>
      </c>
      <c r="Q39" s="24">
        <f t="shared" si="55"/>
        <v>39.799999999999997</v>
      </c>
      <c r="R39" s="24">
        <f t="shared" si="55"/>
        <v>0.55666666666666675</v>
      </c>
      <c r="S39" s="24">
        <f t="shared" si="55"/>
        <v>834.93333333333328</v>
      </c>
      <c r="T39" s="23">
        <f t="shared" si="55"/>
        <v>646.16666666666663</v>
      </c>
      <c r="U39" s="23">
        <f t="shared" si="55"/>
        <v>3996.7320261437908</v>
      </c>
    </row>
    <row r="40" spans="1:52" x14ac:dyDescent="0.25">
      <c r="A40" s="19" t="s">
        <v>72</v>
      </c>
      <c r="C40" s="24">
        <f>MIN(C3:C10,C14:C21,C25:C32)</f>
        <v>31</v>
      </c>
      <c r="D40" s="24">
        <f t="shared" ref="D40:U40" si="56">MIN(D3:D10,D14:D21,D25:D32)</f>
        <v>1.97</v>
      </c>
      <c r="E40" s="24">
        <f t="shared" si="56"/>
        <v>6.8</v>
      </c>
      <c r="F40" s="24">
        <f t="shared" si="56"/>
        <v>217</v>
      </c>
      <c r="G40" s="23">
        <f t="shared" si="56"/>
        <v>92</v>
      </c>
      <c r="H40" s="24">
        <f t="shared" si="56"/>
        <v>1.29</v>
      </c>
      <c r="I40" s="24">
        <f t="shared" si="56"/>
        <v>0.64824120603015079</v>
      </c>
      <c r="J40" s="24">
        <f t="shared" si="56"/>
        <v>308.66666666666669</v>
      </c>
      <c r="K40" s="24">
        <f t="shared" si="56"/>
        <v>1250</v>
      </c>
      <c r="L40" s="24">
        <f t="shared" si="56"/>
        <v>0.66666666666666663</v>
      </c>
      <c r="M40" s="23">
        <f t="shared" si="56"/>
        <v>24</v>
      </c>
      <c r="N40" s="24">
        <f t="shared" si="56"/>
        <v>3.7999999999999994</v>
      </c>
      <c r="O40" s="24">
        <f t="shared" si="56"/>
        <v>4.3666666666666663</v>
      </c>
      <c r="P40" s="24">
        <f t="shared" si="56"/>
        <v>12</v>
      </c>
      <c r="Q40" s="24">
        <f t="shared" si="56"/>
        <v>6.166666666666667</v>
      </c>
      <c r="R40" s="24">
        <f t="shared" si="56"/>
        <v>9.3333333333333338E-2</v>
      </c>
      <c r="S40" s="24">
        <f t="shared" si="56"/>
        <v>23.333333333333336</v>
      </c>
      <c r="T40" s="23">
        <f t="shared" si="56"/>
        <v>23.5</v>
      </c>
      <c r="U40" s="23">
        <f t="shared" si="56"/>
        <v>201.68707482993196</v>
      </c>
    </row>
    <row r="41" spans="1:52" x14ac:dyDescent="0.25">
      <c r="C41" s="11"/>
      <c r="D41" s="11"/>
      <c r="H41" s="11"/>
      <c r="I41" s="11"/>
    </row>
    <row r="42" spans="1:52" x14ac:dyDescent="0.25">
      <c r="C42" s="11"/>
      <c r="D42" s="11"/>
      <c r="H42" s="11"/>
      <c r="I42" s="11"/>
    </row>
    <row r="43" spans="1:52" x14ac:dyDescent="0.25">
      <c r="C43" s="11"/>
      <c r="D43" s="11"/>
      <c r="H43" s="11"/>
      <c r="I43" s="11"/>
    </row>
    <row r="44" spans="1:52" x14ac:dyDescent="0.25">
      <c r="C44" s="11"/>
      <c r="D44" s="11"/>
    </row>
    <row r="49" spans="3:4" x14ac:dyDescent="0.25">
      <c r="C49" s="11"/>
      <c r="D49" s="11"/>
    </row>
  </sheetData>
  <mergeCells count="3">
    <mergeCell ref="P1:R1"/>
    <mergeCell ref="AK2:AL2"/>
    <mergeCell ref="AM2:AN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workbookViewId="0">
      <selection activeCell="AF26" sqref="AF26"/>
    </sheetView>
  </sheetViews>
  <sheetFormatPr defaultRowHeight="15" x14ac:dyDescent="0.25"/>
  <cols>
    <col min="25" max="25" width="18" customWidth="1"/>
    <col min="26" max="26" width="9.5703125" customWidth="1"/>
  </cols>
  <sheetData>
    <row r="1" spans="1:31" x14ac:dyDescent="0.25">
      <c r="C1" t="s">
        <v>209</v>
      </c>
      <c r="D1" t="s">
        <v>147</v>
      </c>
      <c r="E1" t="s">
        <v>103</v>
      </c>
      <c r="F1" t="s">
        <v>210</v>
      </c>
      <c r="G1" t="s">
        <v>211</v>
      </c>
      <c r="R1" s="5" t="s">
        <v>246</v>
      </c>
      <c r="T1" t="s">
        <v>243</v>
      </c>
      <c r="U1" t="s">
        <v>244</v>
      </c>
      <c r="V1" t="s">
        <v>245</v>
      </c>
      <c r="W1" t="s">
        <v>211</v>
      </c>
      <c r="Y1" t="s">
        <v>257</v>
      </c>
      <c r="AC1" t="s">
        <v>258</v>
      </c>
    </row>
    <row r="2" spans="1:31" x14ac:dyDescent="0.25">
      <c r="A2" t="str">
        <f>'Original dataset'!AJ10</f>
        <v>total FOG</v>
      </c>
      <c r="T2" s="7">
        <f>'Original dataset'!G3</f>
        <v>456.66666666666669</v>
      </c>
      <c r="U2" s="66">
        <f>'Gerber method'!Z2</f>
        <v>557.91417714146644</v>
      </c>
      <c r="V2" s="7">
        <f>'Original dataset'!G25</f>
        <v>547</v>
      </c>
      <c r="W2" s="7">
        <f>'Gerber method'!Z12</f>
        <v>278.38500385219334</v>
      </c>
      <c r="Y2" t="s">
        <v>250</v>
      </c>
      <c r="AC2" t="s">
        <v>250</v>
      </c>
    </row>
    <row r="3" spans="1:31" ht="15.75" thickBot="1" x14ac:dyDescent="0.3">
      <c r="A3" t="str">
        <f>'Original dataset'!AJ11</f>
        <v>MEAN</v>
      </c>
      <c r="C3" s="7">
        <f>'Original dataset'!AK11</f>
        <v>650.47916666666674</v>
      </c>
      <c r="D3" s="7">
        <f>'Original dataset'!AM11</f>
        <v>283.79166666666663</v>
      </c>
      <c r="E3" s="7">
        <f>'Original dataset'!AO11</f>
        <v>383.64583333333331</v>
      </c>
      <c r="F3" s="7">
        <f>AVERAGE('colab graphs'!$R$5:$Y$5)</f>
        <v>879.38417580033683</v>
      </c>
      <c r="G3" s="7">
        <f>AVERAGE('colab graphs'!$AA$5:$AH$5)</f>
        <v>313.05118549176552</v>
      </c>
      <c r="T3" s="7">
        <f>'Original dataset'!G4</f>
        <v>1067</v>
      </c>
      <c r="U3" s="66">
        <f>'Gerber method'!Z3</f>
        <v>237.4844562926578</v>
      </c>
      <c r="V3" s="7">
        <f>'Original dataset'!G26</f>
        <v>318.5</v>
      </c>
      <c r="W3" s="7">
        <f>'Gerber method'!Z13</f>
        <v>379.97279565601769</v>
      </c>
    </row>
    <row r="4" spans="1:31" x14ac:dyDescent="0.25">
      <c r="A4" t="str">
        <f>'Original dataset'!AJ12</f>
        <v>SD</v>
      </c>
      <c r="C4" s="7">
        <f>'Original dataset'!AK12</f>
        <v>286.23122295799897</v>
      </c>
      <c r="D4" s="7">
        <f>'Original dataset'!AM12</f>
        <v>135.81779782616573</v>
      </c>
      <c r="E4" s="7">
        <f>'Original dataset'!AO12</f>
        <v>245.2141506167587</v>
      </c>
      <c r="F4" s="7">
        <f>_xlfn.STDEV.S('colab graphs'!$R$5:$Y$5)</f>
        <v>582.50427320511949</v>
      </c>
      <c r="G4" s="7">
        <f>_xlfn.STDEV.S('colab graphs'!$AA$5:$AH$5)</f>
        <v>91.801678966256617</v>
      </c>
      <c r="T4" s="7">
        <f>'Original dataset'!G5</f>
        <v>252.66666666666666</v>
      </c>
      <c r="U4" s="66">
        <f>'Gerber method'!Z4</f>
        <v>545.42641667542932</v>
      </c>
      <c r="V4" s="7">
        <f>'Original dataset'!G27</f>
        <v>373</v>
      </c>
      <c r="W4" s="7">
        <f>'Gerber method'!Z14</f>
        <v>306.10893079555711</v>
      </c>
      <c r="Y4" s="92"/>
      <c r="Z4" s="92" t="s">
        <v>243</v>
      </c>
      <c r="AA4" s="92" t="s">
        <v>244</v>
      </c>
      <c r="AC4" s="92"/>
      <c r="AD4" s="92" t="s">
        <v>245</v>
      </c>
      <c r="AE4" s="92" t="s">
        <v>211</v>
      </c>
    </row>
    <row r="5" spans="1:31" x14ac:dyDescent="0.25">
      <c r="A5" t="s">
        <v>237</v>
      </c>
      <c r="C5" t="s">
        <v>238</v>
      </c>
      <c r="D5" t="s">
        <v>239</v>
      </c>
      <c r="E5" t="s">
        <v>242</v>
      </c>
      <c r="F5" t="s">
        <v>240</v>
      </c>
      <c r="G5" t="s">
        <v>241</v>
      </c>
      <c r="T5" s="7">
        <f>'Original dataset'!G6</f>
        <v>581.33333333333337</v>
      </c>
      <c r="U5" s="66">
        <f>'Gerber method'!Z5</f>
        <v>1000.711447285315</v>
      </c>
      <c r="V5" s="7">
        <f>'Original dataset'!G28</f>
        <v>849.5</v>
      </c>
      <c r="W5" s="7">
        <f>'Gerber method'!Z15</f>
        <v>371.20823337130167</v>
      </c>
      <c r="Y5" s="14" t="s">
        <v>27</v>
      </c>
      <c r="Z5" s="14">
        <v>650.47916666666674</v>
      </c>
      <c r="AA5" s="14">
        <v>879.38417580033683</v>
      </c>
      <c r="AC5" s="14" t="s">
        <v>27</v>
      </c>
      <c r="AD5" s="14">
        <v>383.64583333333331</v>
      </c>
      <c r="AE5" s="14">
        <v>313.05118549176552</v>
      </c>
    </row>
    <row r="6" spans="1:31" x14ac:dyDescent="0.25">
      <c r="A6" t="s">
        <v>208</v>
      </c>
      <c r="C6" s="7">
        <f>'Original dataset'!Y11</f>
        <v>67.12735028567738</v>
      </c>
      <c r="D6" s="7">
        <f>'Original dataset'!Y22</f>
        <v>31.657806132330816</v>
      </c>
      <c r="E6" s="7">
        <f>'Original dataset'!Y33</f>
        <v>27.135783520415529</v>
      </c>
      <c r="F6" s="31">
        <f>COD!P11</f>
        <v>34.955702765885171</v>
      </c>
      <c r="G6" s="31">
        <f>COD!AE11</f>
        <v>50.353627450096639</v>
      </c>
      <c r="H6" t="s">
        <v>217</v>
      </c>
      <c r="T6" s="7">
        <f>'Original dataset'!G7</f>
        <v>1041</v>
      </c>
      <c r="U6" s="66">
        <f>'Gerber method'!Z6</f>
        <v>398.9560602569004</v>
      </c>
      <c r="V6" s="7">
        <f>'Original dataset'!G29</f>
        <v>499.5</v>
      </c>
      <c r="W6" s="7">
        <f>'Gerber method'!Z16</f>
        <v>476.64278373855507</v>
      </c>
      <c r="Y6" s="14" t="s">
        <v>247</v>
      </c>
      <c r="Z6" s="14">
        <v>81928.312996031716</v>
      </c>
      <c r="AA6" s="14">
        <v>339311.22830222442</v>
      </c>
      <c r="AC6" s="14" t="s">
        <v>247</v>
      </c>
      <c r="AD6" s="14">
        <v>60129.979662698424</v>
      </c>
      <c r="AE6" s="14">
        <v>8427.5482610236413</v>
      </c>
    </row>
    <row r="7" spans="1:31" x14ac:dyDescent="0.25">
      <c r="C7" s="7">
        <f>_xlfn.STDEV.S('Original dataset'!Y3:Y10)</f>
        <v>14.77528538131526</v>
      </c>
      <c r="D7" s="7">
        <f>_xlfn.STDEV.S('Original dataset'!Y14:Y21)</f>
        <v>13.562937059129879</v>
      </c>
      <c r="E7" s="7">
        <f>_xlfn.STDEV.S('Original dataset'!Y25:Y32)</f>
        <v>17.624500284772616</v>
      </c>
      <c r="F7" s="31">
        <f>COD!P12</f>
        <v>13.720255677886009</v>
      </c>
      <c r="G7" s="31">
        <f>COD!AE12</f>
        <v>11.080968300725607</v>
      </c>
      <c r="P7" t="s">
        <v>231</v>
      </c>
      <c r="T7" s="7">
        <f>'Original dataset'!G8</f>
        <v>696.5</v>
      </c>
      <c r="U7" s="66">
        <f>'Gerber method'!Z7</f>
        <v>2022.5613561700939</v>
      </c>
      <c r="V7" s="7">
        <f>'Original dataset'!G30</f>
        <v>155.66666666666666</v>
      </c>
      <c r="W7" s="7">
        <f>'Gerber method'!Z17</f>
        <v>221.82882710793339</v>
      </c>
      <c r="Y7" s="14" t="s">
        <v>248</v>
      </c>
      <c r="Z7" s="14">
        <v>8</v>
      </c>
      <c r="AA7" s="14">
        <v>8</v>
      </c>
      <c r="AC7" s="14" t="s">
        <v>248</v>
      </c>
      <c r="AD7" s="14">
        <v>8</v>
      </c>
      <c r="AE7" s="14">
        <v>8</v>
      </c>
    </row>
    <row r="8" spans="1:31" x14ac:dyDescent="0.25">
      <c r="P8">
        <f>100*2.31/14</f>
        <v>16.5</v>
      </c>
      <c r="Q8" t="s">
        <v>232</v>
      </c>
      <c r="T8" s="7">
        <f>'Original dataset'!G9</f>
        <v>439.66666666666669</v>
      </c>
      <c r="U8" s="66">
        <f>'Gerber method'!Z8</f>
        <v>1315.1377587655691</v>
      </c>
      <c r="V8" s="7">
        <f>'Original dataset'!G31</f>
        <v>234</v>
      </c>
      <c r="W8" s="7">
        <f>'Gerber method'!Z18</f>
        <v>198.69345205122252</v>
      </c>
      <c r="Y8" s="14" t="s">
        <v>251</v>
      </c>
      <c r="Z8" s="14">
        <v>0</v>
      </c>
      <c r="AA8" s="14"/>
      <c r="AC8" s="14" t="s">
        <v>251</v>
      </c>
      <c r="AD8" s="14">
        <v>0</v>
      </c>
      <c r="AE8" s="14"/>
    </row>
    <row r="9" spans="1:31" x14ac:dyDescent="0.25">
      <c r="A9" t="s">
        <v>212</v>
      </c>
      <c r="C9" s="7">
        <f>'Original dataset'!$P$11</f>
        <v>509.11111111111114</v>
      </c>
      <c r="D9" s="7">
        <f>'Original dataset'!P22</f>
        <v>14.025</v>
      </c>
      <c r="E9" s="7">
        <f>'Original dataset'!P33</f>
        <v>30.037179487179483</v>
      </c>
      <c r="F9" s="7">
        <f>[1]surfactants!$T$13</f>
        <v>179.85677083333334</v>
      </c>
      <c r="G9" s="7">
        <f>[1]surfactants!$Y$13</f>
        <v>2.13671875</v>
      </c>
      <c r="T9" s="7">
        <f>'Original dataset'!G10</f>
        <v>669</v>
      </c>
      <c r="U9" s="66">
        <f>'Gerber method'!Z9</f>
        <v>956.88173381526303</v>
      </c>
      <c r="V9" s="7">
        <f>'Original dataset'!G32</f>
        <v>92</v>
      </c>
      <c r="W9" s="7">
        <f>'Gerber method'!Z19</f>
        <v>271.56945736134321</v>
      </c>
      <c r="Y9" s="14" t="s">
        <v>249</v>
      </c>
      <c r="Z9" s="14">
        <v>10</v>
      </c>
      <c r="AA9" s="14"/>
      <c r="AC9" s="14" t="s">
        <v>249</v>
      </c>
      <c r="AD9" s="14">
        <v>9</v>
      </c>
      <c r="AE9" s="14"/>
    </row>
    <row r="10" spans="1:31" x14ac:dyDescent="0.25">
      <c r="B10" t="s">
        <v>175</v>
      </c>
      <c r="C10" s="7">
        <f>'Original dataset'!Q11</f>
        <v>18.946666666666665</v>
      </c>
      <c r="D10" s="7">
        <f>'Original dataset'!Q22</f>
        <v>10.743333333333334</v>
      </c>
      <c r="E10" s="7">
        <f>'Original dataset'!Q33</f>
        <v>13.866153846153848</v>
      </c>
      <c r="F10" s="7">
        <f>[1]surfactants!$V$13</f>
        <v>37.052083333333336</v>
      </c>
      <c r="G10" s="7">
        <f>[1]surfactants!$Z$13</f>
        <v>24.11286458333333</v>
      </c>
      <c r="P10" s="11">
        <f>100*(1.48+0.331)/3.84</f>
        <v>47.161458333333336</v>
      </c>
      <c r="Q10" t="s">
        <v>233</v>
      </c>
      <c r="Y10" s="14" t="s">
        <v>252</v>
      </c>
      <c r="Z10" s="14">
        <v>-0.99755241501301772</v>
      </c>
      <c r="AA10" s="14"/>
      <c r="AC10" s="14" t="s">
        <v>252</v>
      </c>
      <c r="AD10" s="14">
        <v>0.76258664444747559</v>
      </c>
      <c r="AE10" s="14"/>
    </row>
    <row r="11" spans="1:31" x14ac:dyDescent="0.25">
      <c r="Y11" s="14" t="s">
        <v>253</v>
      </c>
      <c r="Z11" s="14">
        <v>0.17101108681071736</v>
      </c>
      <c r="AA11" s="14"/>
      <c r="AC11" s="14" t="s">
        <v>253</v>
      </c>
      <c r="AD11" s="14">
        <v>0.23261313706445191</v>
      </c>
      <c r="AE11" s="14"/>
    </row>
    <row r="12" spans="1:31" ht="15.75" thickBot="1" x14ac:dyDescent="0.3">
      <c r="A12" t="s">
        <v>213</v>
      </c>
      <c r="C12" s="41">
        <f>'Original dataset'!$E$11</f>
        <v>7.1049999999999995</v>
      </c>
      <c r="D12" s="41">
        <f>'Original dataset'!$E$22</f>
        <v>11.122499999999999</v>
      </c>
      <c r="E12" s="41">
        <f>'Original dataset'!E33</f>
        <v>11.569999999999999</v>
      </c>
      <c r="F12" s="41">
        <f>AVERAGE('Gerber method'!AH2:AH9)</f>
        <v>6.7627500000000005</v>
      </c>
      <c r="G12" s="41">
        <f>AVERAGE('Gerber method'!AH12:AH19)</f>
        <v>11.576515625000001</v>
      </c>
      <c r="H12" s="159">
        <f>AVERAGE(D12,E12,G12)</f>
        <v>11.423005208333331</v>
      </c>
      <c r="P12">
        <f>1400/800</f>
        <v>1.75</v>
      </c>
      <c r="Y12" s="14" t="s">
        <v>254</v>
      </c>
      <c r="Z12" s="14">
        <v>1.812461122811676</v>
      </c>
      <c r="AA12" s="14"/>
      <c r="AC12" s="14" t="s">
        <v>254</v>
      </c>
      <c r="AD12" s="14">
        <v>1.8331129326562374</v>
      </c>
      <c r="AE12" s="14"/>
    </row>
    <row r="13" spans="1:31" x14ac:dyDescent="0.25">
      <c r="C13" s="41">
        <f>_xlfn.STDEV.S('Original dataset'!E3:E10)</f>
        <v>0.18361450300639567</v>
      </c>
      <c r="D13" s="41">
        <f>_xlfn.STDEV.S('Original dataset'!E14:E21)</f>
        <v>0.46885117955640099</v>
      </c>
      <c r="E13" s="41">
        <f>_xlfn.STDEV.S('Original dataset'!E25:E32)</f>
        <v>0.17419201228201361</v>
      </c>
      <c r="F13" s="41">
        <f>_xlfn.STDEV.S('Gerber method'!AH2:AH9)</f>
        <v>0.20373775160379934</v>
      </c>
      <c r="G13" s="41">
        <f>_xlfn.STDEV.S('Gerber method'!AH12:AH19)</f>
        <v>0.1945520087174174</v>
      </c>
      <c r="T13" s="92"/>
      <c r="U13" s="92"/>
      <c r="V13" s="92"/>
      <c r="Y13" s="14" t="s">
        <v>255</v>
      </c>
      <c r="Z13" s="14">
        <v>0.34202217362143472</v>
      </c>
      <c r="AA13" s="14"/>
      <c r="AC13" s="14" t="s">
        <v>255</v>
      </c>
      <c r="AD13" s="14">
        <v>0.46522627412890383</v>
      </c>
      <c r="AE13" s="14"/>
    </row>
    <row r="14" spans="1:31" ht="15.75" thickBot="1" x14ac:dyDescent="0.3">
      <c r="C14" s="41"/>
      <c r="D14" s="41"/>
      <c r="E14" s="41"/>
      <c r="F14" s="41"/>
      <c r="G14" s="41"/>
      <c r="J14" t="s">
        <v>146</v>
      </c>
      <c r="K14" t="s">
        <v>225</v>
      </c>
      <c r="L14" t="s">
        <v>226</v>
      </c>
      <c r="T14" s="14"/>
      <c r="U14" s="14"/>
      <c r="V14" s="14"/>
      <c r="Y14" s="25" t="s">
        <v>256</v>
      </c>
      <c r="Z14" s="25">
        <v>2.2281388519862744</v>
      </c>
      <c r="AA14" s="25"/>
      <c r="AC14" s="25" t="s">
        <v>256</v>
      </c>
      <c r="AD14" s="25">
        <v>2.2621571627982053</v>
      </c>
      <c r="AE14" s="25"/>
    </row>
    <row r="15" spans="1:31" x14ac:dyDescent="0.25">
      <c r="A15" t="s">
        <v>146</v>
      </c>
      <c r="C15" s="7">
        <f>'Original dataset'!K11</f>
        <v>2886.4583333333335</v>
      </c>
      <c r="D15" s="7">
        <f>'Original dataset'!K22</f>
        <v>2652.458333333333</v>
      </c>
      <c r="E15" s="7">
        <f>'Original dataset'!K33</f>
        <v>4024.6666666666665</v>
      </c>
      <c r="F15" s="7">
        <f>COD!G11</f>
        <v>2527.6190476190482</v>
      </c>
      <c r="G15" s="7">
        <f>COD!V11</f>
        <v>1660.5833333333335</v>
      </c>
      <c r="I15" t="s">
        <v>227</v>
      </c>
      <c r="J15">
        <f>100*F15/F15</f>
        <v>100</v>
      </c>
      <c r="K15" s="11">
        <f>100*G18/F15</f>
        <v>1.7888485933182616</v>
      </c>
      <c r="L15" s="11">
        <f>100*G19/F15</f>
        <v>0.48643164405928141</v>
      </c>
      <c r="T15" s="14"/>
      <c r="U15" s="14"/>
      <c r="V15" s="14"/>
    </row>
    <row r="16" spans="1:31" x14ac:dyDescent="0.25">
      <c r="C16" s="7">
        <f>'Original dataset'!K12</f>
        <v>1383.6277476429914</v>
      </c>
      <c r="D16" s="7">
        <f>'Original dataset'!K23</f>
        <v>812.86448112987546</v>
      </c>
      <c r="E16" s="7">
        <f>'Original dataset'!K34</f>
        <v>929.88560484354252</v>
      </c>
      <c r="F16" s="7">
        <f>COD!G12</f>
        <v>919.91454437867844</v>
      </c>
      <c r="G16" s="7">
        <f>COD!V12</f>
        <v>270.42863454981739</v>
      </c>
      <c r="I16" t="s">
        <v>211</v>
      </c>
      <c r="J16">
        <f>100*G15/G15</f>
        <v>100</v>
      </c>
      <c r="K16" s="11">
        <f>100*G18/G15</f>
        <v>2.7228550877369062</v>
      </c>
      <c r="L16" s="11">
        <f>100*G19/G15</f>
        <v>0.74041083287332077</v>
      </c>
      <c r="T16" s="14"/>
      <c r="U16" s="14"/>
      <c r="V16" s="14"/>
      <c r="Y16" t="s">
        <v>259</v>
      </c>
      <c r="AC16" t="s">
        <v>260</v>
      </c>
    </row>
    <row r="17" spans="1:31" x14ac:dyDescent="0.25">
      <c r="C17" s="7"/>
      <c r="D17" s="7"/>
      <c r="E17" s="7"/>
      <c r="F17" s="7"/>
      <c r="G17" s="7"/>
      <c r="T17" s="14"/>
      <c r="U17" s="14"/>
      <c r="V17" s="14"/>
      <c r="Y17" t="s">
        <v>250</v>
      </c>
      <c r="AC17" t="s">
        <v>250</v>
      </c>
    </row>
    <row r="18" spans="1:31" ht="15.75" thickBot="1" x14ac:dyDescent="0.3">
      <c r="A18" t="s">
        <v>225</v>
      </c>
      <c r="C18" s="7">
        <f>'Original dataset'!$M$11</f>
        <v>45.125</v>
      </c>
      <c r="D18" s="7">
        <f>'Original dataset'!$M$22</f>
        <v>42.708333333333336</v>
      </c>
      <c r="E18" s="7">
        <f>'Original dataset'!$M$33</f>
        <v>47.8125</v>
      </c>
      <c r="F18" s="31" t="s">
        <v>68</v>
      </c>
      <c r="G18" s="31">
        <f>'Original dataset'!$M$36</f>
        <v>45.215277777777779</v>
      </c>
      <c r="T18" s="14"/>
      <c r="U18" s="14"/>
      <c r="V18" s="14"/>
    </row>
    <row r="19" spans="1:31" x14ac:dyDescent="0.25">
      <c r="A19" t="s">
        <v>226</v>
      </c>
      <c r="C19" s="11">
        <f>'Original dataset'!$O$11</f>
        <v>9.40625</v>
      </c>
      <c r="D19" s="11">
        <f>'Original dataset'!$O$22</f>
        <v>14.172916666666666</v>
      </c>
      <c r="E19" s="11">
        <f>'Original dataset'!$O$33</f>
        <v>13.30625</v>
      </c>
      <c r="F19" s="18"/>
      <c r="G19" s="17">
        <f>'Original dataset'!$O$36</f>
        <v>12.295138888888888</v>
      </c>
      <c r="T19" s="14"/>
      <c r="U19" s="14"/>
      <c r="V19" s="14"/>
      <c r="Y19" s="92"/>
      <c r="Z19" s="92" t="s">
        <v>243</v>
      </c>
      <c r="AA19" s="92" t="s">
        <v>245</v>
      </c>
      <c r="AC19" s="92"/>
      <c r="AD19" s="92" t="s">
        <v>244</v>
      </c>
      <c r="AE19" s="92" t="s">
        <v>211</v>
      </c>
    </row>
    <row r="20" spans="1:31" x14ac:dyDescent="0.25">
      <c r="B20" t="s">
        <v>221</v>
      </c>
      <c r="T20" s="14"/>
      <c r="U20" s="14"/>
      <c r="V20" s="14"/>
      <c r="Y20" s="14" t="s">
        <v>27</v>
      </c>
      <c r="Z20" s="14">
        <v>650.47916666666674</v>
      </c>
      <c r="AA20" s="14">
        <v>383.64583333333331</v>
      </c>
      <c r="AC20" s="14" t="s">
        <v>27</v>
      </c>
      <c r="AD20" s="14">
        <v>879.38417580033683</v>
      </c>
      <c r="AE20" s="14">
        <v>313.05118549176552</v>
      </c>
    </row>
    <row r="21" spans="1:31" x14ac:dyDescent="0.25">
      <c r="B21" s="151" t="s">
        <v>218</v>
      </c>
      <c r="C21">
        <v>1106</v>
      </c>
      <c r="D21">
        <f>100*C21/C21</f>
        <v>100</v>
      </c>
      <c r="G21">
        <f>1/1.5</f>
        <v>0.66666666666666663</v>
      </c>
      <c r="T21" s="14"/>
      <c r="U21" s="14"/>
      <c r="V21" s="14"/>
      <c r="Y21" s="14" t="s">
        <v>247</v>
      </c>
      <c r="Z21" s="14">
        <v>81928.312996031716</v>
      </c>
      <c r="AA21" s="14">
        <v>60129.979662698424</v>
      </c>
      <c r="AC21" s="14" t="s">
        <v>247</v>
      </c>
      <c r="AD21" s="14">
        <v>339311.22830222442</v>
      </c>
      <c r="AE21" s="14">
        <v>8427.5482610236413</v>
      </c>
    </row>
    <row r="22" spans="1:31" x14ac:dyDescent="0.25">
      <c r="B22" s="151" t="s">
        <v>219</v>
      </c>
      <c r="C22">
        <v>3.84</v>
      </c>
      <c r="D22" s="41">
        <f>100*C22/C21</f>
        <v>0.34719710669077758</v>
      </c>
      <c r="G22">
        <f>1/3.5</f>
        <v>0.2857142857142857</v>
      </c>
      <c r="T22" s="14"/>
      <c r="U22" s="14"/>
      <c r="V22" s="14"/>
      <c r="Y22" s="14" t="s">
        <v>248</v>
      </c>
      <c r="Z22" s="14">
        <v>8</v>
      </c>
      <c r="AA22" s="14">
        <v>8</v>
      </c>
      <c r="AC22" s="14" t="s">
        <v>248</v>
      </c>
      <c r="AD22" s="14">
        <v>8</v>
      </c>
      <c r="AE22" s="14">
        <v>8</v>
      </c>
    </row>
    <row r="23" spans="1:31" x14ac:dyDescent="0.25">
      <c r="B23" s="151" t="s">
        <v>220</v>
      </c>
      <c r="C23">
        <v>9.77</v>
      </c>
      <c r="D23" s="41">
        <f>100*C23/C21</f>
        <v>0.8833634719710669</v>
      </c>
      <c r="T23" s="14"/>
      <c r="U23" s="14"/>
      <c r="V23" s="14"/>
      <c r="Y23" s="14" t="s">
        <v>251</v>
      </c>
      <c r="Z23" s="14">
        <v>0</v>
      </c>
      <c r="AA23" s="14"/>
      <c r="AC23" s="14" t="s">
        <v>251</v>
      </c>
      <c r="AD23" s="14">
        <v>0</v>
      </c>
      <c r="AE23" s="14"/>
    </row>
    <row r="24" spans="1:31" ht="15.75" thickBot="1" x14ac:dyDescent="0.3">
      <c r="T24" s="25"/>
      <c r="U24" s="25"/>
      <c r="V24" s="25"/>
      <c r="Y24" s="14" t="s">
        <v>249</v>
      </c>
      <c r="Z24" s="14">
        <v>14</v>
      </c>
      <c r="AA24" s="14"/>
      <c r="AC24" s="14" t="s">
        <v>249</v>
      </c>
      <c r="AD24" s="14">
        <v>7</v>
      </c>
      <c r="AE24" s="14"/>
    </row>
    <row r="25" spans="1:31" x14ac:dyDescent="0.25">
      <c r="Y25" s="14" t="s">
        <v>252</v>
      </c>
      <c r="Z25" s="14">
        <v>2.002404348134796</v>
      </c>
      <c r="AA25" s="14"/>
      <c r="AC25" s="14" t="s">
        <v>252</v>
      </c>
      <c r="AD25" s="14">
        <v>2.7163785581265456</v>
      </c>
      <c r="AE25" s="14"/>
    </row>
    <row r="26" spans="1:31" x14ac:dyDescent="0.25">
      <c r="Y26" s="14" t="s">
        <v>253</v>
      </c>
      <c r="Z26" s="14">
        <v>3.2501184033426535E-2</v>
      </c>
      <c r="AA26" s="14"/>
      <c r="AC26" s="14" t="s">
        <v>253</v>
      </c>
      <c r="AD26" s="14">
        <v>1.4960901085896743E-2</v>
      </c>
      <c r="AE26" s="14"/>
    </row>
    <row r="27" spans="1:31" x14ac:dyDescent="0.25">
      <c r="Y27" s="14" t="s">
        <v>254</v>
      </c>
      <c r="Z27" s="14">
        <v>1.7613101357748921</v>
      </c>
      <c r="AA27" s="14"/>
      <c r="AC27" s="14" t="s">
        <v>254</v>
      </c>
      <c r="AD27" s="14">
        <v>1.8945786050900073</v>
      </c>
      <c r="AE27" s="14"/>
    </row>
    <row r="28" spans="1:31" x14ac:dyDescent="0.25">
      <c r="Y28" s="14" t="s">
        <v>255</v>
      </c>
      <c r="Z28" s="14">
        <v>6.500236806685307E-2</v>
      </c>
      <c r="AA28" s="14"/>
      <c r="AC28" s="167" t="s">
        <v>255</v>
      </c>
      <c r="AD28" s="167">
        <v>2.9921802171793487E-2</v>
      </c>
      <c r="AE28" s="14"/>
    </row>
    <row r="29" spans="1:31" ht="15.75" thickBot="1" x14ac:dyDescent="0.3">
      <c r="Y29" s="25" t="s">
        <v>256</v>
      </c>
      <c r="Z29" s="25">
        <v>2.1447866879178044</v>
      </c>
      <c r="AA29" s="25"/>
      <c r="AC29" s="25" t="s">
        <v>256</v>
      </c>
      <c r="AD29" s="25">
        <v>2.3646242515927849</v>
      </c>
      <c r="AE29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tabSelected="1" topLeftCell="F1" workbookViewId="0">
      <pane ySplit="1" topLeftCell="A2" activePane="bottomLeft" state="frozen"/>
      <selection pane="bottomLeft" activeCell="J2" sqref="J2"/>
    </sheetView>
  </sheetViews>
  <sheetFormatPr defaultRowHeight="15" x14ac:dyDescent="0.25"/>
  <cols>
    <col min="17" max="17" width="9.5703125" bestFit="1" customWidth="1"/>
  </cols>
  <sheetData>
    <row r="1" spans="1:36" ht="30" x14ac:dyDescent="0.25">
      <c r="F1" t="s">
        <v>109</v>
      </c>
      <c r="G1" t="s">
        <v>82</v>
      </c>
      <c r="H1" t="s">
        <v>110</v>
      </c>
      <c r="I1" t="s">
        <v>84</v>
      </c>
      <c r="J1" t="s">
        <v>19</v>
      </c>
      <c r="K1" t="s">
        <v>82</v>
      </c>
      <c r="L1" t="str">
        <f>'[2]SC SINK WW characteristics'!AO1</f>
        <v>CODTOT</v>
      </c>
      <c r="M1" t="str">
        <f>'[2]SC SINK WW characteristics'!AP1</f>
        <v>SD</v>
      </c>
      <c r="N1" t="s">
        <v>135</v>
      </c>
      <c r="O1" t="s">
        <v>82</v>
      </c>
      <c r="P1" s="15" t="s">
        <v>134</v>
      </c>
      <c r="Q1" s="15" t="s">
        <v>111</v>
      </c>
      <c r="R1" s="15" t="s">
        <v>112</v>
      </c>
      <c r="S1" s="15" t="s">
        <v>136</v>
      </c>
      <c r="T1" s="15" t="s">
        <v>137</v>
      </c>
      <c r="AE1" s="5" t="s">
        <v>113</v>
      </c>
      <c r="AG1" t="s">
        <v>81</v>
      </c>
      <c r="AH1" t="s">
        <v>84</v>
      </c>
      <c r="AI1" t="s">
        <v>87</v>
      </c>
      <c r="AJ1" t="s">
        <v>84</v>
      </c>
    </row>
    <row r="2" spans="1:36" x14ac:dyDescent="0.25">
      <c r="A2" t="s">
        <v>114</v>
      </c>
      <c r="C2" s="56" t="s">
        <v>24</v>
      </c>
      <c r="D2" s="1" t="s">
        <v>25</v>
      </c>
      <c r="F2" s="7">
        <f>[2]Summary!U3</f>
        <v>244.83333333333334</v>
      </c>
      <c r="G2" s="7">
        <f>[2]Summary!V3</f>
        <v>14.433756729740661</v>
      </c>
      <c r="H2" s="7">
        <f>'[2]SC SINK WW characteristics'!AI2</f>
        <v>311.79487179487182</v>
      </c>
      <c r="I2" s="7">
        <f>'[2]SC SINK WW characteristics'!V3</f>
        <v>52.354805328887004</v>
      </c>
      <c r="J2" s="7">
        <f>'[2]SC SINK WW characteristics'!AK2</f>
        <v>456.66666666666669</v>
      </c>
      <c r="K2" s="7">
        <f>'[2]SC SINK WW characteristics'!AL2</f>
        <v>31.65964834506747</v>
      </c>
      <c r="L2" s="7">
        <f>'[2]SC SINK WW characteristics'!AO2</f>
        <v>1981.6666666666667</v>
      </c>
      <c r="M2" s="7">
        <f>'[2]SC SINK WW characteristics'!AP2</f>
        <v>67.884706181387671</v>
      </c>
      <c r="N2" s="7">
        <f>'[2]SC SINK WW characteristics'!AM2</f>
        <v>530</v>
      </c>
      <c r="O2" s="7">
        <f>'[2]SC SINK WW characteristics'!AN2</f>
        <v>0</v>
      </c>
      <c r="P2" s="7">
        <f t="shared" ref="P2:P9" si="0">(F2*1.5)+(H2*1.1)+(J2*2.9)</f>
        <v>2034.5576923076924</v>
      </c>
      <c r="Q2" s="41">
        <f t="shared" ref="Q2:Q9" si="1">J2/L2</f>
        <v>0.23044575273338941</v>
      </c>
      <c r="R2" s="41">
        <f t="shared" ref="R2:R9" si="2">J2/H2</f>
        <v>1.4646381578947367</v>
      </c>
      <c r="S2" s="7">
        <f>100*P2/L2</f>
        <v>102.66901727372712</v>
      </c>
      <c r="T2" s="7">
        <f>100*H2/L2</f>
        <v>15.733971663324061</v>
      </c>
      <c r="AF2" s="84">
        <v>42675</v>
      </c>
      <c r="AG2" s="7">
        <f>[1]Sheet1!D2</f>
        <v>557.91417714146644</v>
      </c>
      <c r="AH2" s="7">
        <f>[1]Sheet1!E2</f>
        <v>38.472166799171383</v>
      </c>
      <c r="AI2" s="7" t="str">
        <f>[1]Sheet1!L2</f>
        <v>NA</v>
      </c>
      <c r="AJ2" s="7"/>
    </row>
    <row r="3" spans="1:36" x14ac:dyDescent="0.25">
      <c r="A3" t="s">
        <v>115</v>
      </c>
      <c r="C3" s="85" t="str">
        <f>'[2]SC SINK WW characteristics'!AL3</f>
        <v>2 clogged</v>
      </c>
      <c r="D3" s="1" t="s">
        <v>26</v>
      </c>
      <c r="F3" s="7">
        <f>[2]Summary!U4</f>
        <v>164.83333333333334</v>
      </c>
      <c r="G3" s="7">
        <f>[2]Summary!V4</f>
        <v>5.8594652770822995</v>
      </c>
      <c r="H3" s="7">
        <f>'[2]SC SINK WW characteristics'!AI3</f>
        <v>905.12820512820508</v>
      </c>
      <c r="I3" s="7">
        <f>'[2]SC SINK WW characteristics'!V8</f>
        <v>109.06090077977285</v>
      </c>
      <c r="J3" s="7">
        <f>'[2]SC SINK WW characteristics'!AK3</f>
        <v>1067</v>
      </c>
      <c r="K3" s="86"/>
      <c r="L3" s="7">
        <f>'[2]SC SINK WW characteristics'!AO3</f>
        <v>5363.333333333333</v>
      </c>
      <c r="M3" s="7">
        <f>'[2]SC SINK WW characteristics'!AP3</f>
        <v>205.20315137281233</v>
      </c>
      <c r="N3" s="7">
        <f>'[2]SC SINK WW characteristics'!AM3</f>
        <v>1698.3333333333333</v>
      </c>
      <c r="O3" s="7">
        <f>'[2]SC SINK WW characteristics'!AN3</f>
        <v>20.207259421636902</v>
      </c>
      <c r="P3" s="7">
        <f t="shared" si="0"/>
        <v>4337.1910256410256</v>
      </c>
      <c r="Q3" s="41">
        <f t="shared" si="1"/>
        <v>0.19894344313238038</v>
      </c>
      <c r="R3" s="41">
        <f t="shared" si="2"/>
        <v>1.1788385269121813</v>
      </c>
      <c r="S3" s="7">
        <f t="shared" ref="S3:S9" si="3">100*P3/L3</f>
        <v>80.867452311516956</v>
      </c>
      <c r="T3" s="7">
        <f t="shared" ref="T3:T9" si="4">100*H3/L3</f>
        <v>16.876225080078402</v>
      </c>
      <c r="AF3" s="87">
        <v>42677</v>
      </c>
      <c r="AG3" s="7">
        <f>[1]Sheet1!D3</f>
        <v>237.4844562926578</v>
      </c>
      <c r="AH3" s="7">
        <f>[1]Sheet1!E3</f>
        <v>18.431704099500507</v>
      </c>
      <c r="AI3" s="7">
        <f>[1]Sheet1!L3</f>
        <v>267.8157490800653</v>
      </c>
      <c r="AJ3" s="7">
        <f>[1]Sheet1!M3</f>
        <v>56.633689210986134</v>
      </c>
    </row>
    <row r="4" spans="1:36" x14ac:dyDescent="0.25">
      <c r="A4">
        <v>42</v>
      </c>
      <c r="C4" s="1"/>
      <c r="D4" s="1" t="s">
        <v>28</v>
      </c>
      <c r="F4" s="7">
        <f>[2]Summary!U5</f>
        <v>23.5</v>
      </c>
      <c r="G4" s="7">
        <f>[2]Summary!V5</f>
        <v>2.8284271247461925</v>
      </c>
      <c r="H4" s="7">
        <f>'[2]SC SINK WW characteristics'!AI4</f>
        <v>523.84615384615392</v>
      </c>
      <c r="I4" s="7">
        <f>'[2]SC SINK WW characteristics'!V13</f>
        <v>29.980269646007788</v>
      </c>
      <c r="J4" s="7">
        <f>'[2]SC SINK WW characteristics'!AK4</f>
        <v>252.66666666666666</v>
      </c>
      <c r="K4" s="7">
        <f>'[2]SC SINK WW characteristics'!AL4</f>
        <v>32.715949219506506</v>
      </c>
      <c r="L4" s="7">
        <f>'[2]SC SINK WW characteristics'!AO4</f>
        <v>1553.3333333333333</v>
      </c>
      <c r="M4" s="7">
        <f>'[2]SC SINK WW characteristics'!AP4</f>
        <v>153.324275094759</v>
      </c>
      <c r="N4" s="7">
        <f>'[2]SC SINK WW characteristics'!AM4</f>
        <v>960</v>
      </c>
      <c r="O4" s="7">
        <f>'[2]SC SINK WW characteristics'!AN4</f>
        <v>25</v>
      </c>
      <c r="P4" s="7">
        <f t="shared" si="0"/>
        <v>1344.2141025641026</v>
      </c>
      <c r="Q4" s="41">
        <f t="shared" si="1"/>
        <v>0.16266094420600857</v>
      </c>
      <c r="R4" s="41">
        <f t="shared" si="2"/>
        <v>0.48232990699951045</v>
      </c>
      <c r="S4" s="7">
        <f t="shared" si="3"/>
        <v>86.537388577088151</v>
      </c>
      <c r="T4" s="7">
        <f t="shared" si="4"/>
        <v>33.724001320567851</v>
      </c>
      <c r="AF4" s="87">
        <v>42682</v>
      </c>
      <c r="AG4" s="7">
        <f>[1]Sheet1!D4</f>
        <v>545.42641667542932</v>
      </c>
      <c r="AH4" s="7">
        <f>[1]Sheet1!E4</f>
        <v>293.86329161397157</v>
      </c>
      <c r="AI4" s="7">
        <f>[1]Sheet1!L4</f>
        <v>732.51215709268843</v>
      </c>
      <c r="AJ4" s="7">
        <f>[1]Sheet1!M4</f>
        <v>47.414058795613407</v>
      </c>
    </row>
    <row r="5" spans="1:36" x14ac:dyDescent="0.25">
      <c r="D5" t="s">
        <v>30</v>
      </c>
      <c r="F5" s="7">
        <f>[2]Summary!U6</f>
        <v>43.166666666666664</v>
      </c>
      <c r="G5" s="7">
        <f>[2]Summary!V6</f>
        <v>16.010413278030427</v>
      </c>
      <c r="H5" s="7">
        <f>'[2]SC SINK WW characteristics'!AI5</f>
        <v>201.68707482993196</v>
      </c>
      <c r="I5" s="7">
        <f>'[2]SC SINK WW characteristics'!V18</f>
        <v>35.454644157130623</v>
      </c>
      <c r="J5" s="7">
        <f>'[2]SC SINK WW characteristics'!AK5</f>
        <v>581.33333333333337</v>
      </c>
      <c r="K5" s="7">
        <f>'[2]SC SINK WW characteristics'!AL5</f>
        <v>79.858207676689773</v>
      </c>
      <c r="L5" s="7">
        <f>'[2]SC SINK WW characteristics'!AO5</f>
        <v>2466.6666666666665</v>
      </c>
      <c r="M5" s="7">
        <f>'[2]SC SINK WW characteristics'!AP5</f>
        <v>80.052066390152191</v>
      </c>
      <c r="N5" s="7">
        <f>'[2]SC SINK WW characteristics'!AM5</f>
        <v>1010</v>
      </c>
      <c r="O5" s="7">
        <f>'[2]SC SINK WW characteristics'!AN5</f>
        <v>83.516465442450325</v>
      </c>
      <c r="P5" s="7">
        <f t="shared" si="0"/>
        <v>1972.4724489795919</v>
      </c>
      <c r="Q5" s="41">
        <f t="shared" si="1"/>
        <v>0.23567567567567571</v>
      </c>
      <c r="R5" s="41">
        <f t="shared" si="2"/>
        <v>2.882352941176471</v>
      </c>
      <c r="S5" s="7">
        <f t="shared" si="3"/>
        <v>79.965099282956444</v>
      </c>
      <c r="T5" s="7">
        <f t="shared" si="4"/>
        <v>8.1765030336458899</v>
      </c>
      <c r="AF5" s="87">
        <v>42691</v>
      </c>
      <c r="AG5" s="7">
        <f>[1]Sheet1!D6</f>
        <v>398.9560602569004</v>
      </c>
      <c r="AH5" s="7">
        <f>[1]Sheet1!E6</f>
        <v>145.62040726124098</v>
      </c>
      <c r="AI5" s="7">
        <f>[1]Sheet1!L6</f>
        <v>273.81600663187356</v>
      </c>
      <c r="AJ5" s="7">
        <f>[1]Sheet1!M6</f>
        <v>69.235022073690217</v>
      </c>
    </row>
    <row r="6" spans="1:36" x14ac:dyDescent="0.25">
      <c r="D6" t="s">
        <v>32</v>
      </c>
      <c r="F6" s="7">
        <f>[2]Summary!U7</f>
        <v>85.166666666666671</v>
      </c>
      <c r="G6" s="7">
        <f>[2]Summary!V7</f>
        <v>8.5049005481153745</v>
      </c>
      <c r="H6" s="7">
        <f>'[2]SC SINK WW characteristics'!AI6</f>
        <v>651.75510204081638</v>
      </c>
      <c r="I6" s="7">
        <f>'[2]SC SINK WW characteristics'!V23</f>
        <v>15.574517574154212</v>
      </c>
      <c r="J6" s="7">
        <f>'[2]SC SINK WW characteristics'!AK6</f>
        <v>1041</v>
      </c>
      <c r="K6" s="7">
        <f>'[2]SC SINK WW characteristics'!AL6</f>
        <v>102.05880657738459</v>
      </c>
      <c r="L6" s="7">
        <f>'[2]SC SINK WW characteristics'!AO6</f>
        <v>3798.3333333333335</v>
      </c>
      <c r="M6" s="7">
        <f>'[2]SC SINK WW characteristics'!AP6</f>
        <v>570.9932865921736</v>
      </c>
      <c r="N6" s="7">
        <f>'[2]SC SINK WW characteristics'!AM6</f>
        <v>2035</v>
      </c>
      <c r="O6" s="7">
        <f>'[2]SC SINK WW characteristics'!AN6</f>
        <v>130</v>
      </c>
      <c r="P6" s="7">
        <f t="shared" si="0"/>
        <v>3863.580612244898</v>
      </c>
      <c r="Q6" s="41">
        <f t="shared" si="1"/>
        <v>0.27406757349714789</v>
      </c>
      <c r="R6" s="41">
        <f t="shared" si="2"/>
        <v>1.5972257014028055</v>
      </c>
      <c r="S6" s="7">
        <f t="shared" si="3"/>
        <v>101.71778707094948</v>
      </c>
      <c r="T6" s="7">
        <f t="shared" si="4"/>
        <v>17.158975920337422</v>
      </c>
      <c r="AF6" s="87">
        <v>42698</v>
      </c>
      <c r="AG6" s="7">
        <f>[1]Sheet1!D7</f>
        <v>2022.5613561700939</v>
      </c>
      <c r="AH6" s="7">
        <f>[1]Sheet1!E7</f>
        <v>440.80537459769107</v>
      </c>
      <c r="AI6" s="7">
        <f>[1]Sheet1!L7</f>
        <v>1639.5124823590957</v>
      </c>
      <c r="AJ6" s="7">
        <f>[1]Sheet1!M7</f>
        <v>1242.3276309222915</v>
      </c>
    </row>
    <row r="7" spans="1:36" x14ac:dyDescent="0.25">
      <c r="A7" s="7"/>
      <c r="D7" t="s">
        <v>34</v>
      </c>
      <c r="F7" s="7">
        <f>[2]Summary!U8</f>
        <v>89.833333333333329</v>
      </c>
      <c r="G7" s="7">
        <f>[2]Summary!V8</f>
        <v>12.342339054382363</v>
      </c>
      <c r="H7" s="7">
        <f>'[2]SC SINK WW characteristics'!AI7</f>
        <v>960.59863945578229</v>
      </c>
      <c r="I7" s="7">
        <f>'[2]SC SINK WW characteristics'!V28</f>
        <v>13.196577581477202</v>
      </c>
      <c r="J7" s="7">
        <f>'[2]SC SINK WW characteristics'!AK7</f>
        <v>696.5</v>
      </c>
      <c r="K7" s="7">
        <f>'[2]SC SINK WW characteristics'!AL7</f>
        <v>57.27564927611035</v>
      </c>
      <c r="L7" s="7">
        <f>'[2]SC SINK WW characteristics'!AO7</f>
        <v>4078.3333333333335</v>
      </c>
      <c r="M7" s="7">
        <f>'[2]SC SINK WW characteristics'!AP7</f>
        <v>278.58272260377765</v>
      </c>
      <c r="N7" s="7">
        <f>'[2]SC SINK WW characteristics'!AM7</f>
        <v>2685</v>
      </c>
      <c r="O7" s="7">
        <f>'[2]SC SINK WW characteristics'!AN7</f>
        <v>27.838821814150108</v>
      </c>
      <c r="P7" s="7">
        <f t="shared" si="0"/>
        <v>3211.2585034013605</v>
      </c>
      <c r="Q7" s="41">
        <f t="shared" si="1"/>
        <v>0.17078054760931752</v>
      </c>
      <c r="R7" s="41">
        <f t="shared" si="2"/>
        <v>0.72506869299189847</v>
      </c>
      <c r="S7" s="7">
        <f t="shared" si="3"/>
        <v>78.739481080540102</v>
      </c>
      <c r="T7" s="7">
        <f t="shared" si="4"/>
        <v>23.553705912279089</v>
      </c>
      <c r="AF7" s="87">
        <v>42705</v>
      </c>
      <c r="AG7" s="7">
        <f>[1]Sheet1!D8</f>
        <v>1315.1377587655691</v>
      </c>
      <c r="AH7" s="7">
        <f>[1]Sheet1!E8</f>
        <v>428.2873154124228</v>
      </c>
      <c r="AI7" s="7">
        <f>[1]Sheet1!L8</f>
        <v>891.53075458489354</v>
      </c>
      <c r="AJ7" s="7">
        <f>[1]Sheet1!M8</f>
        <v>94.603401920908269</v>
      </c>
    </row>
    <row r="8" spans="1:36" x14ac:dyDescent="0.25">
      <c r="A8" s="7"/>
      <c r="D8" t="s">
        <v>36</v>
      </c>
      <c r="F8" s="7">
        <f>[2]Summary!U9</f>
        <v>65.233333333333334</v>
      </c>
      <c r="G8" s="7">
        <f>[2]Summary!V9</f>
        <v>6.6583281184793908</v>
      </c>
      <c r="H8" s="7">
        <f>'[2]SC SINK WW characteristics'!AI8</f>
        <v>332.78873239436615</v>
      </c>
      <c r="I8" s="7">
        <f>'[2]SC SINK WW characteristics'!V33</f>
        <v>13.462313403209565</v>
      </c>
      <c r="J8" s="7">
        <f>'[2]SC SINK WW characteristics'!AK8</f>
        <v>439.66666666666669</v>
      </c>
      <c r="K8" s="7">
        <f>'[2]SC SINK WW characteristics'!AL8</f>
        <v>23.71356854910988</v>
      </c>
      <c r="L8" s="7">
        <f>'[2]SC SINK WW characteristics'!AO8</f>
        <v>1481.6666666666667</v>
      </c>
      <c r="M8" s="7">
        <f>'[2]SC SINK WW characteristics'!AP8</f>
        <v>37.527767497325677</v>
      </c>
      <c r="N8" s="7">
        <f>'[2]SC SINK WW characteristics'!AM8</f>
        <v>953.33333333333337</v>
      </c>
      <c r="O8" s="7">
        <f>'[2]SC SINK WW characteristics'!AN8</f>
        <v>145.45904349105714</v>
      </c>
      <c r="P8" s="7">
        <f t="shared" si="0"/>
        <v>1738.9509389671362</v>
      </c>
      <c r="Q8" s="41">
        <f t="shared" si="1"/>
        <v>0.29673790776152981</v>
      </c>
      <c r="R8" s="41">
        <f t="shared" si="2"/>
        <v>1.3211585124992948</v>
      </c>
      <c r="S8" s="7">
        <f t="shared" si="3"/>
        <v>117.36451781555473</v>
      </c>
      <c r="T8" s="7">
        <f t="shared" si="4"/>
        <v>22.460431882634385</v>
      </c>
      <c r="AF8" s="87">
        <v>42710</v>
      </c>
      <c r="AG8" s="7">
        <f>[1]Sheet1!D9</f>
        <v>956.88173381526303</v>
      </c>
      <c r="AH8" s="7">
        <f>[1]Sheet1!E9</f>
        <v>402.23866545568819</v>
      </c>
      <c r="AI8" s="7">
        <f>[1]Sheet1!L9</f>
        <v>601.95795391691399</v>
      </c>
      <c r="AJ8" s="7">
        <f>[1]Sheet1!M9</f>
        <v>42.872308191501666</v>
      </c>
    </row>
    <row r="9" spans="1:36" x14ac:dyDescent="0.25">
      <c r="A9" s="7"/>
      <c r="D9" t="s">
        <v>38</v>
      </c>
      <c r="F9" s="7">
        <f>[2]Summary!U10</f>
        <v>150.9</v>
      </c>
      <c r="G9" s="7">
        <f>[2]Summary!V10</f>
        <v>6.5574385243020004</v>
      </c>
      <c r="H9" s="7">
        <f>'[2]SC SINK WW characteristics'!AI9</f>
        <v>273.07042253521126</v>
      </c>
      <c r="I9" s="7">
        <f>'[2]SC SINK WW characteristics'!V41</f>
        <v>16.250371945753184</v>
      </c>
      <c r="J9" s="7">
        <f>'[2]SC SINK WW characteristics'!AK9</f>
        <v>669</v>
      </c>
      <c r="K9" s="7">
        <f>'[2]SC SINK WW characteristics'!AL9</f>
        <v>39.887341350358263</v>
      </c>
      <c r="L9" s="7">
        <f>'[2]SC SINK WW characteristics'!AO9</f>
        <v>2368.3333333333335</v>
      </c>
      <c r="M9" s="7">
        <f>'[2]SC SINK WW characteristics'!AP9</f>
        <v>76.376261582597337</v>
      </c>
      <c r="N9" s="7">
        <f>'[2]SC SINK WW characteristics'!AM9</f>
        <v>705</v>
      </c>
      <c r="O9" s="7">
        <f>'[2]SC SINK WW characteristics'!AN9</f>
        <v>7.0710678118654755</v>
      </c>
      <c r="P9" s="7">
        <f t="shared" si="0"/>
        <v>2466.8274647887324</v>
      </c>
      <c r="Q9" s="41">
        <f t="shared" si="1"/>
        <v>0.28247712878254749</v>
      </c>
      <c r="R9" s="41">
        <f t="shared" si="2"/>
        <v>2.449917474726635</v>
      </c>
      <c r="S9" s="7">
        <f t="shared" si="3"/>
        <v>104.15879513534408</v>
      </c>
      <c r="T9" s="7">
        <f t="shared" si="4"/>
        <v>11.530067102120109</v>
      </c>
      <c r="AG9" s="31">
        <f>AVERAGE(AG2:AG8)</f>
        <v>862.05170844534007</v>
      </c>
      <c r="AH9" s="31">
        <f>AVERAGE(AH2:AH8)</f>
        <v>252.53127503424093</v>
      </c>
      <c r="AI9" s="31">
        <f>AVERAGE(AI2:AI8)</f>
        <v>734.52418394425513</v>
      </c>
      <c r="AJ9" s="31">
        <f>AVERAGE(AJ2:AJ8)</f>
        <v>258.84768518583184</v>
      </c>
    </row>
    <row r="10" spans="1:36" x14ac:dyDescent="0.25">
      <c r="A10" s="7"/>
      <c r="F10" s="31">
        <f>AVERAGE(F2:F9)</f>
        <v>108.43333333333334</v>
      </c>
      <c r="G10" s="31">
        <f>_xlfn.STDEV.S(F2:F9)</f>
        <v>73.500519380521055</v>
      </c>
      <c r="H10" s="31">
        <f>AVERAGE(H2:H9)</f>
        <v>520.08365025316732</v>
      </c>
      <c r="I10" s="31"/>
      <c r="J10" s="31">
        <f>AVERAGE(J2:J9)</f>
        <v>650.47916666666674</v>
      </c>
      <c r="K10" s="31">
        <f>_xlfn.STDEV.S(J2:J9)</f>
        <v>286.23122295799897</v>
      </c>
      <c r="L10" s="31">
        <f>AVERAGE(L2:L9)</f>
        <v>2886.4583333333335</v>
      </c>
      <c r="M10" s="31">
        <f>_xlfn.STDEV.S(L2:L9)</f>
        <v>1383.6277476429914</v>
      </c>
      <c r="N10" s="31"/>
      <c r="O10" s="31"/>
      <c r="S10" s="31">
        <f>AVERAGE(S2:S9)</f>
        <v>94.002442318459643</v>
      </c>
    </row>
    <row r="11" spans="1:36" x14ac:dyDescent="0.25">
      <c r="I11" s="7"/>
      <c r="AE11" t="s">
        <v>116</v>
      </c>
    </row>
    <row r="12" spans="1:36" x14ac:dyDescent="0.25">
      <c r="A12" s="7"/>
      <c r="C12" s="5" t="s">
        <v>41</v>
      </c>
      <c r="D12" t="s">
        <v>42</v>
      </c>
      <c r="F12" s="7">
        <f>'[2]CSA WW characteristics'!Y2</f>
        <v>233.9</v>
      </c>
      <c r="G12" s="7">
        <f>'[2]CSA WW characteristics'!Z2</f>
        <v>16.522711641858304</v>
      </c>
      <c r="H12" s="7">
        <f>'[2]CSA WW characteristics'!AA2</f>
        <v>433.25821596244123</v>
      </c>
      <c r="I12" s="7">
        <f>'[2]CSA WW characteristics'!AB2</f>
        <v>9.0199511425523475</v>
      </c>
      <c r="J12" s="7">
        <f>'[2]CSA WW characteristics'!AC2</f>
        <v>112</v>
      </c>
      <c r="K12" s="7">
        <f>'[2]CSA WW characteristics'!AD2</f>
        <v>15.556349186104045</v>
      </c>
      <c r="L12" s="7">
        <f>'[2]CSA WW characteristics'!AG2</f>
        <v>2130</v>
      </c>
      <c r="M12" s="7">
        <f>'[2]CSA WW characteristics'!AH2</f>
        <v>297.78347838656191</v>
      </c>
      <c r="N12" s="7">
        <f>'[2]CSA WW characteristics'!AE2</f>
        <v>1025</v>
      </c>
      <c r="O12" s="7">
        <f>'[2]CSA WW characteristics'!AF2</f>
        <v>176.77669529663689</v>
      </c>
      <c r="P12" s="7">
        <f>(F12*1.5)+(H12*1.1)+(J12*2.9)</f>
        <v>1152.2340375586855</v>
      </c>
      <c r="Q12" s="41">
        <f t="shared" ref="Q12:Q19" si="5">J12/L12</f>
        <v>5.2582159624413143E-2</v>
      </c>
      <c r="R12" s="41">
        <f>J12/H12</f>
        <v>0.25850634996315724</v>
      </c>
      <c r="S12" s="7">
        <f>100*P12/L12</f>
        <v>54.095494721065045</v>
      </c>
      <c r="T12" s="7">
        <f>100*H12/L12</f>
        <v>20.340761312790669</v>
      </c>
      <c r="AF12" s="87">
        <v>42675</v>
      </c>
      <c r="AG12" s="7">
        <f>[1]Sheet1!D11</f>
        <v>278.38500385219334</v>
      </c>
      <c r="AH12" s="7">
        <f>[1]Sheet1!E11</f>
        <v>55.294453796282554</v>
      </c>
      <c r="AI12" s="7" t="str">
        <f>[1]Sheet1!L11</f>
        <v>NA</v>
      </c>
      <c r="AJ12" s="7"/>
    </row>
    <row r="13" spans="1:36" x14ac:dyDescent="0.25">
      <c r="A13" s="7"/>
      <c r="D13" t="s">
        <v>44</v>
      </c>
      <c r="F13" s="7">
        <f>'[2]CSA WW characteristics'!Y3</f>
        <v>231.56666666666663</v>
      </c>
      <c r="G13" s="7">
        <f>'[2]CSA WW characteristics'!Z3</f>
        <v>40.066611203511194</v>
      </c>
      <c r="H13" s="7">
        <f>'[2]CSA WW characteristics'!AA3</f>
        <v>702.36619718309851</v>
      </c>
      <c r="I13" s="7">
        <f>'[2]CSA WW characteristics'!AB3</f>
        <v>16.415551869671457</v>
      </c>
      <c r="J13" s="7">
        <f>'[2]CSA WW characteristics'!AC3</f>
        <v>409.33333333333331</v>
      </c>
      <c r="K13" s="7">
        <f>'[2]CSA WW characteristics'!AD3</f>
        <v>149.82100431292452</v>
      </c>
      <c r="L13" s="7">
        <f>'[2]CSA WW characteristics'!AG3</f>
        <v>3846.6666666666665</v>
      </c>
      <c r="M13" s="7">
        <f>'[2]CSA WW characteristics'!AH3</f>
        <v>83.116384265277887</v>
      </c>
      <c r="N13" s="7">
        <f>'[2]CSA WW characteristics'!AE3</f>
        <v>1790</v>
      </c>
      <c r="O13" s="7">
        <f>'[2]CSA WW characteristics'!AF3</f>
        <v>155.24174696260025</v>
      </c>
      <c r="P13" s="7">
        <f>(F13*1.5)+(H13*1.1)+(J13*2.9)</f>
        <v>2307.019483568075</v>
      </c>
      <c r="Q13" s="41">
        <f t="shared" si="5"/>
        <v>0.10641247833622183</v>
      </c>
      <c r="R13" s="41">
        <f>J13/H13</f>
        <v>0.58279190395978719</v>
      </c>
      <c r="S13" s="7">
        <f t="shared" ref="S13:S19" si="6">100*P13/L13</f>
        <v>59.974509971440426</v>
      </c>
      <c r="T13" s="7">
        <f t="shared" ref="T13:T19" si="7">100*H13/L13</f>
        <v>18.259086581882979</v>
      </c>
      <c r="AF13" s="87">
        <v>42677</v>
      </c>
      <c r="AG13" s="7">
        <f>[1]Sheet1!D12</f>
        <v>379.97279565601769</v>
      </c>
      <c r="AH13" s="7">
        <f>[1]Sheet1!E12</f>
        <v>21.96495447621518</v>
      </c>
      <c r="AI13" s="7">
        <f>[1]Sheet1!L12</f>
        <v>185.50010299904352</v>
      </c>
      <c r="AJ13" s="7">
        <f>[1]Sheet1!M12</f>
        <v>13.282084503298812</v>
      </c>
    </row>
    <row r="14" spans="1:36" x14ac:dyDescent="0.25">
      <c r="A14" s="7"/>
      <c r="D14" t="s">
        <v>46</v>
      </c>
      <c r="F14" s="7">
        <f>'[2]CSA WW characteristics'!Y4</f>
        <v>165.56666666666663</v>
      </c>
      <c r="G14" s="7">
        <f>'[2]CSA WW characteristics'!Z4</f>
        <v>2.3094010767585034</v>
      </c>
      <c r="H14" s="7">
        <f>'[2]CSA WW characteristics'!AA4</f>
        <v>573.35211267605621</v>
      </c>
      <c r="I14" s="7">
        <f>'[2]CSA WW characteristics'!AB4</f>
        <v>11.393661079524911</v>
      </c>
      <c r="J14" s="7">
        <f>'[2]CSA WW characteristics'!AC4</f>
        <v>195.66666666666666</v>
      </c>
      <c r="K14" s="7">
        <f>'[2]CSA WW characteristics'!AD4</f>
        <v>43.015501081974342</v>
      </c>
      <c r="L14" s="7">
        <f>'[2]CSA WW characteristics'!AG4</f>
        <v>2581.6666666666665</v>
      </c>
      <c r="M14" s="7">
        <f>'[2]CSA WW characteristics'!AH4</f>
        <v>86.071675557835704</v>
      </c>
      <c r="N14" s="7">
        <f>'[2]CSA WW characteristics'!AE4</f>
        <v>1518.3333333333333</v>
      </c>
      <c r="O14" s="7">
        <f>'[2]CSA WW characteristics'!AF4</f>
        <v>37.527767497325677</v>
      </c>
      <c r="P14" s="7">
        <f>(F14*1.5)+(H14*1.1)+(J14*2.9)</f>
        <v>1446.4706572769951</v>
      </c>
      <c r="Q14" s="41">
        <f t="shared" si="5"/>
        <v>7.5790832795351842E-2</v>
      </c>
      <c r="R14" s="41">
        <f>J14/H14</f>
        <v>0.34126789165110877</v>
      </c>
      <c r="S14" s="7">
        <f t="shared" si="6"/>
        <v>56.028559997817766</v>
      </c>
      <c r="T14" s="7">
        <f t="shared" si="7"/>
        <v>22.208603460660669</v>
      </c>
      <c r="AF14" s="87">
        <v>42682</v>
      </c>
      <c r="AG14" s="7">
        <f>[1]Sheet1!D13</f>
        <v>306.10893079555711</v>
      </c>
      <c r="AH14" s="7">
        <f>[1]Sheet1!E13</f>
        <v>66.252383856409566</v>
      </c>
      <c r="AI14" s="7">
        <f>[1]Sheet1!L13</f>
        <v>100.91030257403573</v>
      </c>
      <c r="AJ14" s="7">
        <f>[1]Sheet1!M13</f>
        <v>13.714420434991727</v>
      </c>
    </row>
    <row r="15" spans="1:36" x14ac:dyDescent="0.25">
      <c r="A15" s="7"/>
      <c r="D15" t="s">
        <v>48</v>
      </c>
      <c r="F15" s="7">
        <f>'[2]CSA WW characteristics'!Y5</f>
        <v>269.23333333333329</v>
      </c>
      <c r="G15" s="7">
        <f>'[2]CSA WW characteristics'!Z5</f>
        <v>13.012814197295409</v>
      </c>
      <c r="H15" s="7"/>
      <c r="I15" s="7"/>
      <c r="J15" s="7">
        <f>'[2]CSA WW characteristics'!AC5</f>
        <v>415.33333333333331</v>
      </c>
      <c r="K15" s="7">
        <f>'[2]CSA WW characteristics'!AD5</f>
        <v>69.168875466739678</v>
      </c>
      <c r="L15" s="7">
        <f>'[2]CSA WW characteristics'!AG5</f>
        <v>2358</v>
      </c>
      <c r="M15" s="7">
        <f>'[2]CSA WW characteristics'!AH5</f>
        <v>28.930952282978865</v>
      </c>
      <c r="N15" s="7">
        <f>'[2]CSA WW characteristics'!AE5</f>
        <v>1222</v>
      </c>
      <c r="O15" s="7">
        <f>'[2]CSA WW characteristics'!AF5</f>
        <v>33.181320046074113</v>
      </c>
      <c r="P15" s="7"/>
      <c r="Q15" s="41">
        <f t="shared" si="5"/>
        <v>0.17613797003109979</v>
      </c>
      <c r="R15" s="41"/>
      <c r="S15" s="7"/>
      <c r="T15" s="7"/>
      <c r="AF15" s="87">
        <v>42691</v>
      </c>
      <c r="AG15" s="7">
        <f>[1]Sheet1!D14</f>
        <v>371.20823337130167</v>
      </c>
      <c r="AH15" s="7">
        <f>[1]Sheet1!E14</f>
        <v>15.698862996956752</v>
      </c>
      <c r="AI15" s="7">
        <f>[1]Sheet1!L14</f>
        <v>122.29201273631293</v>
      </c>
      <c r="AJ15" s="7">
        <f>[1]Sheet1!M14</f>
        <v>24.933270689577547</v>
      </c>
    </row>
    <row r="16" spans="1:36" x14ac:dyDescent="0.25">
      <c r="D16" t="s">
        <v>50</v>
      </c>
      <c r="F16" s="7">
        <f>'[2]CSA WW characteristics'!Y6</f>
        <v>57.545454545454547</v>
      </c>
      <c r="G16" s="7">
        <f>'[2]CSA WW characteristics'!Z6</f>
        <v>4.4997704257325672</v>
      </c>
      <c r="H16" s="7">
        <f>'[2]CSA WW characteristics'!AA6</f>
        <v>431.375</v>
      </c>
      <c r="I16" s="7">
        <f>'[2]CSA WW characteristics'!AB6</f>
        <v>27.84232950922031</v>
      </c>
      <c r="J16" s="7">
        <f>'[2]CSA WW characteristics'!AC6</f>
        <v>206</v>
      </c>
      <c r="K16" s="7">
        <f>'[2]CSA WW characteristics'!AD6</f>
        <v>23.388031127053001</v>
      </c>
      <c r="L16" s="7">
        <f>'[2]CSA WW characteristics'!AG6</f>
        <v>1250</v>
      </c>
      <c r="M16" s="7">
        <f>'[2]CSA WW characteristics'!AH6</f>
        <v>69.462219947249025</v>
      </c>
      <c r="N16" s="7">
        <f>'[2]CSA WW characteristics'!AE6</f>
        <v>308.66666666666669</v>
      </c>
      <c r="O16" s="7">
        <f>'[2]CSA WW characteristics'!AF6</f>
        <v>26.57693235370353</v>
      </c>
      <c r="P16" s="7">
        <f>(F16*1.5)+(H16*1.1)+(J16*2.9)</f>
        <v>1158.2306818181819</v>
      </c>
      <c r="Q16" s="41">
        <f t="shared" si="5"/>
        <v>0.1648</v>
      </c>
      <c r="R16" s="41">
        <f>J16/H16</f>
        <v>0.47754274123442481</v>
      </c>
      <c r="S16" s="7">
        <f t="shared" si="6"/>
        <v>92.658454545454546</v>
      </c>
      <c r="T16" s="7">
        <f t="shared" si="7"/>
        <v>34.51</v>
      </c>
      <c r="AF16" s="87">
        <v>42698</v>
      </c>
      <c r="AG16" s="7">
        <f>[1]Sheet1!D15</f>
        <v>476.64278373855507</v>
      </c>
      <c r="AH16" s="7">
        <f>[1]Sheet1!E15</f>
        <v>64.191725115567976</v>
      </c>
      <c r="AI16" s="7">
        <f>[1]Sheet1!L15</f>
        <v>304.01550748723025</v>
      </c>
      <c r="AJ16" s="7">
        <f>[1]Sheet1!M15</f>
        <v>44.030315796187978</v>
      </c>
    </row>
    <row r="17" spans="1:36" x14ac:dyDescent="0.25">
      <c r="A17" s="7"/>
      <c r="D17" t="s">
        <v>52</v>
      </c>
      <c r="F17" s="7">
        <f>'[2]CSA WW characteristics'!Y7</f>
        <v>294.06060606060606</v>
      </c>
      <c r="G17" s="7">
        <f>'[2]CSA WW characteristics'!Z7</f>
        <v>14.498028744128073</v>
      </c>
      <c r="H17" s="7">
        <f>'[2]CSA WW characteristics'!AA7</f>
        <v>814.81249999999989</v>
      </c>
      <c r="I17" s="7">
        <f>'[2]CSA WW characteristics'!AB7</f>
        <v>135.23417190192723</v>
      </c>
      <c r="J17" s="7">
        <f>'[2]CSA WW characteristics'!AC7</f>
        <v>312</v>
      </c>
      <c r="K17" s="7">
        <f>'[2]CSA WW characteristics'!AD7</f>
        <v>80.851716122788631</v>
      </c>
      <c r="L17" s="7">
        <f>'[2]CSA WW characteristics'!AG7</f>
        <v>3240</v>
      </c>
      <c r="M17" s="7">
        <f>'[2]CSA WW characteristics'!AH7</f>
        <v>42.720018726587654</v>
      </c>
      <c r="N17" s="7">
        <f>'[2]CSA WW characteristics'!AE7</f>
        <v>1321.6666666666667</v>
      </c>
      <c r="O17" s="7">
        <f>'[2]CSA WW characteristics'!AF7</f>
        <v>37.527767497325677</v>
      </c>
      <c r="P17" s="7">
        <f>(F17*1.5)+(H17*1.1)+(J17*2.9)</f>
        <v>2242.184659090909</v>
      </c>
      <c r="Q17" s="41">
        <f t="shared" si="5"/>
        <v>9.6296296296296297E-2</v>
      </c>
      <c r="R17" s="41">
        <f>J17/H17</f>
        <v>0.3829101787220987</v>
      </c>
      <c r="S17" s="7">
        <f t="shared" si="6"/>
        <v>69.203230218855225</v>
      </c>
      <c r="T17" s="7">
        <f t="shared" si="7"/>
        <v>25.148533950617278</v>
      </c>
      <c r="AF17" s="87">
        <v>42705</v>
      </c>
      <c r="AG17" s="7">
        <f>[1]Sheet1!D16</f>
        <v>221.82882710793339</v>
      </c>
      <c r="AH17" s="7">
        <f>[1]Sheet1!E16</f>
        <v>21.387975506468027</v>
      </c>
      <c r="AI17" s="7">
        <f>[1]Sheet1!L16</f>
        <v>128.74104063267768</v>
      </c>
      <c r="AJ17" s="7">
        <f>[1]Sheet1!M16</f>
        <v>17.753809693337285</v>
      </c>
    </row>
    <row r="18" spans="1:36" x14ac:dyDescent="0.25">
      <c r="A18" s="7"/>
      <c r="D18" t="s">
        <v>54</v>
      </c>
      <c r="F18" s="7">
        <f>'[2]CSA WW characteristics'!Y8</f>
        <v>254.969696969697</v>
      </c>
      <c r="G18" s="7">
        <f>'[2]CSA WW characteristics'!Z8</f>
        <v>23.022327167542514</v>
      </c>
      <c r="H18" s="7">
        <f>'[2]CSA WW characteristics'!AA8</f>
        <v>616.37499999999989</v>
      </c>
      <c r="I18" s="7">
        <f>'[2]CSA WW characteristics'!AB8</f>
        <v>93.249706768975955</v>
      </c>
      <c r="J18" s="7">
        <f>'[2]CSA WW characteristics'!AC8</f>
        <v>151</v>
      </c>
      <c r="K18" s="7">
        <f>'[2]CSA WW characteristics'!AD8</f>
        <v>19.078784028338912</v>
      </c>
      <c r="L18" s="7">
        <f>'[2]CSA WW characteristics'!AG8</f>
        <v>2463.3333333333335</v>
      </c>
      <c r="M18" s="7">
        <f>'[2]CSA WW characteristics'!AH8</f>
        <v>23.629078131263039</v>
      </c>
      <c r="N18" s="7">
        <f>'[2]CSA WW characteristics'!AE8</f>
        <v>995</v>
      </c>
      <c r="O18" s="7">
        <f>'[2]CSA WW characteristics'!AF8</f>
        <v>26.457513110645905</v>
      </c>
      <c r="P18" s="7">
        <f>(F18*1.5)+(H18*1.1)+(J18*2.9)</f>
        <v>1498.3670454545454</v>
      </c>
      <c r="Q18" s="41">
        <f t="shared" si="5"/>
        <v>6.1299052774018939E-2</v>
      </c>
      <c r="R18" s="41">
        <f>J18/H18</f>
        <v>0.24498073413100796</v>
      </c>
      <c r="S18" s="7">
        <f t="shared" si="6"/>
        <v>60.826808340509281</v>
      </c>
      <c r="T18" s="7">
        <f t="shared" si="7"/>
        <v>25.021989174560208</v>
      </c>
      <c r="AF18" s="87">
        <v>42710</v>
      </c>
      <c r="AG18" s="7">
        <f>[1]Sheet1!D17</f>
        <v>198.69345205122252</v>
      </c>
      <c r="AH18" s="7">
        <f>[1]Sheet1!E17</f>
        <v>38.232860316950337</v>
      </c>
      <c r="AI18" s="7">
        <f>[1]Sheet1!L17</f>
        <v>129.58960263629922</v>
      </c>
      <c r="AJ18" s="7">
        <f>[1]Sheet1!M17</f>
        <v>7.1208561618752304</v>
      </c>
    </row>
    <row r="19" spans="1:36" x14ac:dyDescent="0.25">
      <c r="A19" s="7"/>
      <c r="D19" t="s">
        <v>56</v>
      </c>
      <c r="F19" s="7">
        <f>'[2]CSA WW characteristics'!Y9</f>
        <v>361.63636363636368</v>
      </c>
      <c r="G19" s="7">
        <f>'[2]CSA WW characteristics'!Z9</f>
        <v>8.9535070925418996</v>
      </c>
      <c r="H19" s="7">
        <f>'[2]CSA WW characteristics'!AA9</f>
        <v>503.5625</v>
      </c>
      <c r="I19" s="7">
        <f>'[2]CSA WW characteristics'!AB9</f>
        <v>49.497474683058329</v>
      </c>
      <c r="J19" s="7">
        <f>'[2]CSA WW characteristics'!AC9</f>
        <v>469</v>
      </c>
      <c r="K19" s="7">
        <f>'[2]CSA WW characteristics'!AD9</f>
        <v>45.177427992306072</v>
      </c>
      <c r="L19" s="7">
        <f>'[2]CSA WW characteristics'!AG9</f>
        <v>3350</v>
      </c>
      <c r="M19" s="7">
        <f>'[2]CSA WW characteristics'!AH9</f>
        <v>73.654599313281182</v>
      </c>
      <c r="N19" s="7">
        <f>'[2]CSA WW characteristics'!AE9</f>
        <v>1101.6666666666667</v>
      </c>
      <c r="O19" s="7">
        <f>'[2]CSA WW characteristics'!AF9</f>
        <v>149.77761292440621</v>
      </c>
      <c r="P19" s="7">
        <f>(F19*1.5)+(H19*1.1)+(J19*2.9)</f>
        <v>2456.4732954545452</v>
      </c>
      <c r="Q19" s="41">
        <f t="shared" si="5"/>
        <v>0.14000000000000001</v>
      </c>
      <c r="R19" s="41">
        <f>J19/H19</f>
        <v>0.93136403127715028</v>
      </c>
      <c r="S19" s="7">
        <f t="shared" si="6"/>
        <v>73.327561058344642</v>
      </c>
      <c r="T19" s="7">
        <f t="shared" si="7"/>
        <v>15.031716417910447</v>
      </c>
      <c r="AF19" s="87">
        <v>42712</v>
      </c>
      <c r="AG19" s="7">
        <f>[1]Sheet1!D18</f>
        <v>271.56945736134321</v>
      </c>
      <c r="AH19" s="7">
        <f>[1]Sheet1!E18</f>
        <v>33.820420059603933</v>
      </c>
      <c r="AI19" s="7">
        <f>[1]Sheet1!L18</f>
        <v>104.30233134068051</v>
      </c>
      <c r="AJ19" s="7">
        <f>[1]Sheet1!M18</f>
        <v>14.033212396034161</v>
      </c>
    </row>
    <row r="20" spans="1:36" x14ac:dyDescent="0.25">
      <c r="A20" s="7"/>
      <c r="F20" s="31">
        <f>AVERAGE(F12:F19)</f>
        <v>233.55984848484849</v>
      </c>
      <c r="G20" s="31">
        <f>_xlfn.STDEV.S(F12:F19)</f>
        <v>90.556330265753971</v>
      </c>
      <c r="H20" s="31">
        <f>AVERAGE(H12:H19)</f>
        <v>582.15736083165655</v>
      </c>
      <c r="I20" s="31">
        <f>_xlfn.STDEV.S(H12:H19)</f>
        <v>141.95679223719472</v>
      </c>
      <c r="J20" s="31">
        <f>AVERAGE(J12:J19)</f>
        <v>283.79166666666663</v>
      </c>
      <c r="K20" s="31">
        <f>_xlfn.STDEV.S(J12:J19)</f>
        <v>135.81779782616573</v>
      </c>
      <c r="L20" s="31">
        <f>AVERAGE(L12:L19)</f>
        <v>2652.458333333333</v>
      </c>
      <c r="M20" s="31">
        <f>_xlfn.STDEV.S(L12:L19)</f>
        <v>812.86448112987546</v>
      </c>
      <c r="N20" s="31"/>
      <c r="O20" s="31"/>
      <c r="S20" s="31">
        <f>AVERAGE(S12:S19)</f>
        <v>66.587802693355286</v>
      </c>
      <c r="AF20" s="88">
        <v>42689</v>
      </c>
      <c r="AG20" s="7">
        <f>[1]Sheet1!D20</f>
        <v>37.791805998480925</v>
      </c>
      <c r="AH20" s="7">
        <f>[1]Sheet1!E20</f>
        <v>4.0272031647561191</v>
      </c>
      <c r="AI20" s="7">
        <f>[1]Sheet1!L20</f>
        <v>23.672432593573433</v>
      </c>
      <c r="AJ20" s="7">
        <f>[1]Sheet1!M20</f>
        <v>4.0777016344746508</v>
      </c>
    </row>
    <row r="21" spans="1:36" x14ac:dyDescent="0.25">
      <c r="AG21" s="31">
        <f>AVERAGE(AG12:AG20)</f>
        <v>282.46680999251168</v>
      </c>
      <c r="AH21" s="31">
        <f>AVERAGE(AH12:AH20)</f>
        <v>35.652315476578941</v>
      </c>
      <c r="AI21" s="31">
        <f>AVERAGE(AI12:AI20)</f>
        <v>137.37791662498165</v>
      </c>
      <c r="AJ21" s="31">
        <f>AVERAGE(AJ12:AJ20)</f>
        <v>17.368208913722174</v>
      </c>
    </row>
    <row r="22" spans="1:36" x14ac:dyDescent="0.25">
      <c r="A22" s="7"/>
      <c r="C22" s="5" t="s">
        <v>57</v>
      </c>
      <c r="D22" t="s">
        <v>58</v>
      </c>
      <c r="F22" s="7">
        <f>'[2]CP WW characteristics'!Y2</f>
        <v>557.16666666666663</v>
      </c>
      <c r="G22" s="7">
        <f>'[2]CP WW characteristics'!Z2</f>
        <v>43.085186936269992</v>
      </c>
      <c r="H22" s="7">
        <f>'[2]CP WW characteristics'!AA2</f>
        <v>893.33333333333337</v>
      </c>
      <c r="I22" s="7">
        <f>'[2]CP WW characteristics'!AB2</f>
        <v>128.66929288780207</v>
      </c>
      <c r="J22" s="7">
        <f>'[2]CP WW characteristics'!AC2</f>
        <v>547</v>
      </c>
      <c r="K22" s="7">
        <f>'[2]CP WW characteristics'!AD2</f>
        <v>273.50137111173683</v>
      </c>
      <c r="L22" s="7">
        <f>'[2]CP WW characteristics'!AG2</f>
        <v>4470</v>
      </c>
      <c r="M22" s="7">
        <f>'[2]CP WW characteristics'!AH2</f>
        <v>108.51267207105353</v>
      </c>
      <c r="N22" s="7">
        <f>'[2]CP WW characteristics'!AE2</f>
        <v>2681.6666666666665</v>
      </c>
      <c r="O22" s="7">
        <f>'[2]CP WW characteristics'!AF2</f>
        <v>88.928810479694008</v>
      </c>
      <c r="P22" s="7">
        <f>(F22*1.5)+(H22*1.1)+(J22*2.9)</f>
        <v>3404.7166666666667</v>
      </c>
      <c r="Q22" s="41">
        <f t="shared" ref="Q22:Q29" si="8">J22/L22</f>
        <v>0.12237136465324384</v>
      </c>
      <c r="R22" s="41">
        <f>J22/H22</f>
        <v>0.61231343283582085</v>
      </c>
      <c r="S22" s="7">
        <f t="shared" ref="S22:S29" si="9">100*P22/L22</f>
        <v>76.168158090976888</v>
      </c>
      <c r="T22" s="7">
        <f t="shared" ref="T22:T29" si="10">100*H22/L22</f>
        <v>19.985085756897838</v>
      </c>
      <c r="AG22" s="7">
        <f>AVERAGE(AG2:AG8,AG12:AG20)</f>
        <v>536.03520306562405</v>
      </c>
    </row>
    <row r="23" spans="1:36" x14ac:dyDescent="0.25">
      <c r="A23" s="7"/>
      <c r="C23" s="1"/>
      <c r="D23" s="1" t="s">
        <v>59</v>
      </c>
      <c r="F23" s="7">
        <f>'[2]CP WW characteristics'!Y3</f>
        <v>646.16666666666663</v>
      </c>
      <c r="G23" s="7">
        <f>'[2]CP WW characteristics'!Z3</f>
        <v>59.936077059925559</v>
      </c>
      <c r="H23" s="7">
        <f>'[2]CP WW characteristics'!AA3</f>
        <v>920.56737588652493</v>
      </c>
      <c r="I23" s="7">
        <f>'[2]CP WW characteristics'!AB3</f>
        <v>108.85746270125561</v>
      </c>
      <c r="J23" s="7">
        <f>'[2]CP WW characteristics'!AC3</f>
        <v>318.5</v>
      </c>
      <c r="K23" s="7">
        <f>'[2]CP WW characteristics'!AD3</f>
        <v>239.70919882223961</v>
      </c>
      <c r="L23" s="7">
        <f>'[2]CP WW characteristics'!AG3</f>
        <v>3840</v>
      </c>
      <c r="M23" s="7">
        <f>'[2]CP WW characteristics'!AH3</f>
        <v>108.16653826391968</v>
      </c>
      <c r="N23" s="7">
        <f>'[2]CP WW characteristics'!AE3</f>
        <v>3206.6666666666665</v>
      </c>
      <c r="O23" s="7">
        <f>'[2]CP WW characteristics'!AF3</f>
        <v>37.859388972001824</v>
      </c>
      <c r="P23" s="7">
        <f>(F23*1.5)+(H23*1.1)+(J23*2.9)</f>
        <v>2905.5241134751777</v>
      </c>
      <c r="Q23" s="41">
        <f t="shared" si="8"/>
        <v>8.2942708333333337E-2</v>
      </c>
      <c r="R23" s="41">
        <f>J23/H23</f>
        <v>0.34598228043143292</v>
      </c>
      <c r="S23" s="7">
        <f t="shared" si="9"/>
        <v>75.664690455082749</v>
      </c>
      <c r="T23" s="7">
        <f t="shared" si="10"/>
        <v>23.973108747044922</v>
      </c>
    </row>
    <row r="24" spans="1:36" x14ac:dyDescent="0.25">
      <c r="A24" s="7"/>
      <c r="C24" s="1"/>
      <c r="D24" s="1" t="s">
        <v>60</v>
      </c>
      <c r="F24" s="7">
        <f>'[2]CP WW characteristics'!Y4</f>
        <v>413.16666666666669</v>
      </c>
      <c r="G24" s="7">
        <f>'[2]CP WW characteristics'!Z4</f>
        <v>13.203534880225604</v>
      </c>
      <c r="H24" s="7">
        <f>'[2]CP WW characteristics'!AA4</f>
        <v>699.29078014184381</v>
      </c>
      <c r="I24" s="7">
        <f>'[2]CP WW characteristics'!AB4</f>
        <v>109.20954174359905</v>
      </c>
      <c r="J24" s="7">
        <f>'[2]CP WW characteristics'!AC4</f>
        <v>373</v>
      </c>
      <c r="K24" s="7">
        <f>'[2]CP WW characteristics'!AD4</f>
        <v>250.5673562138532</v>
      </c>
      <c r="L24" s="7">
        <f>'[2]CP WW characteristics'!AG4</f>
        <v>4080</v>
      </c>
      <c r="M24" s="7">
        <f>'[2]CP WW characteristics'!AH4</f>
        <v>80.46738469715541</v>
      </c>
      <c r="N24" s="7">
        <f>'[2]CP WW characteristics'!AE4</f>
        <v>3175</v>
      </c>
      <c r="O24" s="7">
        <f>'[2]CP WW characteristics'!AF4</f>
        <v>96.566039579139826</v>
      </c>
      <c r="P24" s="7">
        <f>(F24*1.5)+(H24*1.1)+(J24*2.9)</f>
        <v>2470.6698581560286</v>
      </c>
      <c r="Q24" s="41">
        <f t="shared" si="8"/>
        <v>9.1421568627450975E-2</v>
      </c>
      <c r="R24" s="41">
        <f>J24/H24</f>
        <v>0.53339756592292098</v>
      </c>
      <c r="S24" s="7">
        <f t="shared" si="9"/>
        <v>60.555633778334034</v>
      </c>
      <c r="T24" s="7">
        <f t="shared" si="10"/>
        <v>17.139479905437348</v>
      </c>
    </row>
    <row r="25" spans="1:36" x14ac:dyDescent="0.25">
      <c r="A25" s="7"/>
      <c r="D25" t="s">
        <v>62</v>
      </c>
      <c r="F25" s="7">
        <f>'[2]CP WW characteristics'!Y5</f>
        <v>317.16666666666669</v>
      </c>
      <c r="G25" s="7">
        <f>'[2]CP WW characteristics'!Z5</f>
        <v>10.598742063723098</v>
      </c>
      <c r="H25" s="7">
        <f>'[2]CP WW characteristics'!AA5</f>
        <v>806.24113475177307</v>
      </c>
      <c r="I25" s="7">
        <f>'[2]CP WW characteristics'!AB5</f>
        <v>104.97565591886952</v>
      </c>
      <c r="J25" s="7">
        <f>'[2]CP WW characteristics'!AC5</f>
        <v>849.5</v>
      </c>
      <c r="K25" s="7">
        <f>'[2]CP WW characteristics'!AD5</f>
        <v>44.547727214752491</v>
      </c>
      <c r="L25" s="7">
        <f>'[2]CP WW characteristics'!AG5</f>
        <v>3761.6666666666665</v>
      </c>
      <c r="M25" s="7">
        <f>'[2]CP WW characteristics'!AH5</f>
        <v>82.512625296577099</v>
      </c>
      <c r="N25" s="7">
        <f>'[2]CP WW characteristics'!AE5</f>
        <v>1820.3333333333333</v>
      </c>
      <c r="O25" s="7">
        <f>'[2]CP WW characteristics'!AF5</f>
        <v>161.46310208011406</v>
      </c>
      <c r="P25" s="7">
        <f>(F25*1.5)+(H25*1.1)+(J25*2.9)</f>
        <v>3826.1652482269501</v>
      </c>
      <c r="Q25" s="41">
        <f t="shared" si="8"/>
        <v>0.22583074878156847</v>
      </c>
      <c r="R25" s="41">
        <f>J25/H25</f>
        <v>1.0536549964813511</v>
      </c>
      <c r="S25" s="7">
        <f t="shared" si="9"/>
        <v>101.71462777741117</v>
      </c>
      <c r="T25" s="7">
        <f t="shared" si="10"/>
        <v>21.433082891052894</v>
      </c>
    </row>
    <row r="26" spans="1:36" x14ac:dyDescent="0.25">
      <c r="D26" t="s">
        <v>63</v>
      </c>
      <c r="F26" s="7">
        <f>'[2]CP WW characteristics'!Y6</f>
        <v>382.16666666666669</v>
      </c>
      <c r="G26" s="7">
        <f>'[2]CP WW characteristics'!Z6</f>
        <v>5.6862407030773268</v>
      </c>
      <c r="H26" s="7">
        <f>'[2]CP WW characteristics'!AA6</f>
        <v>1597.9487179487178</v>
      </c>
      <c r="I26" s="7">
        <f>'[2]CP WW characteristics'!AB6</f>
        <v>38.686521461625247</v>
      </c>
      <c r="J26" s="7">
        <f>'[2]CP WW characteristics'!AC6</f>
        <v>499.5</v>
      </c>
      <c r="K26" s="7">
        <f>'[2]CP WW characteristics'!AD6</f>
        <v>161.92745289171938</v>
      </c>
      <c r="L26" s="7">
        <f>'[2]CP WW characteristics'!AG6</f>
        <v>5305</v>
      </c>
      <c r="M26" s="7">
        <f>'[2]CP WW characteristics'!AH6</f>
        <v>30.413812651491099</v>
      </c>
      <c r="N26" s="7">
        <f>'[2]CP WW characteristics'!AE6</f>
        <v>2093.3333333333335</v>
      </c>
      <c r="O26" s="7">
        <f>'[2]CP WW characteristics'!AF6</f>
        <v>56.19905100029122</v>
      </c>
      <c r="P26" s="7">
        <f>(F26*1.5)+(H26*1.1)+(J26*2.9)</f>
        <v>3779.54358974359</v>
      </c>
      <c r="Q26" s="41">
        <f t="shared" si="8"/>
        <v>9.4156456173421305E-2</v>
      </c>
      <c r="R26" s="41">
        <f>J26/H26</f>
        <v>0.31258825417201541</v>
      </c>
      <c r="S26" s="7">
        <f t="shared" si="9"/>
        <v>71.244931003649199</v>
      </c>
      <c r="T26" s="7">
        <f t="shared" si="10"/>
        <v>30.121559245027669</v>
      </c>
    </row>
    <row r="27" spans="1:36" x14ac:dyDescent="0.25">
      <c r="A27" s="7"/>
      <c r="D27" t="s">
        <v>64</v>
      </c>
      <c r="F27" s="7">
        <f>'[2]CP WW characteristics'!Y7</f>
        <v>365.23333333333329</v>
      </c>
      <c r="G27" s="7">
        <f>'[2]CP WW characteristics'!Z7</f>
        <v>6.5064070986477116</v>
      </c>
      <c r="H27" s="7"/>
      <c r="I27" s="7"/>
      <c r="J27" s="7">
        <f>'[2]CP WW characteristics'!AC7</f>
        <v>155.66666666666666</v>
      </c>
      <c r="K27" s="7">
        <f>'[2]CP WW characteristics'!AD7</f>
        <v>29.737742572921295</v>
      </c>
      <c r="L27" s="7">
        <f>'[2]CP WW characteristics'!AG7</f>
        <v>3484</v>
      </c>
      <c r="M27" s="7">
        <f>'[2]CP WW characteristics'!AH7</f>
        <v>150.18987981884797</v>
      </c>
      <c r="N27" s="7">
        <f>'[2]CP WW characteristics'!AE7</f>
        <v>1050.6666666666667</v>
      </c>
      <c r="O27" s="7">
        <f>'[2]CP WW characteristics'!AF7</f>
        <v>67.002487516011925</v>
      </c>
      <c r="P27" s="7"/>
      <c r="Q27" s="41">
        <f t="shared" si="8"/>
        <v>4.4680443934175272E-2</v>
      </c>
      <c r="R27" s="41"/>
      <c r="S27" s="7"/>
      <c r="T27" s="7"/>
    </row>
    <row r="28" spans="1:36" x14ac:dyDescent="0.25">
      <c r="A28" s="7"/>
      <c r="D28" t="s">
        <v>65</v>
      </c>
      <c r="F28" s="7">
        <f>'[2]CP WW characteristics'!Y8</f>
        <v>542.5454545454545</v>
      </c>
      <c r="G28" s="7">
        <f>'[2]CP WW characteristics'!Z8</f>
        <v>21.493800759158042</v>
      </c>
      <c r="H28" s="7">
        <f>'[2]CP WW characteristics'!AA8</f>
        <v>3996.7320261437908</v>
      </c>
      <c r="I28" s="7">
        <f>'[2]CP WW characteristics'!AB8</f>
        <v>489.4477948862426</v>
      </c>
      <c r="J28" s="7">
        <f>'[2]CP WW characteristics'!AC8</f>
        <v>234</v>
      </c>
      <c r="K28" s="7">
        <f>'[2]CP WW characteristics'!AD8</f>
        <v>46.357307945997036</v>
      </c>
      <c r="L28" s="7">
        <f>'[2]CP WW characteristics'!AG8</f>
        <v>4951.666666666667</v>
      </c>
      <c r="M28" s="7">
        <f>'[2]CP WW characteristics'!AH8</f>
        <v>101.03629710818451</v>
      </c>
      <c r="N28" s="7">
        <f>'[2]CP WW characteristics'!AE8</f>
        <v>3646.6666666666665</v>
      </c>
      <c r="O28" s="7">
        <f>'[2]CP WW characteristics'!AF8</f>
        <v>132.69639532908695</v>
      </c>
      <c r="P28" s="7">
        <f>(F28*1.5)+(H28*1.1)+(J28*2.9)</f>
        <v>5888.8234105763522</v>
      </c>
      <c r="Q28" s="41">
        <f t="shared" si="8"/>
        <v>4.7256815886906764E-2</v>
      </c>
      <c r="R28" s="41">
        <f>J28/H28</f>
        <v>5.854783319705642E-2</v>
      </c>
      <c r="S28" s="7">
        <f t="shared" si="9"/>
        <v>118.92608705303977</v>
      </c>
      <c r="T28" s="7">
        <f t="shared" si="10"/>
        <v>80.714884405461945</v>
      </c>
    </row>
    <row r="29" spans="1:36" x14ac:dyDescent="0.25">
      <c r="A29" s="7"/>
      <c r="D29" t="s">
        <v>66</v>
      </c>
      <c r="F29" s="7">
        <f>'[2]CP WW characteristics'!Y9</f>
        <v>247.69696969696972</v>
      </c>
      <c r="G29" s="7">
        <f>'[2]CP WW characteristics'!Z9</f>
        <v>14.440912190841029</v>
      </c>
      <c r="H29" s="7">
        <f>'[2]CP WW characteristics'!AA9</f>
        <v>1305</v>
      </c>
      <c r="I29" s="7">
        <f>'[2]CP WW characteristics'!AB9</f>
        <v>39</v>
      </c>
      <c r="J29" s="7">
        <f>'[2]CP WW characteristics'!AC9</f>
        <v>92</v>
      </c>
      <c r="K29" s="7">
        <f>'[2]CP WW characteristics'!AD9</f>
        <v>19.924858845171276</v>
      </c>
      <c r="L29" s="7">
        <f>'[2]CP WW characteristics'!AG9</f>
        <v>2305</v>
      </c>
      <c r="M29" s="7">
        <f>'[2]CP WW characteristics'!AH9</f>
        <v>27.838821814150108</v>
      </c>
      <c r="N29" s="7">
        <f>'[2]CP WW characteristics'!AE9</f>
        <v>1148.3333333333333</v>
      </c>
      <c r="O29" s="7">
        <f>'[2]CP WW characteristics'!AF9</f>
        <v>42.524502740576914</v>
      </c>
      <c r="P29" s="7">
        <f>(F29*1.5)+(H29*1.1)+(J29*2.9)</f>
        <v>2073.8454545454547</v>
      </c>
      <c r="Q29" s="41">
        <f t="shared" si="8"/>
        <v>3.9913232104121475E-2</v>
      </c>
      <c r="R29" s="41">
        <f>J29/H29</f>
        <v>7.0498084291187743E-2</v>
      </c>
      <c r="S29" s="7">
        <f t="shared" si="9"/>
        <v>89.971603234076127</v>
      </c>
      <c r="T29" s="7">
        <f t="shared" si="10"/>
        <v>56.61605206073753</v>
      </c>
    </row>
    <row r="30" spans="1:36" x14ac:dyDescent="0.25">
      <c r="A30" s="7"/>
      <c r="F30" s="31">
        <f>AVERAGE(F22:F29)</f>
        <v>433.91363636363633</v>
      </c>
      <c r="G30" s="31">
        <f>_xlfn.STDEV.S(F22:F29)</f>
        <v>135.31719445162722</v>
      </c>
      <c r="H30" s="31">
        <f>AVERAGE(H22:H29)</f>
        <v>1459.8733383151407</v>
      </c>
      <c r="I30" s="31">
        <f>_xlfn.STDEV.S(H22:H29)</f>
        <v>1161.62543784431</v>
      </c>
      <c r="J30" s="31">
        <f>AVERAGE(J22:J29)</f>
        <v>383.64583333333331</v>
      </c>
      <c r="K30" s="31">
        <f>_xlfn.STDEV.S(J22:J29)</f>
        <v>245.2141506167587</v>
      </c>
      <c r="L30" s="31">
        <f>AVERAGE(L22:L29)</f>
        <v>4024.6666666666665</v>
      </c>
      <c r="M30" s="31">
        <f>_xlfn.STDEV.S(L22:L29)</f>
        <v>929.88560484354252</v>
      </c>
      <c r="N30" s="31"/>
      <c r="O30" s="31"/>
      <c r="S30" s="31">
        <f>AVERAGE(S22:S29)</f>
        <v>84.892247341795709</v>
      </c>
    </row>
    <row r="31" spans="1:36" x14ac:dyDescent="0.25">
      <c r="H31" s="24">
        <f>AVERAGE(H2:H9,H12:H19,H22:H29)</f>
        <v>838.85836800240543</v>
      </c>
      <c r="I31" s="24">
        <f>_xlfn.STDEV.S(H2:H9,H12:H19,H22:H29)</f>
        <v>780.46066093795673</v>
      </c>
      <c r="J31" s="7"/>
      <c r="S31" s="24">
        <f>AVERAGE(S2:S9,S12:S19,S22:S29)</f>
        <v>82.380904036078832</v>
      </c>
    </row>
    <row r="32" spans="1:36" x14ac:dyDescent="0.25">
      <c r="A32" s="7"/>
      <c r="H32" s="24">
        <f>AVERAGE(H2:H9,H12:H19,H22:H26,H29)</f>
        <v>688.48343190043477</v>
      </c>
      <c r="I32" s="24">
        <f>_xlfn.STDEV.S(H2:H9,H12:H19,H22:H26,H29)</f>
        <v>342.37878280944881</v>
      </c>
      <c r="J32" t="s">
        <v>117</v>
      </c>
      <c r="L32" s="184"/>
      <c r="M32" s="184"/>
      <c r="N32" s="184"/>
      <c r="O32" s="184"/>
      <c r="P32" s="184"/>
      <c r="Q32" s="184"/>
      <c r="S32" s="31">
        <f>_xlfn.STDEV.S(S2:S9,S12:S19,S22:S29)</f>
        <v>19.267185870962471</v>
      </c>
    </row>
    <row r="33" spans="1:18" x14ac:dyDescent="0.25">
      <c r="A33" s="7"/>
      <c r="F33" t="s">
        <v>118</v>
      </c>
      <c r="H33" t="s">
        <v>119</v>
      </c>
      <c r="J33" t="s">
        <v>120</v>
      </c>
      <c r="L33" s="89" t="s">
        <v>121</v>
      </c>
      <c r="M33" s="89"/>
      <c r="N33" s="89"/>
      <c r="O33" s="89"/>
      <c r="P33" s="89"/>
      <c r="Q33" s="18"/>
    </row>
    <row r="34" spans="1:18" x14ac:dyDescent="0.25">
      <c r="A34" s="7"/>
      <c r="D34" s="19" t="s">
        <v>122</v>
      </c>
      <c r="E34" s="19"/>
      <c r="F34" s="24">
        <f>AVERAGE(F2:F9,F12:F19,F22:F29)</f>
        <v>258.63560606060611</v>
      </c>
      <c r="G34" s="21">
        <f>_xlfn.STDEV.S(F2:F9,F12:F19,F22:F29)</f>
        <v>168.71507535041738</v>
      </c>
      <c r="H34" s="24">
        <f>AVERAGE(H2:H9,H12:H19,H22:H29)</f>
        <v>838.85836800240543</v>
      </c>
      <c r="I34" s="24">
        <f>_xlfn.STDEV.S(H2:H9,H12:H19,H22:H29)</f>
        <v>780.46066093795673</v>
      </c>
      <c r="J34" s="24">
        <f>AVERAGE(J2:J9,J12:J19,J22:J29,AG2:AG8,AG12:AG20)</f>
        <v>477.99741455958281</v>
      </c>
      <c r="K34" s="24">
        <f>_xlfn.STDEV.S(J2:J9,J12:J19,J22:J29,AG2:AG8,AG12:AG20)</f>
        <v>378.7885186336589</v>
      </c>
      <c r="L34" s="31">
        <f>[1]surfactants!X27</f>
        <v>0</v>
      </c>
      <c r="M34" s="31">
        <f>[1]surfactants!Y27</f>
        <v>0</v>
      </c>
      <c r="N34" s="31"/>
      <c r="O34" s="31"/>
      <c r="P34" s="31"/>
      <c r="Q34" s="31"/>
    </row>
    <row r="35" spans="1:18" x14ac:dyDescent="0.25">
      <c r="A35" s="7"/>
      <c r="D35" s="19" t="s">
        <v>123</v>
      </c>
      <c r="E35" s="19"/>
      <c r="F35" s="24">
        <f>MAX(F2:F9,F12:F19,F22:F29)</f>
        <v>646.16666666666663</v>
      </c>
      <c r="G35" s="21">
        <f>F35-F34</f>
        <v>387.53106060606052</v>
      </c>
      <c r="H35" s="24">
        <f>MAX(H2:H9,H12:H19,H22:H29)</f>
        <v>3996.7320261437908</v>
      </c>
      <c r="I35" s="24">
        <f>H35-H34</f>
        <v>3157.8736581413855</v>
      </c>
      <c r="J35" s="24">
        <f>MAX(J2:J9,J12:J19,J22:J29,AG2:AG8,AG12:AG20)</f>
        <v>2022.5613561700939</v>
      </c>
      <c r="K35" s="24">
        <f>J35-J34</f>
        <v>1544.5639416105109</v>
      </c>
      <c r="L35" s="31">
        <f>[1]surfactants!X28</f>
        <v>0</v>
      </c>
      <c r="M35" s="31">
        <f>L35-L34</f>
        <v>0</v>
      </c>
      <c r="N35" s="31"/>
      <c r="O35" s="31"/>
      <c r="P35" s="18"/>
      <c r="Q35" s="18"/>
      <c r="R35" s="18"/>
    </row>
    <row r="36" spans="1:18" x14ac:dyDescent="0.25">
      <c r="D36" s="18" t="s">
        <v>124</v>
      </c>
      <c r="E36" s="18"/>
      <c r="F36" s="31">
        <f>MIN(F2:F9,F12:F19,F22:F29)</f>
        <v>23.5</v>
      </c>
      <c r="G36" s="31">
        <f>F34-F36</f>
        <v>235.13560606060611</v>
      </c>
      <c r="H36" s="31">
        <f>MIN(H2:H9,H12:H19,H22:H29)</f>
        <v>201.68707482993196</v>
      </c>
      <c r="I36" s="31">
        <f>H34-H36</f>
        <v>637.1712931724735</v>
      </c>
      <c r="J36" s="31">
        <f>AG20</f>
        <v>37.791805998480925</v>
      </c>
      <c r="K36" s="31">
        <f>J34-J36</f>
        <v>440.20560856110188</v>
      </c>
      <c r="L36" s="7">
        <f>[1]surfactants!X29</f>
        <v>0</v>
      </c>
      <c r="M36" s="31">
        <f>L34-L36</f>
        <v>0</v>
      </c>
      <c r="N36" s="31"/>
      <c r="O36" s="31"/>
      <c r="P36" s="18"/>
      <c r="Q36" s="18"/>
      <c r="R36" s="18"/>
    </row>
    <row r="37" spans="1:18" x14ac:dyDescent="0.25">
      <c r="A37" s="7"/>
      <c r="D37" s="27"/>
      <c r="E37" s="27" t="s">
        <v>120</v>
      </c>
      <c r="H37" t="s">
        <v>119</v>
      </c>
      <c r="I37" s="31"/>
      <c r="J37" s="31"/>
      <c r="K37" s="90" t="s">
        <v>118</v>
      </c>
      <c r="L37" s="90"/>
      <c r="M37" s="90"/>
      <c r="N37" s="89" t="s">
        <v>121</v>
      </c>
      <c r="O37" s="18"/>
      <c r="P37" s="18"/>
    </row>
    <row r="38" spans="1:18" x14ac:dyDescent="0.25">
      <c r="A38" s="7"/>
      <c r="D38" s="27"/>
      <c r="E38" s="90" t="s">
        <v>125</v>
      </c>
      <c r="F38" s="90" t="s">
        <v>123</v>
      </c>
      <c r="G38" s="90" t="s">
        <v>124</v>
      </c>
      <c r="H38" s="90" t="s">
        <v>125</v>
      </c>
      <c r="I38" s="90" t="s">
        <v>123</v>
      </c>
      <c r="J38" s="90" t="s">
        <v>124</v>
      </c>
      <c r="K38" s="90" t="s">
        <v>125</v>
      </c>
      <c r="L38" s="90" t="s">
        <v>123</v>
      </c>
      <c r="M38" s="90" t="s">
        <v>124</v>
      </c>
      <c r="N38" s="90" t="s">
        <v>125</v>
      </c>
      <c r="O38" s="90" t="s">
        <v>123</v>
      </c>
      <c r="P38" s="90" t="s">
        <v>124</v>
      </c>
    </row>
    <row r="39" spans="1:18" x14ac:dyDescent="0.25">
      <c r="A39" s="7"/>
      <c r="D39" s="27" t="s">
        <v>126</v>
      </c>
      <c r="E39" s="90">
        <f>$AG$9</f>
        <v>862.05170844534007</v>
      </c>
      <c r="F39" s="7">
        <f>AG6</f>
        <v>2022.5613561700939</v>
      </c>
      <c r="G39" s="7">
        <f>AG3</f>
        <v>237.4844562926578</v>
      </c>
      <c r="H39" s="7">
        <f>H10</f>
        <v>520.08365025316732</v>
      </c>
      <c r="I39" s="90">
        <f>H7</f>
        <v>960.59863945578229</v>
      </c>
      <c r="J39" s="90">
        <f>H5</f>
        <v>201.68707482993196</v>
      </c>
      <c r="K39" s="90">
        <f>AVERAGE(F10)</f>
        <v>108.43333333333334</v>
      </c>
      <c r="L39" s="90">
        <f>F9</f>
        <v>150.9</v>
      </c>
      <c r="M39" s="90">
        <f>F4</f>
        <v>23.5</v>
      </c>
      <c r="N39" s="90">
        <f>[1]surfactants!T27</f>
        <v>351.22648809523804</v>
      </c>
      <c r="O39" s="90">
        <f>[1]surfactants!U27</f>
        <v>834.93333333333328</v>
      </c>
      <c r="P39" s="90">
        <f>[1]surfactants!V27</f>
        <v>102.78</v>
      </c>
    </row>
    <row r="40" spans="1:18" x14ac:dyDescent="0.25">
      <c r="A40" s="7"/>
      <c r="D40" s="27" t="s">
        <v>127</v>
      </c>
      <c r="E40" s="90">
        <f>AG21</f>
        <v>282.46680999251168</v>
      </c>
      <c r="F40" s="7">
        <f>AG16</f>
        <v>476.64278373855507</v>
      </c>
      <c r="G40" s="7">
        <f>AG20</f>
        <v>37.791805998480925</v>
      </c>
      <c r="H40" s="7">
        <f>AVERAGE(H12:H19,H22:H29)</f>
        <v>1021.0153495733985</v>
      </c>
      <c r="I40" s="90">
        <f>H28</f>
        <v>3996.7320261437908</v>
      </c>
      <c r="J40" s="90">
        <f>H16</f>
        <v>431.375</v>
      </c>
      <c r="K40" s="90">
        <f>AVERAGE(F12:F19,F22:F29)</f>
        <v>333.73674242424238</v>
      </c>
      <c r="L40" s="90">
        <f>F28</f>
        <v>542.5454545454545</v>
      </c>
      <c r="M40" s="90">
        <f>F16</f>
        <v>57.545454545454547</v>
      </c>
      <c r="N40" s="90">
        <f>[1]surfactants!T28</f>
        <v>42.142000000000003</v>
      </c>
      <c r="O40" s="90">
        <f>[1]surfactants!U28</f>
        <v>96.2</v>
      </c>
      <c r="P40" s="90">
        <f>[1]surfactants!V28</f>
        <v>9.4</v>
      </c>
    </row>
    <row r="41" spans="1:18" ht="15" customHeight="1" x14ac:dyDescent="0.25">
      <c r="A41" s="7"/>
      <c r="C41" s="91"/>
      <c r="D41" s="27" t="s">
        <v>128</v>
      </c>
      <c r="E41" s="90"/>
      <c r="F41" s="7" t="s">
        <v>129</v>
      </c>
      <c r="G41" s="7" t="s">
        <v>130</v>
      </c>
      <c r="H41" s="7"/>
      <c r="I41" s="7" t="s">
        <v>129</v>
      </c>
      <c r="J41" s="7" t="s">
        <v>130</v>
      </c>
      <c r="K41" s="90"/>
      <c r="L41" s="7" t="s">
        <v>129</v>
      </c>
      <c r="M41" s="7" t="s">
        <v>130</v>
      </c>
      <c r="N41" s="90"/>
      <c r="O41" s="7" t="s">
        <v>129</v>
      </c>
      <c r="P41" s="7" t="s">
        <v>130</v>
      </c>
    </row>
    <row r="42" spans="1:18" x14ac:dyDescent="0.25">
      <c r="A42" s="7"/>
      <c r="C42" s="91"/>
      <c r="D42" s="27" t="s">
        <v>131</v>
      </c>
      <c r="E42" s="90"/>
      <c r="F42" s="7">
        <f>F39-E39</f>
        <v>1160.5096477247539</v>
      </c>
      <c r="G42" s="7">
        <f>E39-G39</f>
        <v>624.56725215268227</v>
      </c>
      <c r="H42" s="7"/>
      <c r="I42" s="90">
        <f>I39-H39</f>
        <v>440.51498920261497</v>
      </c>
      <c r="J42" s="90">
        <f>H39-J39</f>
        <v>318.39657542323539</v>
      </c>
      <c r="K42" s="90"/>
      <c r="L42" s="90">
        <f>L39-K39</f>
        <v>42.466666666666669</v>
      </c>
      <c r="M42" s="90">
        <f>K39-M39</f>
        <v>84.933333333333337</v>
      </c>
      <c r="N42" s="90"/>
      <c r="O42" s="90">
        <f>O39-N39</f>
        <v>483.70684523809524</v>
      </c>
      <c r="P42" s="90">
        <f>N39-P39</f>
        <v>248.44648809523804</v>
      </c>
    </row>
    <row r="43" spans="1:18" x14ac:dyDescent="0.25">
      <c r="A43" s="7"/>
      <c r="C43" s="91"/>
      <c r="D43" s="27" t="s">
        <v>132</v>
      </c>
      <c r="E43" s="90"/>
      <c r="F43" s="7">
        <f>F40-E40</f>
        <v>194.17597374604338</v>
      </c>
      <c r="G43" s="7">
        <f>E40-G40</f>
        <v>244.67500399403076</v>
      </c>
      <c r="H43" s="7"/>
      <c r="I43" s="90">
        <f>I40-H40</f>
        <v>2975.7166765703923</v>
      </c>
      <c r="J43" s="90">
        <f>H40-J40</f>
        <v>589.64034957339845</v>
      </c>
      <c r="K43" s="90"/>
      <c r="L43" s="90">
        <f>L40-K40</f>
        <v>208.80871212121212</v>
      </c>
      <c r="M43" s="90">
        <f>K40-M40</f>
        <v>276.19128787878782</v>
      </c>
      <c r="N43" s="90"/>
      <c r="O43" s="90">
        <f>O40-N40</f>
        <v>54.058</v>
      </c>
      <c r="P43" s="90">
        <f>N40-P40</f>
        <v>32.742000000000004</v>
      </c>
    </row>
    <row r="44" spans="1:18" x14ac:dyDescent="0.25">
      <c r="C44" s="91"/>
      <c r="D44" s="27"/>
      <c r="E44" s="90"/>
      <c r="F44" s="7"/>
      <c r="G44" s="7"/>
      <c r="H44" s="7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ht="15.75" thickBot="1" x14ac:dyDescent="0.3">
      <c r="I45" s="27"/>
      <c r="J45" s="27"/>
      <c r="P45" s="18"/>
    </row>
    <row r="46" spans="1:18" x14ac:dyDescent="0.25">
      <c r="B46" t="s">
        <v>133</v>
      </c>
      <c r="E46" s="92"/>
      <c r="F46" s="92"/>
    </row>
    <row r="47" spans="1:18" x14ac:dyDescent="0.25">
      <c r="B47">
        <v>100</v>
      </c>
      <c r="C47" s="7"/>
      <c r="E47" s="93"/>
      <c r="F47" s="14"/>
    </row>
    <row r="48" spans="1:18" x14ac:dyDescent="0.25">
      <c r="B48">
        <v>200</v>
      </c>
      <c r="C48" s="7"/>
      <c r="E48" s="93"/>
      <c r="F48" s="14"/>
    </row>
    <row r="49" spans="2:8" x14ac:dyDescent="0.25">
      <c r="B49">
        <v>300</v>
      </c>
      <c r="C49" s="7"/>
      <c r="E49" s="93"/>
      <c r="F49" s="14"/>
    </row>
    <row r="50" spans="2:8" x14ac:dyDescent="0.25">
      <c r="B50">
        <v>400</v>
      </c>
      <c r="C50" s="7"/>
      <c r="E50" s="93"/>
      <c r="F50" s="14"/>
    </row>
    <row r="51" spans="2:8" x14ac:dyDescent="0.25">
      <c r="B51">
        <v>500</v>
      </c>
      <c r="C51" s="7"/>
      <c r="E51" s="93"/>
      <c r="F51" s="14"/>
    </row>
    <row r="52" spans="2:8" x14ac:dyDescent="0.25">
      <c r="B52">
        <v>600</v>
      </c>
      <c r="C52" s="7"/>
      <c r="E52" s="93"/>
      <c r="F52" s="14"/>
    </row>
    <row r="53" spans="2:8" x14ac:dyDescent="0.25">
      <c r="B53">
        <v>700</v>
      </c>
      <c r="C53" s="7"/>
      <c r="E53" s="93"/>
      <c r="F53" s="14"/>
    </row>
    <row r="54" spans="2:8" x14ac:dyDescent="0.25">
      <c r="B54">
        <v>800</v>
      </c>
      <c r="C54" s="7"/>
      <c r="E54" s="93"/>
      <c r="F54" s="14"/>
    </row>
    <row r="55" spans="2:8" x14ac:dyDescent="0.25">
      <c r="B55">
        <v>900</v>
      </c>
      <c r="C55" s="7"/>
      <c r="E55" s="93"/>
      <c r="F55" s="14"/>
    </row>
    <row r="56" spans="2:8" ht="15.75" thickBot="1" x14ac:dyDescent="0.3">
      <c r="B56">
        <v>1000</v>
      </c>
      <c r="C56" s="7"/>
      <c r="E56" s="93"/>
      <c r="F56" s="14"/>
    </row>
    <row r="57" spans="2:8" x14ac:dyDescent="0.25">
      <c r="B57">
        <v>1100</v>
      </c>
      <c r="C57" s="7"/>
      <c r="E57" s="93"/>
      <c r="F57" s="14"/>
      <c r="G57" s="92"/>
      <c r="H57" s="92"/>
    </row>
    <row r="58" spans="2:8" x14ac:dyDescent="0.25">
      <c r="B58">
        <v>1200</v>
      </c>
      <c r="C58" s="7"/>
      <c r="E58" s="93"/>
      <c r="F58" s="14"/>
      <c r="G58" s="93"/>
      <c r="H58" s="14"/>
    </row>
    <row r="59" spans="2:8" x14ac:dyDescent="0.25">
      <c r="B59">
        <v>1300</v>
      </c>
      <c r="C59" s="7"/>
      <c r="E59" s="93"/>
      <c r="F59" s="14"/>
      <c r="G59" s="93"/>
      <c r="H59" s="14"/>
    </row>
    <row r="60" spans="2:8" x14ac:dyDescent="0.25">
      <c r="B60">
        <v>1400</v>
      </c>
      <c r="C60" s="7"/>
      <c r="E60" s="93"/>
      <c r="F60" s="14"/>
      <c r="G60" s="93"/>
      <c r="H60" s="14"/>
    </row>
    <row r="61" spans="2:8" x14ac:dyDescent="0.25">
      <c r="B61">
        <v>1500</v>
      </c>
      <c r="C61" s="7"/>
      <c r="E61" s="93"/>
      <c r="F61" s="14"/>
      <c r="G61" s="93"/>
      <c r="H61" s="14"/>
    </row>
    <row r="62" spans="2:8" x14ac:dyDescent="0.25">
      <c r="B62">
        <v>1600</v>
      </c>
      <c r="C62" s="7"/>
      <c r="E62" s="93"/>
      <c r="F62" s="14"/>
      <c r="G62" s="93"/>
      <c r="H62" s="14"/>
    </row>
    <row r="63" spans="2:8" x14ac:dyDescent="0.25">
      <c r="C63" s="7"/>
      <c r="E63" s="93"/>
      <c r="F63" s="14"/>
      <c r="G63" s="93"/>
      <c r="H63" s="14"/>
    </row>
    <row r="64" spans="2:8" x14ac:dyDescent="0.25">
      <c r="C64" s="7"/>
      <c r="E64" s="93"/>
      <c r="F64" s="14"/>
      <c r="G64" s="93"/>
      <c r="H64" s="14"/>
    </row>
    <row r="65" spans="3:8" x14ac:dyDescent="0.25">
      <c r="C65" s="7"/>
      <c r="E65" s="93"/>
      <c r="F65" s="14"/>
      <c r="G65" s="93"/>
      <c r="H65" s="14"/>
    </row>
    <row r="66" spans="3:8" x14ac:dyDescent="0.25">
      <c r="C66" s="7"/>
      <c r="E66" s="93"/>
      <c r="F66" s="14"/>
      <c r="G66" s="93"/>
      <c r="H66" s="14"/>
    </row>
    <row r="67" spans="3:8" x14ac:dyDescent="0.25">
      <c r="C67" s="7"/>
      <c r="E67" s="93"/>
      <c r="F67" s="14"/>
      <c r="G67" s="93"/>
      <c r="H67" s="14"/>
    </row>
    <row r="68" spans="3:8" ht="15.75" thickBot="1" x14ac:dyDescent="0.3">
      <c r="E68" s="25"/>
      <c r="F68" s="25"/>
      <c r="G68" s="93"/>
      <c r="H68" s="14"/>
    </row>
    <row r="69" spans="3:8" x14ac:dyDescent="0.25">
      <c r="G69" s="93"/>
      <c r="H69" s="14"/>
    </row>
    <row r="70" spans="3:8" x14ac:dyDescent="0.25">
      <c r="G70" s="93"/>
      <c r="H70" s="14"/>
    </row>
    <row r="71" spans="3:8" x14ac:dyDescent="0.25">
      <c r="G71" s="93"/>
      <c r="H71" s="14"/>
    </row>
    <row r="72" spans="3:8" x14ac:dyDescent="0.25">
      <c r="G72" s="93"/>
      <c r="H72" s="14"/>
    </row>
    <row r="73" spans="3:8" x14ac:dyDescent="0.25">
      <c r="G73" s="93"/>
      <c r="H73" s="14"/>
    </row>
    <row r="74" spans="3:8" ht="15.75" thickBot="1" x14ac:dyDescent="0.3">
      <c r="G74" s="25"/>
      <c r="H74" s="25"/>
    </row>
  </sheetData>
  <mergeCells count="1">
    <mergeCell ref="L32:Q3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opLeftCell="L1" zoomScale="87" zoomScaleNormal="87" workbookViewId="0">
      <pane ySplit="1" topLeftCell="A2" activePane="bottomLeft" state="frozen"/>
      <selection pane="bottomLeft" activeCell="AC12" sqref="AC12:AC13"/>
    </sheetView>
  </sheetViews>
  <sheetFormatPr defaultRowHeight="15" x14ac:dyDescent="0.25"/>
  <cols>
    <col min="1" max="9" width="9.140625" style="125"/>
    <col min="10" max="10" width="13.42578125" style="125" customWidth="1"/>
    <col min="11" max="11" width="9.28515625" style="125" bestFit="1" customWidth="1"/>
    <col min="12" max="13" width="9.5703125" style="125" bestFit="1" customWidth="1"/>
    <col min="14" max="18" width="9.5703125" style="125" customWidth="1"/>
    <col min="19" max="19" width="9.85546875" style="125" customWidth="1"/>
    <col min="20" max="20" width="9.5703125" style="125" customWidth="1"/>
    <col min="21" max="22" width="9.140625" style="125"/>
    <col min="23" max="23" width="12" style="125" customWidth="1"/>
    <col min="24" max="24" width="10.7109375" style="125" customWidth="1"/>
    <col min="25" max="16384" width="9.140625" style="125"/>
  </cols>
  <sheetData>
    <row r="1" spans="1:38" ht="45" x14ac:dyDescent="0.25">
      <c r="A1" s="125" t="s">
        <v>165</v>
      </c>
      <c r="C1" s="125" t="s">
        <v>166</v>
      </c>
      <c r="D1" s="126" t="str">
        <f>'[3]sds 30'!S1</f>
        <v>abs</v>
      </c>
      <c r="E1" s="126" t="str">
        <f>'[3]sds 30'!R1</f>
        <v>OIL CONC (mg/l)</v>
      </c>
      <c r="K1" s="125" t="s">
        <v>167</v>
      </c>
      <c r="L1" s="125" t="s">
        <v>168</v>
      </c>
      <c r="N1" s="185" t="s">
        <v>169</v>
      </c>
      <c r="O1" s="185"/>
      <c r="P1" s="126" t="s">
        <v>86</v>
      </c>
      <c r="Q1" s="126"/>
      <c r="R1" s="133" t="s">
        <v>84</v>
      </c>
      <c r="T1" s="126" t="str">
        <f>'colab graphs'!J1</f>
        <v>Gerber emuls/tot (%)</v>
      </c>
      <c r="U1" s="125" t="str">
        <f>'colab graphs'!K1</f>
        <v>sd</v>
      </c>
      <c r="X1" s="185" t="s">
        <v>131</v>
      </c>
      <c r="Y1" s="185"/>
      <c r="Z1" s="185"/>
      <c r="AB1" s="185" t="s">
        <v>170</v>
      </c>
      <c r="AC1" s="185"/>
      <c r="AD1" s="185"/>
      <c r="AE1" s="185"/>
      <c r="AL1" s="125" t="s">
        <v>171</v>
      </c>
    </row>
    <row r="2" spans="1:38" x14ac:dyDescent="0.25">
      <c r="A2" s="125" t="s">
        <v>172</v>
      </c>
      <c r="C2" s="125">
        <v>30</v>
      </c>
      <c r="D2" s="127">
        <f>'[3]sds 30'!S3</f>
        <v>0.5873666666666667</v>
      </c>
      <c r="E2" s="125">
        <f>'[3]sds 30'!R3</f>
        <v>347</v>
      </c>
      <c r="L2" s="125" t="s">
        <v>73</v>
      </c>
      <c r="M2" s="125" t="s">
        <v>173</v>
      </c>
      <c r="N2" s="125" t="s">
        <v>73</v>
      </c>
      <c r="O2" s="125" t="s">
        <v>173</v>
      </c>
      <c r="P2" s="125" t="s">
        <v>73</v>
      </c>
      <c r="Q2" s="125" t="s">
        <v>173</v>
      </c>
      <c r="X2" s="125" t="s">
        <v>174</v>
      </c>
      <c r="Y2" s="125" t="s">
        <v>175</v>
      </c>
      <c r="Z2" s="125" t="s">
        <v>176</v>
      </c>
      <c r="AA2" s="125" t="s">
        <v>167</v>
      </c>
      <c r="AB2" s="125" t="s">
        <v>174</v>
      </c>
      <c r="AC2" s="125" t="s">
        <v>175</v>
      </c>
      <c r="AD2" s="125" t="s">
        <v>176</v>
      </c>
      <c r="AE2" s="125" t="s">
        <v>167</v>
      </c>
      <c r="AL2" s="125" t="s">
        <v>177</v>
      </c>
    </row>
    <row r="3" spans="1:38" x14ac:dyDescent="0.25">
      <c r="A3" s="125" t="s">
        <v>178</v>
      </c>
      <c r="D3" s="127">
        <f>'[3]sds 30'!S14</f>
        <v>0.86453333333333326</v>
      </c>
      <c r="E3" s="125">
        <f>'[3]sds 30'!R14</f>
        <v>509</v>
      </c>
      <c r="J3" s="128">
        <v>42675</v>
      </c>
      <c r="K3" s="127">
        <v>0.54320000000000002</v>
      </c>
      <c r="L3" s="129">
        <v>337</v>
      </c>
      <c r="M3" s="129"/>
      <c r="N3" s="129">
        <f>Z3</f>
        <v>119.81333333333333</v>
      </c>
      <c r="O3" s="129"/>
      <c r="P3" s="129">
        <f>'colab graphs'!J2</f>
        <v>60.598876615799725</v>
      </c>
      <c r="R3" s="129"/>
      <c r="S3" s="107">
        <v>42675</v>
      </c>
      <c r="U3" s="132">
        <f>'colab graphs'!K2</f>
        <v>10.896264063154025</v>
      </c>
      <c r="W3" s="128">
        <v>42675</v>
      </c>
      <c r="X3" s="129">
        <f>[1]surfactants!T3</f>
        <v>86.666666666666671</v>
      </c>
      <c r="Y3" s="129">
        <f>[1]surfactants!V3</f>
        <v>33.146666666666668</v>
      </c>
      <c r="Z3" s="129">
        <f>[1]surfactants!X3</f>
        <v>119.81333333333333</v>
      </c>
      <c r="AA3" s="127">
        <f>K3</f>
        <v>0.54320000000000002</v>
      </c>
      <c r="AB3" s="132">
        <f>[1]surfactants!Y3</f>
        <v>1.8999999999999997</v>
      </c>
      <c r="AC3" s="129">
        <f>[1]surfactants!Z3</f>
        <v>16.666666666666668</v>
      </c>
      <c r="AD3" s="129">
        <f>[1]surfactants!AA3</f>
        <v>18.566666666666666</v>
      </c>
      <c r="AE3" s="127">
        <f>K4</f>
        <v>0.2727</v>
      </c>
      <c r="AL3" s="125" t="s">
        <v>179</v>
      </c>
    </row>
    <row r="4" spans="1:38" x14ac:dyDescent="0.25">
      <c r="D4" s="127">
        <f>'[3]sds 30'!S17</f>
        <v>0.86540000000000006</v>
      </c>
      <c r="E4" s="125">
        <f>'[3]sds 30'!R17</f>
        <v>509</v>
      </c>
      <c r="K4" s="127">
        <v>0.2727</v>
      </c>
      <c r="L4" s="129"/>
      <c r="M4" s="129">
        <v>217</v>
      </c>
      <c r="N4" s="129"/>
      <c r="O4" s="129">
        <f>AD3</f>
        <v>18.566666666666666</v>
      </c>
      <c r="P4" s="129"/>
      <c r="Q4" s="129">
        <f>'colab graphs'!J11</f>
        <v>80.147550874776584</v>
      </c>
      <c r="R4" s="129"/>
      <c r="S4" s="112">
        <v>42677</v>
      </c>
      <c r="U4" s="132">
        <f>'colab graphs'!K3</f>
        <v>2.6579048642306575</v>
      </c>
      <c r="W4" s="128">
        <v>42677</v>
      </c>
      <c r="X4" s="129">
        <f>[1]surfactants!T4</f>
        <v>110.83333333333333</v>
      </c>
      <c r="Y4" s="129">
        <f>[1]surfactants!V4</f>
        <v>30.933333333333334</v>
      </c>
      <c r="Z4" s="129">
        <f>[1]surfactants!X4</f>
        <v>141.76666666666665</v>
      </c>
      <c r="AA4" s="127">
        <f>K5</f>
        <v>0.2477</v>
      </c>
      <c r="AB4" s="132">
        <f>[1]surfactants!Y4</f>
        <v>2.2166666666666663</v>
      </c>
      <c r="AC4" s="129">
        <f>[1]surfactants!Z4</f>
        <v>22.733333333333334</v>
      </c>
      <c r="AD4" s="129">
        <f>[1]surfactants!AA4</f>
        <v>24.95</v>
      </c>
      <c r="AE4" s="127">
        <f>K6</f>
        <v>0.8619</v>
      </c>
      <c r="AL4" s="125" t="s">
        <v>180</v>
      </c>
    </row>
    <row r="5" spans="1:38" x14ac:dyDescent="0.25">
      <c r="D5" s="127">
        <f>'[3]sds 30'!S23</f>
        <v>0.85906666666666665</v>
      </c>
      <c r="E5" s="125">
        <f>'[3]sds 30'!R23</f>
        <v>509</v>
      </c>
      <c r="J5" s="128">
        <v>42677</v>
      </c>
      <c r="K5" s="127">
        <v>0.2477</v>
      </c>
      <c r="L5" s="129">
        <v>155</v>
      </c>
      <c r="M5" s="129"/>
      <c r="N5" s="129">
        <f>Z4</f>
        <v>141.76666666666665</v>
      </c>
      <c r="O5" s="129"/>
      <c r="P5" s="129">
        <f>'colab graphs'!J3</f>
        <v>65.566902134586925</v>
      </c>
      <c r="Q5" s="129"/>
      <c r="R5" s="129"/>
      <c r="S5" s="112">
        <v>42682</v>
      </c>
      <c r="U5" s="132">
        <f>'colab graphs'!K4</f>
        <v>11.547874857665882</v>
      </c>
      <c r="W5" s="128">
        <v>42682</v>
      </c>
      <c r="X5" s="129">
        <f>[1]surfactants!T5</f>
        <v>65.833333333333329</v>
      </c>
      <c r="Y5" s="129">
        <f>[1]surfactants!V5</f>
        <v>36.946666666666665</v>
      </c>
      <c r="Z5" s="129">
        <f>[1]surfactants!X5</f>
        <v>102.78</v>
      </c>
      <c r="AA5" s="127">
        <f>K7</f>
        <v>0.43227777777777782</v>
      </c>
      <c r="AB5" s="132">
        <f>[1]surfactants!Y5</f>
        <v>1.7</v>
      </c>
      <c r="AC5" s="129">
        <f>[1]surfactants!Z5</f>
        <v>36.946666666666665</v>
      </c>
      <c r="AD5" s="129">
        <f>[1]surfactants!AA5</f>
        <v>38.646666666666668</v>
      </c>
      <c r="AE5" s="127">
        <f>K8</f>
        <v>0.35747777777777778</v>
      </c>
      <c r="AL5" s="125" t="s">
        <v>181</v>
      </c>
    </row>
    <row r="6" spans="1:38" x14ac:dyDescent="0.25">
      <c r="D6" s="127">
        <f>'[3]sds 30'!S25</f>
        <v>0.84129999999999994</v>
      </c>
      <c r="E6" s="125">
        <f>'[3]sds 30'!R25</f>
        <v>509</v>
      </c>
      <c r="K6" s="127">
        <v>0.8619</v>
      </c>
      <c r="L6" s="129"/>
      <c r="M6" s="129">
        <v>380</v>
      </c>
      <c r="N6" s="129"/>
      <c r="O6" s="129">
        <f>AD4</f>
        <v>24.95</v>
      </c>
      <c r="P6" s="129"/>
      <c r="Q6" s="129">
        <f>'colab graphs'!J12</f>
        <v>100</v>
      </c>
      <c r="R6" s="129"/>
      <c r="S6" s="112">
        <v>42684</v>
      </c>
      <c r="U6" s="132">
        <f>'colab graphs'!K5</f>
        <v>0</v>
      </c>
      <c r="V6" s="125" t="s">
        <v>182</v>
      </c>
      <c r="W6" s="130">
        <v>42684</v>
      </c>
      <c r="X6" s="129">
        <f>[1]surfactants!T6</f>
        <v>147.91666666666666</v>
      </c>
      <c r="Y6" s="129">
        <f>[1]surfactants!V6</f>
        <v>31.746666666666666</v>
      </c>
      <c r="Z6" s="129">
        <f>[1]surfactants!X6</f>
        <v>179.66333333333333</v>
      </c>
      <c r="AA6" s="127">
        <f>K9</f>
        <v>0.50912222222222214</v>
      </c>
      <c r="AB6" s="132"/>
      <c r="AL6" s="125" t="s">
        <v>183</v>
      </c>
    </row>
    <row r="7" spans="1:38" x14ac:dyDescent="0.25">
      <c r="D7" s="127">
        <f>'[3]sds 30'!S41</f>
        <v>0.70296666666666663</v>
      </c>
      <c r="E7" s="125">
        <f>'[3]sds 30'!R41</f>
        <v>350</v>
      </c>
      <c r="J7" s="128">
        <v>42682</v>
      </c>
      <c r="K7" s="127">
        <v>0.43227777777777782</v>
      </c>
      <c r="L7" s="129">
        <v>193.68607219043011</v>
      </c>
      <c r="M7" s="129"/>
      <c r="N7" s="129">
        <f>Z5</f>
        <v>102.78</v>
      </c>
      <c r="O7" s="129"/>
      <c r="P7" s="129">
        <f>'colab graphs'!J4</f>
        <v>39.603028073507382</v>
      </c>
      <c r="Q7" s="129"/>
      <c r="R7" s="129"/>
      <c r="S7" s="112">
        <v>42691</v>
      </c>
      <c r="U7" s="132">
        <f>'colab graphs'!K6</f>
        <v>13.135638186830432</v>
      </c>
      <c r="W7" s="116">
        <v>42689</v>
      </c>
      <c r="X7" s="114"/>
      <c r="Y7" s="114"/>
      <c r="Z7" s="129"/>
      <c r="AB7" s="115">
        <f>[1]surfactants!Y7</f>
        <v>1.3999999999999997</v>
      </c>
      <c r="AC7" s="114">
        <f>[1]surfactants!Z7</f>
        <v>24.291666666666668</v>
      </c>
      <c r="AD7" s="129">
        <f>[1]surfactants!AA7</f>
        <v>25.691666666666666</v>
      </c>
      <c r="AE7" s="127">
        <f>K10</f>
        <v>3.832222222222223E-2</v>
      </c>
    </row>
    <row r="8" spans="1:38" x14ac:dyDescent="0.25">
      <c r="D8" s="127">
        <f>'[3]sds 30'!S64</f>
        <v>0.36166666666666664</v>
      </c>
      <c r="E8" s="129">
        <f>'[3]sds 30'!R64</f>
        <v>341.5</v>
      </c>
      <c r="K8" s="127">
        <v>0.35747777777777778</v>
      </c>
      <c r="L8" s="129"/>
      <c r="M8" s="129">
        <v>233.04861030686553</v>
      </c>
      <c r="N8" s="129"/>
      <c r="O8" s="129">
        <f>AD5</f>
        <v>38.646666666666668</v>
      </c>
      <c r="P8" s="129"/>
      <c r="Q8" s="132">
        <f>'colab graphs'!J13</f>
        <v>78.817732593115764</v>
      </c>
      <c r="R8" s="129"/>
      <c r="S8" s="112">
        <f>$S$16</f>
        <v>42698</v>
      </c>
      <c r="U8" s="132">
        <f>'colab graphs'!K7</f>
        <v>7.6353993903132773</v>
      </c>
      <c r="W8" s="116">
        <v>42691</v>
      </c>
      <c r="X8" s="114">
        <f>[1]surfactants!T8</f>
        <v>277.5</v>
      </c>
      <c r="Y8" s="114">
        <f>[1]surfactants!V8</f>
        <v>57.083333333333336</v>
      </c>
      <c r="Z8" s="129">
        <f>[1]surfactants!X8</f>
        <v>334.58333333333331</v>
      </c>
      <c r="AA8" s="127">
        <f>K11</f>
        <v>0.2147222222222222</v>
      </c>
      <c r="AB8" s="115">
        <f>[1]surfactants!Y8</f>
        <v>2.1583333333333337</v>
      </c>
      <c r="AC8" s="114">
        <f>[1]surfactants!Z8</f>
        <v>27.958333333333332</v>
      </c>
      <c r="AD8" s="129">
        <f>[1]surfactants!AA8</f>
        <v>30.116666666666667</v>
      </c>
      <c r="AE8" s="127">
        <f>K12</f>
        <v>0.80488888888888899</v>
      </c>
    </row>
    <row r="9" spans="1:38" x14ac:dyDescent="0.25">
      <c r="D9" s="127">
        <f>'[3]sds 30'!S67</f>
        <v>0.34359999999999996</v>
      </c>
      <c r="E9" s="129">
        <f>'[3]sds 30'!R67</f>
        <v>341.5</v>
      </c>
      <c r="I9" s="125" t="s">
        <v>184</v>
      </c>
      <c r="J9" s="130">
        <v>42684</v>
      </c>
      <c r="K9" s="127">
        <v>0.50912222222222214</v>
      </c>
      <c r="L9" s="131">
        <v>538.47679141523884</v>
      </c>
      <c r="N9" s="129">
        <f>Z6</f>
        <v>179.66333333333333</v>
      </c>
      <c r="P9" s="129">
        <f>'colab graphs'!$J$5</f>
        <v>58.530254464159476</v>
      </c>
      <c r="Q9" s="129"/>
      <c r="S9" s="112">
        <v>42705</v>
      </c>
      <c r="U9" s="132">
        <f>'colab graphs'!K8</f>
        <v>8.36326892029685</v>
      </c>
      <c r="W9" s="128">
        <v>42698</v>
      </c>
      <c r="X9" s="129">
        <f>[1]surfactants!T9</f>
        <v>183.4375</v>
      </c>
      <c r="Y9" s="129">
        <f>[1]surfactants!V9</f>
        <v>6.72</v>
      </c>
      <c r="Z9" s="129">
        <f>[1]surfactants!X9</f>
        <v>190.1575</v>
      </c>
      <c r="AA9" s="127">
        <f>K13</f>
        <v>0.5279666666666667</v>
      </c>
      <c r="AB9" s="132">
        <f>[1]surfactants!Y9</f>
        <v>1.8687500000000001</v>
      </c>
      <c r="AC9" s="132">
        <f>[1]surfactants!Z9</f>
        <v>7.53125</v>
      </c>
      <c r="AD9" s="132">
        <f>[1]surfactants!AA9</f>
        <v>9.4</v>
      </c>
      <c r="AE9" s="127">
        <f>K14</f>
        <v>1.3280111111111113</v>
      </c>
    </row>
    <row r="10" spans="1:38" x14ac:dyDescent="0.25">
      <c r="D10" s="127">
        <f>'[3]sds 30'!S70</f>
        <v>0.37836666666666668</v>
      </c>
      <c r="E10" s="129">
        <f>'[3]sds 30'!R70</f>
        <v>341.5</v>
      </c>
      <c r="J10" s="128">
        <v>42689</v>
      </c>
      <c r="K10" s="127">
        <v>3.832222222222223E-2</v>
      </c>
      <c r="L10" s="127"/>
      <c r="M10" s="134">
        <v>37.791805998480925</v>
      </c>
      <c r="N10" s="134"/>
      <c r="O10" s="134">
        <f>AD7</f>
        <v>25.691666666666666</v>
      </c>
      <c r="P10" s="135"/>
      <c r="Q10" s="134">
        <f>'colab graphs'!J20</f>
        <v>100</v>
      </c>
      <c r="R10" s="129"/>
      <c r="S10" s="112">
        <v>42710</v>
      </c>
      <c r="U10" s="132">
        <f>'colab graphs'!K9</f>
        <v>4.0975492897586756</v>
      </c>
      <c r="W10" s="128">
        <f>[1]surfactants!S10</f>
        <v>42705</v>
      </c>
      <c r="X10" s="129">
        <f>[1]surfactants!T10</f>
        <v>380</v>
      </c>
      <c r="Y10" s="129">
        <f>[1]surfactants!V10</f>
        <v>73.280000000000015</v>
      </c>
      <c r="Z10" s="129">
        <f>[1]surfactants!X10</f>
        <v>453.28000000000003</v>
      </c>
      <c r="AA10" s="127">
        <f>K15</f>
        <v>0.62371111111111111</v>
      </c>
      <c r="AB10" s="132">
        <f>[1]surfactants!Y10</f>
        <v>3.75</v>
      </c>
      <c r="AC10" s="129">
        <f>[1]surfactants!Z10</f>
        <v>29.549999999999997</v>
      </c>
      <c r="AD10" s="129">
        <f>[1]surfactants!AA10</f>
        <v>33.299999999999997</v>
      </c>
      <c r="AE10" s="127">
        <f>K16</f>
        <v>0.34707777777777782</v>
      </c>
    </row>
    <row r="11" spans="1:38" x14ac:dyDescent="0.25">
      <c r="D11" s="127">
        <f>'[3]sds 30'!S74</f>
        <v>0.88096666666666668</v>
      </c>
      <c r="E11" s="125">
        <f>'[3]sds 30'!R74</f>
        <v>556</v>
      </c>
      <c r="J11" s="128">
        <v>42691</v>
      </c>
      <c r="K11" s="127">
        <v>0.2147222222222222</v>
      </c>
      <c r="L11" s="129">
        <v>123.78170564082023</v>
      </c>
      <c r="M11" s="129"/>
      <c r="N11" s="129">
        <f>Z8</f>
        <v>334.58333333333331</v>
      </c>
      <c r="O11" s="129"/>
      <c r="P11" s="129">
        <f>'colab graphs'!J6</f>
        <v>33.22743035392039</v>
      </c>
      <c r="Q11" s="129"/>
      <c r="R11" s="129"/>
      <c r="S11" s="112"/>
      <c r="T11" s="129">
        <f>'colab graphs'!J10</f>
        <v>0</v>
      </c>
      <c r="U11" s="132">
        <f>'colab graphs'!K10</f>
        <v>0</v>
      </c>
      <c r="W11" s="128">
        <f>[1]surfactants!S11</f>
        <v>42710</v>
      </c>
      <c r="X11" s="129">
        <f>[1]surfactants!T11</f>
        <v>186.66666666666666</v>
      </c>
      <c r="Y11" s="129">
        <f>[1]surfactants!V11</f>
        <v>26.560000000000002</v>
      </c>
      <c r="Z11" s="129">
        <f>[1]surfactants!X11</f>
        <v>213.22666666666666</v>
      </c>
      <c r="AA11" s="127">
        <f>K17</f>
        <v>0.16047777777777777</v>
      </c>
      <c r="AB11" s="132">
        <f>[1]surfactants!Y11</f>
        <v>2.1</v>
      </c>
      <c r="AC11" s="129">
        <f>[1]surfactants!Z11</f>
        <v>27.224999999999998</v>
      </c>
      <c r="AD11" s="129">
        <f>[1]surfactants!AA11</f>
        <v>29.324999999999999</v>
      </c>
      <c r="AE11" s="127">
        <f>K18</f>
        <v>0.28561111111111109</v>
      </c>
    </row>
    <row r="12" spans="1:38" x14ac:dyDescent="0.25">
      <c r="D12" s="127">
        <f>'[3]sds 30'!S77</f>
        <v>0.78969999999999996</v>
      </c>
      <c r="E12" s="125">
        <f>'[3]sds 30'!R77</f>
        <v>556</v>
      </c>
      <c r="K12" s="127">
        <v>0.80488888888888899</v>
      </c>
      <c r="L12" s="129"/>
      <c r="M12" s="129">
        <v>371.20823337130167</v>
      </c>
      <c r="N12" s="129"/>
      <c r="O12" s="129">
        <f>AD8</f>
        <v>30.116666666666667</v>
      </c>
      <c r="P12" s="129"/>
      <c r="Q12" s="129">
        <f>'colab graphs'!J14</f>
        <v>100</v>
      </c>
      <c r="R12" s="129"/>
      <c r="S12" s="112">
        <v>42675</v>
      </c>
      <c r="U12" s="132">
        <f>'colab graphs'!K11</f>
        <v>17.317406695946399</v>
      </c>
      <c r="W12" s="128">
        <f>[1]surfactants!S12</f>
        <v>42712</v>
      </c>
      <c r="X12" s="137">
        <f>AVERAGE(X3:X11)</f>
        <v>179.85677083333334</v>
      </c>
      <c r="Y12" s="137">
        <f>AVERAGE(Y3:Y11)</f>
        <v>37.052083333333336</v>
      </c>
      <c r="Z12" s="137">
        <f>AVERAGE(Z3:Z11)</f>
        <v>216.90885416666666</v>
      </c>
      <c r="AA12" s="136"/>
      <c r="AB12" s="156">
        <f>AVERAGE(AB3:AB11)</f>
        <v>2.13671875</v>
      </c>
      <c r="AC12" s="137">
        <f>AVERAGE(AC3:AC11)</f>
        <v>24.11286458333333</v>
      </c>
      <c r="AD12" s="137">
        <f>AVERAGE(AD3:AD11)</f>
        <v>26.249583333333334</v>
      </c>
      <c r="AE12" s="125">
        <f>K19</f>
        <v>0.46035555555555557</v>
      </c>
    </row>
    <row r="13" spans="1:38" x14ac:dyDescent="0.25">
      <c r="D13" s="127">
        <f>'[3]sds 30'!S85</f>
        <v>1.0900999999999998</v>
      </c>
      <c r="E13" s="129">
        <f>'[3]sds 30'!R85</f>
        <v>510.25</v>
      </c>
      <c r="H13" s="125" t="s">
        <v>185</v>
      </c>
      <c r="J13" s="128">
        <v>42698</v>
      </c>
      <c r="K13" s="127">
        <f>AVERAGE(0.5242,0.5146,0.5079,0.5299,0.5279,0.5247,0.5491,0.5388,0.5346)</f>
        <v>0.5279666666666667</v>
      </c>
      <c r="L13" s="129">
        <f>'[1]GERBER SPE'!Y61</f>
        <v>453.87826274511417</v>
      </c>
      <c r="N13" s="129">
        <f>Z9</f>
        <v>190.1575</v>
      </c>
      <c r="O13" s="132"/>
      <c r="P13" s="129">
        <f>'colab graphs'!J7</f>
        <v>23.306502283206637</v>
      </c>
      <c r="Q13" s="129"/>
      <c r="R13" s="132"/>
      <c r="S13" s="112">
        <v>42677</v>
      </c>
      <c r="U13" s="132">
        <f>'colab graphs'!K12</f>
        <v>1.0048591735576161E-14</v>
      </c>
      <c r="X13" s="137">
        <f>_xlfn.STDEV.S(X3:X12)</f>
        <v>98.184045087774692</v>
      </c>
      <c r="Y13" s="137">
        <f>_xlfn.STDEV.S(Y3:Y12)</f>
        <v>18.790562638485145</v>
      </c>
      <c r="Z13" s="137">
        <f>_xlfn.STDEV.S(Z3:Z12)</f>
        <v>111.76666976785205</v>
      </c>
      <c r="AA13" s="136"/>
      <c r="AB13" s="156">
        <f>_xlfn.STDEV.S(AB3:AB12)</f>
        <v>0.65880614737724519</v>
      </c>
      <c r="AC13" s="137">
        <f>_xlfn.STDEV.S(AC3:AC12)</f>
        <v>8.2996446947396088</v>
      </c>
      <c r="AD13" s="137">
        <f>_xlfn.STDEV.S(AD3:AD12)</f>
        <v>8.4612678304501827</v>
      </c>
    </row>
    <row r="14" spans="1:38" x14ac:dyDescent="0.25">
      <c r="D14" s="127">
        <f>'[3]sds 30'!S89</f>
        <v>1.0124333333333333</v>
      </c>
      <c r="E14" s="129">
        <f>'[3]sds 30'!R89</f>
        <v>510.25</v>
      </c>
      <c r="K14" s="127">
        <f>AVERAGE(1.3463,1.3369,1.3338,1.3063,1.3285,1.3239,1.3217,1.33,1.3247)</f>
        <v>1.3280111111111113</v>
      </c>
      <c r="L14" s="129"/>
      <c r="M14" s="129">
        <f>'[1]GERBER SPE'!Y69</f>
        <v>432.45618031081762</v>
      </c>
      <c r="N14" s="129"/>
      <c r="O14" s="129">
        <f>AD9</f>
        <v>9.4</v>
      </c>
      <c r="P14" s="129"/>
      <c r="Q14" s="129">
        <f>'colab graphs'!J15</f>
        <v>91.29609294012441</v>
      </c>
      <c r="R14" s="129"/>
      <c r="S14" s="112">
        <v>42682</v>
      </c>
      <c r="U14" s="132">
        <f>'colab graphs'!K13</f>
        <v>18.741901730816807</v>
      </c>
      <c r="W14" s="125">
        <v>1000</v>
      </c>
      <c r="X14" s="125">
        <v>0</v>
      </c>
    </row>
    <row r="15" spans="1:38" x14ac:dyDescent="0.25">
      <c r="D15" s="127"/>
      <c r="E15" s="129"/>
      <c r="J15" s="128">
        <v>42705</v>
      </c>
      <c r="K15" s="127">
        <f>AVERAGE(0.6402,0.6192,0.6091,0.6304,0.6286,0.6268,0.6208,0.6175,0.6208)</f>
        <v>0.62371111111111111</v>
      </c>
      <c r="L15" s="129">
        <f>'[1]GERBER SPE'!AS15</f>
        <v>439.62678936318827</v>
      </c>
      <c r="N15" s="129">
        <f>Z10</f>
        <v>453.28000000000003</v>
      </c>
      <c r="O15" s="129"/>
      <c r="P15" s="129">
        <f>'colab graphs'!J8</f>
        <v>34.962345609369649</v>
      </c>
      <c r="Q15" s="129"/>
      <c r="R15" s="129"/>
      <c r="S15" s="112">
        <v>42691</v>
      </c>
      <c r="U15" s="132">
        <f>'colab graphs'!K14</f>
        <v>0</v>
      </c>
      <c r="W15" s="125">
        <v>1000</v>
      </c>
      <c r="X15" s="125">
        <v>2</v>
      </c>
    </row>
    <row r="16" spans="1:38" x14ac:dyDescent="0.25">
      <c r="C16" s="125">
        <v>200</v>
      </c>
      <c r="D16" s="127">
        <f>'[3]sds 200'!Q20</f>
        <v>0.33103333333333329</v>
      </c>
      <c r="E16" s="129">
        <f>'[3]sds 200'!P20</f>
        <v>461.5</v>
      </c>
      <c r="K16" s="127">
        <f>AVERAGE(0.347,0.3462,0.3505,0.347,0.3481,0.3479,0.3468,0.3452,0.345)</f>
        <v>0.34707777777777782</v>
      </c>
      <c r="M16" s="129">
        <f>'[1]GERBER SPE'!AT16</f>
        <v>221.82882710793339</v>
      </c>
      <c r="N16" s="129"/>
      <c r="O16" s="129">
        <f>AD10</f>
        <v>33.299999999999997</v>
      </c>
      <c r="P16" s="129"/>
      <c r="Q16" s="129">
        <f>'colab graphs'!J16</f>
        <v>100</v>
      </c>
      <c r="R16" s="129"/>
      <c r="S16" s="112">
        <v>42698</v>
      </c>
      <c r="U16" s="132">
        <f>'colab graphs'!K15</f>
        <v>5.9725576249798022</v>
      </c>
    </row>
    <row r="17" spans="3:21" x14ac:dyDescent="0.25">
      <c r="D17" s="127">
        <f>'[3]sds 200'!Q45</f>
        <v>0.1855</v>
      </c>
      <c r="E17" s="129">
        <f>'[3]sds 200'!P45</f>
        <v>367.5</v>
      </c>
      <c r="J17" s="128">
        <v>42710</v>
      </c>
      <c r="K17" s="125">
        <f>AVERAGE(0.143,0.1449,0.1455,0.1651,0.1667,0.1692,0.1704,0.1704,0.1691)</f>
        <v>0.16047777777777777</v>
      </c>
      <c r="L17" s="129">
        <f>'[1]GERBER SPE'!Y90</f>
        <v>232.7874503450027</v>
      </c>
      <c r="M17" s="129"/>
      <c r="N17" s="129">
        <f>Z11</f>
        <v>213.22666666666666</v>
      </c>
      <c r="O17" s="129"/>
      <c r="P17" s="129">
        <f>'colab graphs'!J9</f>
        <v>25.597338884616597</v>
      </c>
      <c r="Q17" s="129"/>
      <c r="R17" s="129"/>
      <c r="S17" s="112">
        <v>42705</v>
      </c>
      <c r="U17" s="132">
        <f>'colab graphs'!K16</f>
        <v>0</v>
      </c>
    </row>
    <row r="18" spans="3:21" x14ac:dyDescent="0.25">
      <c r="D18" s="127">
        <f>'[3]sds 200'!Q55</f>
        <v>0.11133333333333333</v>
      </c>
      <c r="E18" s="129">
        <f>'[3]sds 200'!P55</f>
        <v>197</v>
      </c>
      <c r="K18" s="125">
        <f>AVERAGE(0.2885,0.2839,0.2835,0.286,0.2797,0.2822,0.2868,0.2893,0.2906)</f>
        <v>0.28561111111111109</v>
      </c>
      <c r="L18" s="129"/>
      <c r="M18" s="129">
        <f>'[1]GERBER SPE'!Y96</f>
        <v>198.69345205122252</v>
      </c>
      <c r="N18" s="129"/>
      <c r="O18" s="129">
        <f>AD11</f>
        <v>29.324999999999999</v>
      </c>
      <c r="P18" s="129"/>
      <c r="Q18" s="129">
        <f>'colab graphs'!J17</f>
        <v>100</v>
      </c>
      <c r="R18" s="129"/>
      <c r="S18" s="112">
        <v>42710</v>
      </c>
      <c r="U18" s="132">
        <f>'colab graphs'!K17</f>
        <v>0</v>
      </c>
    </row>
    <row r="19" spans="3:21" x14ac:dyDescent="0.25">
      <c r="D19" s="127">
        <f>'[3]sds 200'!Q58</f>
        <v>9.2399999999999996E-2</v>
      </c>
      <c r="E19" s="129">
        <f>'[3]sds 200'!P58</f>
        <v>197</v>
      </c>
      <c r="J19" s="128">
        <v>42712</v>
      </c>
      <c r="K19" s="125">
        <f>AVERAGE(0.478,0.4573,0.4579,0.457,0.4583,0.457,0.4601,0.4586,0.459)</f>
        <v>0.46035555555555557</v>
      </c>
      <c r="L19" s="129"/>
      <c r="M19" s="129">
        <f>'[1]GERBER SPE'!$Y$102</f>
        <v>271.56945736134321</v>
      </c>
      <c r="N19" s="129"/>
      <c r="O19" s="129"/>
      <c r="P19" s="129"/>
      <c r="Q19" s="129">
        <f>'colab graphs'!J18</f>
        <v>100</v>
      </c>
      <c r="R19" s="129"/>
      <c r="S19" s="112">
        <v>42712</v>
      </c>
      <c r="U19" s="132">
        <f>'colab graphs'!K18</f>
        <v>0</v>
      </c>
    </row>
    <row r="20" spans="3:21" x14ac:dyDescent="0.25">
      <c r="D20" s="127">
        <f>'[3]sds 200'!Q61</f>
        <v>8.9633333333333343E-2</v>
      </c>
      <c r="E20" s="129">
        <f>'[3]sds 200'!P61</f>
        <v>197</v>
      </c>
      <c r="J20" s="136" t="s">
        <v>187</v>
      </c>
      <c r="K20" s="136"/>
      <c r="L20" s="137"/>
      <c r="M20" s="137"/>
      <c r="N20" s="138">
        <f>CORREL(N3:N17,P3:P17)</f>
        <v>-0.43687803484564497</v>
      </c>
      <c r="O20" s="138">
        <f>CORREL(O4:O18,Q4:Q18)</f>
        <v>6.1927191477355328E-2</v>
      </c>
      <c r="P20" s="137"/>
      <c r="Q20" s="137"/>
      <c r="R20" s="129"/>
      <c r="S20" s="129"/>
      <c r="T20" s="129"/>
      <c r="U20" s="132"/>
    </row>
    <row r="21" spans="3:21" x14ac:dyDescent="0.25">
      <c r="D21" s="127">
        <f>'[3]sds 200'!Q64</f>
        <v>8.4633333333333338E-2</v>
      </c>
      <c r="E21" s="129">
        <f>'[3]sds 200'!P64</f>
        <v>197</v>
      </c>
      <c r="N21" s="139"/>
      <c r="P21" s="129"/>
      <c r="Q21" s="129"/>
      <c r="S21" s="124">
        <v>42689</v>
      </c>
      <c r="U21" s="132">
        <f>'colab graphs'!K20</f>
        <v>0</v>
      </c>
    </row>
    <row r="22" spans="3:21" x14ac:dyDescent="0.25">
      <c r="D22" s="127">
        <f>'[3]sds 200'!Q67</f>
        <v>8.48E-2</v>
      </c>
      <c r="E22" s="129">
        <f>'[3]sds 200'!P67</f>
        <v>197</v>
      </c>
      <c r="J22" s="125" t="s">
        <v>186</v>
      </c>
      <c r="K22" s="125">
        <v>1.407</v>
      </c>
      <c r="L22" s="125">
        <v>1490.1</v>
      </c>
    </row>
    <row r="23" spans="3:21" x14ac:dyDescent="0.25">
      <c r="D23" s="127"/>
      <c r="E23" s="129"/>
      <c r="K23" s="125">
        <v>1.4790000000000001</v>
      </c>
      <c r="L23" s="125">
        <v>1556.2</v>
      </c>
    </row>
    <row r="24" spans="3:21" x14ac:dyDescent="0.25">
      <c r="C24" s="125">
        <v>100</v>
      </c>
      <c r="D24" s="127">
        <f>[3]ratios!Q2</f>
        <v>0.16756666666666667</v>
      </c>
      <c r="E24" s="129">
        <f>[3]ratios!P2</f>
        <v>242</v>
      </c>
    </row>
    <row r="25" spans="3:21" x14ac:dyDescent="0.25">
      <c r="D25" s="127">
        <f>[3]ratios!Q5</f>
        <v>0.16453333333333334</v>
      </c>
      <c r="E25" s="129">
        <f>[3]ratios!P5</f>
        <v>242</v>
      </c>
    </row>
    <row r="26" spans="3:21" x14ac:dyDescent="0.25">
      <c r="D26" s="127">
        <f>[3]ratios!Q8</f>
        <v>0.15966666666666665</v>
      </c>
      <c r="E26" s="129">
        <f>[3]ratios!P8</f>
        <v>242</v>
      </c>
    </row>
    <row r="27" spans="3:21" x14ac:dyDescent="0.25">
      <c r="D27" s="127">
        <f>[3]ratios!Q51</f>
        <v>6.6833333333333342E-2</v>
      </c>
      <c r="E27" s="129">
        <f>[3]ratios!P51</f>
        <v>125</v>
      </c>
    </row>
    <row r="28" spans="3:21" x14ac:dyDescent="0.25">
      <c r="D28" s="127"/>
    </row>
    <row r="29" spans="3:21" x14ac:dyDescent="0.25">
      <c r="D29" s="127"/>
    </row>
    <row r="30" spans="3:21" x14ac:dyDescent="0.25">
      <c r="D30" s="127"/>
    </row>
    <row r="31" spans="3:21" x14ac:dyDescent="0.25">
      <c r="D31" s="127"/>
    </row>
    <row r="32" spans="3:21" x14ac:dyDescent="0.25">
      <c r="D32" s="127"/>
    </row>
    <row r="33" spans="4:4" x14ac:dyDescent="0.25">
      <c r="D33" s="127"/>
    </row>
    <row r="34" spans="4:4" x14ac:dyDescent="0.25">
      <c r="D34" s="127"/>
    </row>
    <row r="35" spans="4:4" x14ac:dyDescent="0.25">
      <c r="D35" s="127"/>
    </row>
    <row r="36" spans="4:4" x14ac:dyDescent="0.25">
      <c r="D36" s="127"/>
    </row>
    <row r="37" spans="4:4" x14ac:dyDescent="0.25">
      <c r="D37" s="127"/>
    </row>
    <row r="38" spans="4:4" x14ac:dyDescent="0.25">
      <c r="D38" s="127"/>
    </row>
    <row r="39" spans="4:4" x14ac:dyDescent="0.25">
      <c r="D39" s="127"/>
    </row>
    <row r="40" spans="4:4" x14ac:dyDescent="0.25">
      <c r="D40" s="127"/>
    </row>
    <row r="41" spans="4:4" x14ac:dyDescent="0.25">
      <c r="D41" s="127"/>
    </row>
    <row r="42" spans="4:4" x14ac:dyDescent="0.25">
      <c r="D42" s="127"/>
    </row>
    <row r="43" spans="4:4" x14ac:dyDescent="0.25">
      <c r="D43" s="127"/>
    </row>
    <row r="44" spans="4:4" x14ac:dyDescent="0.25">
      <c r="D44" s="127"/>
    </row>
    <row r="45" spans="4:4" x14ac:dyDescent="0.25">
      <c r="D45" s="127"/>
    </row>
    <row r="46" spans="4:4" x14ac:dyDescent="0.25">
      <c r="D46" s="127"/>
    </row>
    <row r="47" spans="4:4" x14ac:dyDescent="0.25">
      <c r="D47" s="127"/>
    </row>
    <row r="48" spans="4:4" x14ac:dyDescent="0.25">
      <c r="D48" s="127"/>
    </row>
    <row r="49" spans="4:4" x14ac:dyDescent="0.25">
      <c r="D49" s="127"/>
    </row>
    <row r="50" spans="4:4" x14ac:dyDescent="0.25">
      <c r="D50" s="127"/>
    </row>
    <row r="51" spans="4:4" x14ac:dyDescent="0.25">
      <c r="D51" s="127"/>
    </row>
    <row r="52" spans="4:4" x14ac:dyDescent="0.25">
      <c r="D52" s="127"/>
    </row>
    <row r="53" spans="4:4" x14ac:dyDescent="0.25">
      <c r="D53" s="127"/>
    </row>
    <row r="54" spans="4:4" x14ac:dyDescent="0.25">
      <c r="D54" s="127"/>
    </row>
    <row r="55" spans="4:4" x14ac:dyDescent="0.25">
      <c r="D55" s="127"/>
    </row>
  </sheetData>
  <mergeCells count="3">
    <mergeCell ref="X1:Z1"/>
    <mergeCell ref="AB1:AE1"/>
    <mergeCell ref="N1:O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zoomScale="73" zoomScaleNormal="73" workbookViewId="0">
      <selection activeCell="R14" sqref="R14"/>
    </sheetView>
  </sheetViews>
  <sheetFormatPr defaultRowHeight="14.25" x14ac:dyDescent="0.2"/>
  <cols>
    <col min="1" max="4" width="9.140625" style="105"/>
    <col min="5" max="5" width="13.85546875" style="105" customWidth="1"/>
    <col min="6" max="6" width="12.85546875" style="105" customWidth="1"/>
    <col min="7" max="15" width="9.140625" style="105"/>
    <col min="16" max="18" width="8" style="105" customWidth="1"/>
    <col min="19" max="19" width="13.28515625" style="105" customWidth="1"/>
    <col min="20" max="20" width="11.28515625" style="105" customWidth="1"/>
    <col min="21" max="21" width="13.85546875" style="105" bestFit="1" customWidth="1"/>
    <col min="22" max="16384" width="9.140625" style="105"/>
  </cols>
  <sheetData>
    <row r="1" spans="1:33" ht="71.25" x14ac:dyDescent="0.2">
      <c r="D1" s="105" t="s">
        <v>73</v>
      </c>
      <c r="G1" s="105" t="s">
        <v>207</v>
      </c>
      <c r="I1" s="105" t="s">
        <v>205</v>
      </c>
      <c r="J1" s="105" t="s">
        <v>204</v>
      </c>
      <c r="K1" s="145" t="s">
        <v>203</v>
      </c>
      <c r="L1" s="105" t="s">
        <v>84</v>
      </c>
      <c r="M1" s="105" t="s">
        <v>91</v>
      </c>
      <c r="N1" s="105" t="s">
        <v>82</v>
      </c>
      <c r="O1" s="157" t="s">
        <v>222</v>
      </c>
      <c r="P1" s="145" t="s">
        <v>216</v>
      </c>
      <c r="Q1" s="157" t="s">
        <v>228</v>
      </c>
      <c r="R1" s="157" t="s">
        <v>229</v>
      </c>
      <c r="V1" s="105" t="s">
        <v>206</v>
      </c>
      <c r="X1" s="105" t="s">
        <v>205</v>
      </c>
      <c r="Y1" s="105" t="s">
        <v>204</v>
      </c>
      <c r="Z1" s="145" t="s">
        <v>203</v>
      </c>
      <c r="AA1" s="105" t="s">
        <v>84</v>
      </c>
      <c r="AB1" s="105" t="s">
        <v>91</v>
      </c>
      <c r="AC1" s="105" t="s">
        <v>82</v>
      </c>
      <c r="AD1" s="157" t="s">
        <v>222</v>
      </c>
      <c r="AE1" s="145" t="s">
        <v>216</v>
      </c>
      <c r="AF1" s="157" t="s">
        <v>228</v>
      </c>
      <c r="AG1" s="157" t="s">
        <v>229</v>
      </c>
    </row>
    <row r="2" spans="1:33" ht="15" x14ac:dyDescent="0.25">
      <c r="A2" s="149" t="s">
        <v>214</v>
      </c>
      <c r="D2" s="105">
        <v>1</v>
      </c>
      <c r="E2" s="116">
        <v>42675</v>
      </c>
      <c r="F2" s="142" t="s">
        <v>198</v>
      </c>
      <c r="G2" s="114">
        <v>2810.5555555555557</v>
      </c>
      <c r="H2" s="114">
        <v>1116.4705466251589</v>
      </c>
      <c r="I2" s="105">
        <v>6.6334962168134663E-4</v>
      </c>
      <c r="J2" s="105">
        <v>4.09040418364928E-5</v>
      </c>
      <c r="K2" s="114">
        <f>[4]FOG!G2</f>
        <v>336.83224626043102</v>
      </c>
      <c r="L2" s="114">
        <f>[4]FOG!H2</f>
        <v>55.782909255421906</v>
      </c>
      <c r="M2" s="114">
        <f>[4]FOG!E2</f>
        <v>557.91417714146644</v>
      </c>
      <c r="N2" s="114">
        <f>[4]FOG!F2</f>
        <v>38.472166799171383</v>
      </c>
      <c r="O2" s="114">
        <f>K2*2.9</f>
        <v>976.81351415524989</v>
      </c>
      <c r="P2" s="146">
        <f t="shared" ref="P2:P9" si="0">100*K2*2.9/G2</f>
        <v>34.755175439404027</v>
      </c>
      <c r="Q2" s="160">
        <f>100*45/COD!G2</f>
        <v>1.6011069381300651</v>
      </c>
      <c r="R2" s="161">
        <f>100*12.3/COD!G2</f>
        <v>0.43763589642221784</v>
      </c>
      <c r="S2" s="116">
        <v>42675</v>
      </c>
      <c r="T2" s="116"/>
      <c r="U2" s="141" t="s">
        <v>198</v>
      </c>
      <c r="V2" s="114">
        <v>1714.4444444444443</v>
      </c>
      <c r="W2" s="114">
        <v>62.723673834201229</v>
      </c>
      <c r="X2" s="105">
        <v>1.0782678640948944E-4</v>
      </c>
      <c r="Y2" s="105">
        <v>8.8550703836632725E-6</v>
      </c>
      <c r="Z2" s="114">
        <f>[4]FOG!G11</f>
        <v>216.98456968945399</v>
      </c>
      <c r="AA2" s="114">
        <f>[4]FOG!H11</f>
        <v>9.0433068901926887</v>
      </c>
      <c r="AB2" s="114">
        <f>[4]FOG!E11</f>
        <v>278.38500385219334</v>
      </c>
      <c r="AC2" s="114">
        <f>[4]FOG!F11</f>
        <v>55.294453796282554</v>
      </c>
      <c r="AD2" s="114">
        <f>Z2*2.9</f>
        <v>629.25525209941657</v>
      </c>
      <c r="AE2" s="146">
        <f>100*Z2*2.9/V2</f>
        <v>36.703157931916721</v>
      </c>
      <c r="AF2" s="160">
        <f>100*45/COD!V2</f>
        <v>2.6247569669475048</v>
      </c>
      <c r="AG2" s="161">
        <f>100*12.3/COD!V2</f>
        <v>0.71743357096565141</v>
      </c>
    </row>
    <row r="3" spans="1:33" x14ac:dyDescent="0.2">
      <c r="A3" s="150" t="s">
        <v>215</v>
      </c>
      <c r="D3" s="105">
        <v>2</v>
      </c>
      <c r="E3" s="116">
        <v>42677</v>
      </c>
      <c r="F3" s="142" t="s">
        <v>195</v>
      </c>
      <c r="G3" s="114">
        <v>2394.4444444444443</v>
      </c>
      <c r="H3" s="114">
        <v>153.71630916628092</v>
      </c>
      <c r="I3" s="105">
        <v>1.3724973380289667E-3</v>
      </c>
      <c r="J3" s="105">
        <v>7.1087852634788896E-5</v>
      </c>
      <c r="K3" s="114">
        <f>[4]FOG!G3</f>
        <v>154.94496338916895</v>
      </c>
      <c r="L3" s="114">
        <f>[4]FOG!H3</f>
        <v>9.556726673229754</v>
      </c>
      <c r="M3" s="114">
        <f>[4]FOG!E3</f>
        <v>237.4844562926578</v>
      </c>
      <c r="N3" s="114">
        <f>[4]FOG!F3</f>
        <v>18.431704099500507</v>
      </c>
      <c r="O3" s="114">
        <f t="shared" ref="O3:O9" si="1">K3*2.9</f>
        <v>449.34039382858992</v>
      </c>
      <c r="P3" s="146">
        <f t="shared" si="0"/>
        <v>18.76595612277174</v>
      </c>
      <c r="Q3" s="160">
        <f>100*45/COD!G3</f>
        <v>1.8793503480278424</v>
      </c>
      <c r="R3" s="161">
        <f>100*12.3/COD!G3</f>
        <v>0.51368909512761018</v>
      </c>
      <c r="S3" s="116">
        <v>42677</v>
      </c>
      <c r="T3" s="116" t="s">
        <v>202</v>
      </c>
      <c r="U3" s="141" t="s">
        <v>195</v>
      </c>
      <c r="V3" s="114">
        <v>2095</v>
      </c>
      <c r="W3" s="114">
        <v>466.28853728137045</v>
      </c>
      <c r="X3" s="105">
        <v>8.6562171622806572E-5</v>
      </c>
      <c r="Y3" s="105">
        <v>5.0453730428542448E-6</v>
      </c>
      <c r="Z3" s="114">
        <f>[4]FOG!G12</f>
        <v>379.97279565601769</v>
      </c>
      <c r="AA3" s="114">
        <f>[4]FOG!H12</f>
        <v>21.96495447621518</v>
      </c>
      <c r="AB3" s="114">
        <f>[4]FOG!E12</f>
        <v>379.97279565601769</v>
      </c>
      <c r="AC3" s="114">
        <f>[4]FOG!F12</f>
        <v>21.96495447621518</v>
      </c>
      <c r="AD3" s="114">
        <f t="shared" ref="AD3:AD9" si="2">Z3*2.9</f>
        <v>1101.9211074024513</v>
      </c>
      <c r="AE3" s="146">
        <f t="shared" ref="AE3:AE4" si="3">100*Z3*2.9/V3</f>
        <v>52.597666224460681</v>
      </c>
      <c r="AF3" s="160">
        <f>100*45/COD!V3</f>
        <v>2.1479713603818618</v>
      </c>
      <c r="AG3" s="161">
        <f>100*12.3/COD!V3</f>
        <v>0.58711217183770881</v>
      </c>
    </row>
    <row r="4" spans="1:33" x14ac:dyDescent="0.2">
      <c r="D4" s="105">
        <v>3</v>
      </c>
      <c r="E4" s="116">
        <v>42682</v>
      </c>
      <c r="F4" s="142" t="s">
        <v>197</v>
      </c>
      <c r="G4" s="114">
        <v>2467.2222222222222</v>
      </c>
      <c r="H4" s="114">
        <v>365.89818458347565</v>
      </c>
      <c r="I4" s="105">
        <v>1.0510358209467382E-3</v>
      </c>
      <c r="J4" s="105">
        <v>6.1550206503242761E-5</v>
      </c>
      <c r="K4" s="114">
        <f>[4]FOG!G4</f>
        <v>193.68607219043011</v>
      </c>
      <c r="L4" s="114">
        <f>[4]FOG!H4</f>
        <v>39.110395214533732</v>
      </c>
      <c r="M4" s="114">
        <f>[4]FOG!E4</f>
        <v>545.42641667542932</v>
      </c>
      <c r="N4" s="114">
        <f>[4]FOG!F4</f>
        <v>293.86329161397157</v>
      </c>
      <c r="O4" s="114">
        <f t="shared" si="1"/>
        <v>561.68960935224732</v>
      </c>
      <c r="P4" s="146">
        <f t="shared" si="0"/>
        <v>22.766072885252086</v>
      </c>
      <c r="Q4" s="160">
        <f>100*45/COD!G4</f>
        <v>1.8239135329880658</v>
      </c>
      <c r="R4" s="161">
        <f>100*12.3/COD!G4</f>
        <v>0.49853636568340465</v>
      </c>
      <c r="S4" s="116">
        <v>42682</v>
      </c>
      <c r="T4" s="116"/>
      <c r="U4" s="141" t="s">
        <v>197</v>
      </c>
      <c r="V4" s="114">
        <v>1591.1111111111111</v>
      </c>
      <c r="W4" s="114">
        <v>102.28409962959554</v>
      </c>
      <c r="X4" s="105">
        <v>6.4534922011672607E-5</v>
      </c>
      <c r="Y4" s="105">
        <v>1.2960011508468572E-5</v>
      </c>
      <c r="Z4" s="114">
        <f>[4]FOG!G13</f>
        <v>233.04861030686553</v>
      </c>
      <c r="AA4" s="114">
        <f>[4]FOG!H13</f>
        <v>1.3893155937300372</v>
      </c>
      <c r="AB4" s="114">
        <f>[4]FOG!E13</f>
        <v>306.10893079555711</v>
      </c>
      <c r="AC4" s="114">
        <f>[4]FOG!F13</f>
        <v>66.252383856409566</v>
      </c>
      <c r="AD4" s="114">
        <f t="shared" si="2"/>
        <v>675.84096988990996</v>
      </c>
      <c r="AE4" s="146">
        <f t="shared" si="3"/>
        <v>42.476038610399378</v>
      </c>
      <c r="AF4" s="160">
        <f>100*45/COD!V4</f>
        <v>2.8282122905027935</v>
      </c>
      <c r="AG4" s="161">
        <f>100*12.3/COD!V4</f>
        <v>0.77304469273743015</v>
      </c>
    </row>
    <row r="5" spans="1:33" x14ac:dyDescent="0.2">
      <c r="C5" s="105" t="s">
        <v>200</v>
      </c>
      <c r="D5" s="105">
        <v>4</v>
      </c>
      <c r="E5" s="116">
        <v>42684</v>
      </c>
      <c r="F5" s="142" t="s">
        <v>201</v>
      </c>
      <c r="G5" s="114">
        <v>3606.1111111111113</v>
      </c>
      <c r="H5" s="114">
        <v>59.659527816261267</v>
      </c>
      <c r="I5" s="105">
        <v>1.2479001434902615E-3</v>
      </c>
      <c r="J5" s="105">
        <v>8.3644687538076155E-5</v>
      </c>
      <c r="K5" s="144">
        <f>[4]FOG!G5</f>
        <v>538.47679141523884</v>
      </c>
      <c r="L5" s="144">
        <f>[4]FOG!H5</f>
        <v>118.4906471989828</v>
      </c>
      <c r="M5" s="144">
        <f>[4]FOG!E5</f>
        <v>1000.711447285315</v>
      </c>
      <c r="N5" s="144">
        <f>[4]FOG!F5</f>
        <v>493.26798313883819</v>
      </c>
      <c r="O5" s="114">
        <f t="shared" si="1"/>
        <v>1561.5826951041927</v>
      </c>
      <c r="P5" s="146">
        <f t="shared" si="0"/>
        <v>43.303787570290346</v>
      </c>
      <c r="Q5" s="160">
        <f>100*45/COD!G5</f>
        <v>1.247881682329379</v>
      </c>
      <c r="R5" s="161">
        <f>100*12.3/COD!G5</f>
        <v>0.34108765983669692</v>
      </c>
      <c r="S5" s="116">
        <v>42691</v>
      </c>
      <c r="T5" s="116"/>
      <c r="U5" s="141" t="s">
        <v>201</v>
      </c>
      <c r="V5" s="114">
        <v>1915</v>
      </c>
      <c r="W5" s="114">
        <v>130.42665031009236</v>
      </c>
      <c r="X5" s="105">
        <v>2.5082092408339283E-4</v>
      </c>
      <c r="Y5" s="105">
        <v>2.5754850520651188E-6</v>
      </c>
      <c r="Z5" s="114">
        <f>[4]FOG!G14</f>
        <v>371.20823337130167</v>
      </c>
      <c r="AA5" s="114">
        <f>[4]FOG!H14</f>
        <v>15.698862996956752</v>
      </c>
      <c r="AB5" s="114">
        <f>[4]FOG!E14</f>
        <v>371.20823337130167</v>
      </c>
      <c r="AC5" s="114">
        <f>[4]FOG!F14</f>
        <v>15.698862996956752</v>
      </c>
      <c r="AD5" s="114">
        <f t="shared" si="2"/>
        <v>1076.5038767767749</v>
      </c>
      <c r="AE5" s="146">
        <f>100*Z5*2.9/V5</f>
        <v>56.21430165936161</v>
      </c>
      <c r="AF5" s="160">
        <f>100*45/COD!V5</f>
        <v>2.3498694516971281</v>
      </c>
      <c r="AG5" s="161">
        <f>100*12.3/COD!V5</f>
        <v>0.64229765013054829</v>
      </c>
    </row>
    <row r="6" spans="1:33" x14ac:dyDescent="0.2">
      <c r="D6" s="105">
        <v>5</v>
      </c>
      <c r="E6" s="116">
        <v>42691</v>
      </c>
      <c r="F6" s="142" t="s">
        <v>194</v>
      </c>
      <c r="G6" s="114">
        <v>1519.4444444444443</v>
      </c>
      <c r="H6" s="114">
        <v>54.882028361176914</v>
      </c>
      <c r="I6" s="105">
        <v>4.4998861164893703E-4</v>
      </c>
      <c r="J6" s="105">
        <v>8.9350715938173454E-5</v>
      </c>
      <c r="K6" s="114">
        <f>[4]FOG!G6</f>
        <v>123.78170564082023</v>
      </c>
      <c r="L6" s="114">
        <f>[4]FOG!H6</f>
        <v>39.017161155297288</v>
      </c>
      <c r="M6" s="114">
        <f>[4]FOG!E6</f>
        <v>398.9560602569004</v>
      </c>
      <c r="N6" s="114">
        <f>[4]FOG!F6</f>
        <v>145.62040726124098</v>
      </c>
      <c r="O6" s="114">
        <f t="shared" si="1"/>
        <v>358.96694635837866</v>
      </c>
      <c r="P6" s="146">
        <f t="shared" si="0"/>
        <v>23.624881295981048</v>
      </c>
      <c r="Q6" s="160">
        <f>100*45/COD!G6</f>
        <v>2.9616087751371118</v>
      </c>
      <c r="R6" s="161">
        <f>100*12.3/COD!G6</f>
        <v>0.80950639853747719</v>
      </c>
      <c r="S6" s="116">
        <v>42698</v>
      </c>
      <c r="T6" s="116" t="s">
        <v>199</v>
      </c>
      <c r="U6" s="141" t="s">
        <v>194</v>
      </c>
      <c r="V6" s="114">
        <v>1747.7777777777778</v>
      </c>
      <c r="W6" s="114">
        <v>83.205457442094229</v>
      </c>
      <c r="X6" s="105">
        <v>1.6576080969248283E-4</v>
      </c>
      <c r="Y6" s="105">
        <v>4.1726516158133416E-6</v>
      </c>
      <c r="Z6" s="114">
        <f>[4]FOG!G15</f>
        <v>432.45618031081762</v>
      </c>
      <c r="AA6" s="114">
        <f>[4]FOG!H15</f>
        <v>35.733313492503882</v>
      </c>
      <c r="AB6" s="114">
        <f>[4]FOG!E15</f>
        <v>476.64278373855507</v>
      </c>
      <c r="AC6" s="114">
        <f>[4]FOG!F15</f>
        <v>64.191725115567976</v>
      </c>
      <c r="AD6" s="114">
        <f t="shared" si="2"/>
        <v>1254.1229229013711</v>
      </c>
      <c r="AE6" s="146">
        <f>100*Z6*2.9/V6</f>
        <v>71.755284844960826</v>
      </c>
      <c r="AF6" s="160">
        <f>100*45/COD!V6</f>
        <v>2.5746980292434838</v>
      </c>
      <c r="AG6" s="161">
        <f>100*12.3/COD!V6</f>
        <v>0.70375079465988555</v>
      </c>
    </row>
    <row r="7" spans="1:33" x14ac:dyDescent="0.2">
      <c r="D7" s="105">
        <v>6</v>
      </c>
      <c r="E7" s="116">
        <v>42698</v>
      </c>
      <c r="F7" s="142" t="s">
        <v>191</v>
      </c>
      <c r="G7" s="114">
        <v>3085</v>
      </c>
      <c r="H7" s="114">
        <v>195.59737557884904</v>
      </c>
      <c r="I7" s="105">
        <v>7.7635692959715562E-4</v>
      </c>
      <c r="J7" s="105">
        <v>1.3443460384508541E-4</v>
      </c>
      <c r="K7" s="114">
        <f>[4]FOG!G7</f>
        <v>453.87826274511417</v>
      </c>
      <c r="L7" s="114">
        <f>[4]FOG!H7</f>
        <v>78.773741544263146</v>
      </c>
      <c r="M7" s="114">
        <f>[4]FOG!E7</f>
        <v>2022.5613561700939</v>
      </c>
      <c r="N7" s="114">
        <f>[4]FOG!F7</f>
        <v>440.80537459769107</v>
      </c>
      <c r="O7" s="114">
        <f t="shared" si="1"/>
        <v>1316.246961960831</v>
      </c>
      <c r="P7" s="146">
        <f t="shared" si="0"/>
        <v>42.666027940383508</v>
      </c>
      <c r="Q7" s="160">
        <f>100*45/COD!G7</f>
        <v>1.4586709886547813</v>
      </c>
      <c r="R7" s="161">
        <f>100*12.3/COD!G7</f>
        <v>0.39870340356564021</v>
      </c>
      <c r="S7" s="116">
        <v>42705</v>
      </c>
      <c r="T7" s="116"/>
      <c r="U7" s="141" t="s">
        <v>191</v>
      </c>
      <c r="V7" s="114">
        <v>1232.7777777777778</v>
      </c>
      <c r="W7" s="114">
        <v>54.424599557893238</v>
      </c>
      <c r="X7" s="105">
        <v>9.9771015705131332E-5</v>
      </c>
      <c r="Y7" s="105">
        <v>9.4247411745469328E-6</v>
      </c>
      <c r="Z7" s="114">
        <f>[4]FOG!G16</f>
        <v>221.82882710793339</v>
      </c>
      <c r="AA7" s="114">
        <f>[4]FOG!H16</f>
        <v>21.387975506468027</v>
      </c>
      <c r="AB7" s="114">
        <f>[4]FOG!E16</f>
        <v>221.82882710793339</v>
      </c>
      <c r="AC7" s="114">
        <f>[4]FOG!F16</f>
        <v>21.387975506468027</v>
      </c>
      <c r="AD7" s="114">
        <f t="shared" si="2"/>
        <v>643.30359861300678</v>
      </c>
      <c r="AE7" s="146">
        <f>100*Z7*2.9/V7</f>
        <v>52.183257210608936</v>
      </c>
      <c r="AF7" s="160">
        <f>100*45/COD!V7</f>
        <v>3.650292924740874</v>
      </c>
      <c r="AG7" s="161">
        <f>100*12.3/COD!V7</f>
        <v>0.99774673276250558</v>
      </c>
    </row>
    <row r="8" spans="1:33" x14ac:dyDescent="0.2">
      <c r="C8" s="105" t="s">
        <v>196</v>
      </c>
      <c r="D8" s="105">
        <v>7</v>
      </c>
      <c r="E8" s="116">
        <v>42705</v>
      </c>
      <c r="F8" s="142" t="s">
        <v>193</v>
      </c>
      <c r="G8" s="114">
        <v>3422.2222222222222</v>
      </c>
      <c r="H8" s="114">
        <v>334.31660531985642</v>
      </c>
      <c r="I8" s="105">
        <v>6.5909715561722774E-4</v>
      </c>
      <c r="J8" s="105">
        <v>6.5710342442254829E-5</v>
      </c>
      <c r="K8" s="114">
        <f>[4]FOG!G8</f>
        <v>439.62678936318827</v>
      </c>
      <c r="L8" s="114">
        <f>[4]FOG!H8</f>
        <v>100.97210493703192</v>
      </c>
      <c r="M8" s="114">
        <f>[4]FOG!E8</f>
        <v>1315.1377587655691</v>
      </c>
      <c r="N8" s="114">
        <f>[4]FOG!F8</f>
        <v>428.2873154124228</v>
      </c>
      <c r="O8" s="114">
        <f t="shared" si="1"/>
        <v>1274.9176891532459</v>
      </c>
      <c r="P8" s="146">
        <f t="shared" si="0"/>
        <v>37.254088319413036</v>
      </c>
      <c r="Q8" s="160">
        <f>100*45/COD!G8</f>
        <v>1.3149350649350648</v>
      </c>
      <c r="R8" s="161">
        <f>100*12.3/COD!G8</f>
        <v>0.35941558441558441</v>
      </c>
      <c r="S8" s="116">
        <v>42710</v>
      </c>
      <c r="T8" s="116"/>
      <c r="U8" s="141" t="s">
        <v>193</v>
      </c>
      <c r="V8" s="114">
        <v>1445.2222222222222</v>
      </c>
      <c r="W8" s="114">
        <v>112.52719835830965</v>
      </c>
      <c r="X8" s="105">
        <v>4.7967835281778468E-4</v>
      </c>
      <c r="Y8" s="105">
        <v>3.1606347672589561E-6</v>
      </c>
      <c r="Z8" s="114">
        <f>[4]FOG!G17</f>
        <v>198.69345205122252</v>
      </c>
      <c r="AA8" s="114">
        <f>[4]FOG!H17</f>
        <v>38.232860316950337</v>
      </c>
      <c r="AB8" s="114">
        <f>[4]FOG!E17</f>
        <v>198.69345205122252</v>
      </c>
      <c r="AC8" s="114">
        <f>[4]FOG!F17</f>
        <v>38.232860316950337</v>
      </c>
      <c r="AD8" s="114">
        <f t="shared" si="2"/>
        <v>576.21101094854532</v>
      </c>
      <c r="AE8" s="146">
        <f>100*Z8*2.9/V8</f>
        <v>39.870063031728364</v>
      </c>
      <c r="AF8" s="160">
        <f>100*45/COD!V8</f>
        <v>3.113708003382794</v>
      </c>
      <c r="AG8" s="161">
        <f>100*12.3/COD!V8</f>
        <v>0.851080187591297</v>
      </c>
    </row>
    <row r="9" spans="1:33" x14ac:dyDescent="0.2">
      <c r="D9" s="105">
        <v>8</v>
      </c>
      <c r="E9" s="116">
        <v>42710</v>
      </c>
      <c r="F9" s="142" t="s">
        <v>192</v>
      </c>
      <c r="G9" s="114">
        <v>1198.8888888888889</v>
      </c>
      <c r="H9" s="114">
        <v>357.81098879674357</v>
      </c>
      <c r="I9" s="105">
        <v>3.1550992933430353E-4</v>
      </c>
      <c r="J9" s="105">
        <v>1.0738442914101964E-4</v>
      </c>
      <c r="K9" s="114">
        <f>[4]FOG!G9</f>
        <v>232.7874503450027</v>
      </c>
      <c r="L9" s="114">
        <f>[4]FOG!H9</f>
        <v>59.962791754027648</v>
      </c>
      <c r="M9" s="114">
        <f>[4]FOG!E9</f>
        <v>956.88173381526303</v>
      </c>
      <c r="N9" s="114">
        <f>[4]FOG!F9</f>
        <v>402.23866545568819</v>
      </c>
      <c r="O9" s="114">
        <f t="shared" si="1"/>
        <v>675.08360600050776</v>
      </c>
      <c r="P9" s="146">
        <f t="shared" si="0"/>
        <v>56.309105227104439</v>
      </c>
      <c r="Q9" s="160">
        <f>100*45/COD!G9</f>
        <v>3.7534754402224282</v>
      </c>
      <c r="R9" s="161">
        <f>100*12.3/COD!G9</f>
        <v>1.025949953660797</v>
      </c>
      <c r="S9" s="116">
        <v>42712</v>
      </c>
      <c r="T9" s="116"/>
      <c r="U9" s="141" t="s">
        <v>192</v>
      </c>
      <c r="V9" s="114">
        <v>1543.3333333333333</v>
      </c>
      <c r="W9" s="114">
        <v>121.11748199349439</v>
      </c>
      <c r="X9" s="105">
        <v>2.9820071576864069E-4</v>
      </c>
      <c r="Y9" s="105">
        <v>6.34411422045298E-6</v>
      </c>
      <c r="Z9" s="114">
        <f>[4]FOG!G18</f>
        <v>271.56945736134321</v>
      </c>
      <c r="AA9" s="114">
        <f>[4]FOG!H18</f>
        <v>33.820420059603933</v>
      </c>
      <c r="AB9" s="114">
        <f>[4]FOG!E18</f>
        <v>271.56945736134321</v>
      </c>
      <c r="AC9" s="114">
        <f>[4]FOG!F18</f>
        <v>33.820420059603933</v>
      </c>
      <c r="AD9" s="114">
        <f t="shared" si="2"/>
        <v>787.55142634789524</v>
      </c>
      <c r="AE9" s="146">
        <f>100*Z9*2.9/V9</f>
        <v>51.029250087336635</v>
      </c>
      <c r="AF9" s="160">
        <f>100*45/COD!V9</f>
        <v>2.9157667386609072</v>
      </c>
      <c r="AG9" s="161">
        <f>100*12.3/COD!V9</f>
        <v>0.79697624190064797</v>
      </c>
    </row>
    <row r="10" spans="1:33" x14ac:dyDescent="0.2">
      <c r="W10" s="114"/>
    </row>
    <row r="11" spans="1:33" x14ac:dyDescent="0.2">
      <c r="E11" s="143" t="s">
        <v>125</v>
      </c>
      <c r="F11" s="142"/>
      <c r="G11" s="118">
        <f>AVERAGE(G3:G10)</f>
        <v>2527.6190476190482</v>
      </c>
      <c r="H11" s="114"/>
      <c r="K11" s="114"/>
      <c r="L11" s="114"/>
      <c r="M11" s="114"/>
      <c r="N11" s="114"/>
      <c r="O11" s="114"/>
      <c r="P11" s="118">
        <f>AVERAGE(P3:P10)</f>
        <v>34.955702765885171</v>
      </c>
      <c r="Q11" s="162">
        <f>AVERAGE(Q2:Q9)</f>
        <v>2.0051178463030923</v>
      </c>
      <c r="R11" s="162">
        <f>AVERAGE(R2:R9)</f>
        <v>0.54806554465617863</v>
      </c>
      <c r="S11" s="116"/>
      <c r="T11" s="116"/>
      <c r="U11" s="141"/>
      <c r="V11" s="118">
        <f>AVERAGE(V2:V9)</f>
        <v>1660.5833333333335</v>
      </c>
      <c r="W11" s="114"/>
      <c r="Z11" s="114"/>
      <c r="AA11" s="114"/>
      <c r="AB11" s="114"/>
      <c r="AC11" s="114"/>
      <c r="AD11" s="114"/>
      <c r="AE11" s="118">
        <f>AVERAGE(AE2:AE9)</f>
        <v>50.353627450096639</v>
      </c>
      <c r="AF11" s="162">
        <f>AVERAGE(AF2:AF9)</f>
        <v>2.7756594706946682</v>
      </c>
      <c r="AG11" s="162">
        <f>AVERAGE(AG2:AG9)</f>
        <v>0.75868025532320926</v>
      </c>
    </row>
    <row r="12" spans="1:33" x14ac:dyDescent="0.2">
      <c r="E12" s="143" t="s">
        <v>84</v>
      </c>
      <c r="F12" s="142"/>
      <c r="G12" s="118">
        <f>_xlfn.STDEV.S(G3:G10)</f>
        <v>919.91454437867844</v>
      </c>
      <c r="H12" s="114"/>
      <c r="K12" s="114"/>
      <c r="L12" s="114"/>
      <c r="M12" s="114"/>
      <c r="N12" s="114"/>
      <c r="O12" s="114"/>
      <c r="P12" s="118">
        <f>_xlfn.STDEV.S(P3:P10)</f>
        <v>13.720255677886009</v>
      </c>
      <c r="Q12" s="162">
        <f>_xlfn.STDEV.S(Q2:Q9)</f>
        <v>0.88896966859927962</v>
      </c>
      <c r="R12" s="162">
        <f>_xlfn.STDEV.S(R2:R9)</f>
        <v>0.24298504275046959</v>
      </c>
      <c r="S12" s="116"/>
      <c r="T12" s="116"/>
      <c r="U12" s="141"/>
      <c r="V12" s="118">
        <f>_xlfn.STDEV.S(V2:V9)</f>
        <v>270.42863454981739</v>
      </c>
      <c r="W12" s="114"/>
      <c r="Z12" s="114"/>
      <c r="AA12" s="114"/>
      <c r="AB12" s="114"/>
      <c r="AC12" s="114"/>
      <c r="AD12" s="114"/>
      <c r="AE12" s="118">
        <f>_xlfn.STDEV.S(AE2:AE9)</f>
        <v>11.080968300725607</v>
      </c>
      <c r="AF12" s="162">
        <f>_xlfn.STDEV.S(AF2:AF9)</f>
        <v>0.46905663768422873</v>
      </c>
      <c r="AG12" s="162">
        <f>_xlfn.STDEV.S(AG2:AG9)</f>
        <v>0.12820881430035602</v>
      </c>
    </row>
    <row r="13" spans="1:33" x14ac:dyDescent="0.2">
      <c r="E13" s="116"/>
    </row>
    <row r="14" spans="1:33" x14ac:dyDescent="0.2">
      <c r="N14" s="164" t="s">
        <v>230</v>
      </c>
      <c r="P14" s="164">
        <v>100</v>
      </c>
      <c r="Q14" s="162">
        <f>AVERAGE(Q2:Q9,AF2:AF9)</f>
        <v>2.3903886584988805</v>
      </c>
      <c r="R14" s="163">
        <f>AVERAGE(R2:R9,AG2:AG9)</f>
        <v>0.65337289998969394</v>
      </c>
    </row>
    <row r="15" spans="1:33" x14ac:dyDescent="0.2">
      <c r="F15" s="158" t="s">
        <v>223</v>
      </c>
      <c r="G15" s="105">
        <f>CORREL(G2:G9,K2:K9)</f>
        <v>0.82472750640513459</v>
      </c>
      <c r="W15" s="105" t="s">
        <v>190</v>
      </c>
      <c r="X15" s="140">
        <f>CORREL(V2:V9,Z2:Z9)</f>
        <v>0.721884667737971</v>
      </c>
    </row>
    <row r="16" spans="1:33" x14ac:dyDescent="0.2">
      <c r="F16" s="158" t="s">
        <v>224</v>
      </c>
      <c r="G16" s="105">
        <f>CORREL(G2:G9,O2:O9)</f>
        <v>0.8247275064051347</v>
      </c>
      <c r="X16" s="140"/>
    </row>
  </sheetData>
  <sortState ref="S2:AE9">
    <sortCondition ref="U3:U10"/>
  </sortState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colab graphs</vt:lpstr>
      <vt:lpstr>Gerber method</vt:lpstr>
      <vt:lpstr>C to N</vt:lpstr>
      <vt:lpstr>Original dataset</vt:lpstr>
      <vt:lpstr>COMPARISON</vt:lpstr>
      <vt:lpstr>GRAPHS (2)</vt:lpstr>
      <vt:lpstr>OD CAL</vt:lpstr>
      <vt:lpstr>COD</vt:lpstr>
    </vt:vector>
  </TitlesOfParts>
  <Company>Cranfield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Gurd, Caroline</dc:creator>
  <cp:lastModifiedBy>Gurd, Caroline</cp:lastModifiedBy>
  <dcterms:created xsi:type="dcterms:W3CDTF">2017-10-22T10:27:26Z</dcterms:created>
  <dcterms:modified xsi:type="dcterms:W3CDTF">2018-10-13T17:46:36Z</dcterms:modified>
</cp:coreProperties>
</file>