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189001\Desktop\Manuscripts\REFUELPOWER - Review\Stats\"/>
    </mc:Choice>
  </mc:AlternateContent>
  <bookViews>
    <workbookView xWindow="0" yWindow="0" windowWidth="28800" windowHeight="14115"/>
  </bookViews>
  <sheets>
    <sheet name="Data information" sheetId="8" r:id="rId1"/>
    <sheet name="Greenfield" sheetId="6" r:id="rId2"/>
    <sheet name="Retrofit" sheetId="7" r:id="rId3"/>
    <sheet name="CFPP-RETROFIT" sheetId="2" r:id="rId4"/>
    <sheet name="NGCC-RETROFIT" sheetId="3" r:id="rId5"/>
    <sheet name="NOVEL-RETROFIT" sheetId="5" r:id="rId6"/>
  </sheets>
  <definedNames>
    <definedName name="_xlnm.Print_Area" localSheetId="0">'Data information'!$A$1:$A$47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6" l="1"/>
  <c r="E57" i="6"/>
  <c r="E56" i="6"/>
  <c r="E54" i="6"/>
  <c r="E46" i="6"/>
  <c r="E44" i="6"/>
  <c r="E43" i="6"/>
  <c r="E42" i="6"/>
  <c r="E41" i="6"/>
  <c r="E35" i="6"/>
  <c r="F18" i="6"/>
  <c r="E18" i="6"/>
  <c r="E17" i="6"/>
  <c r="F16" i="6"/>
  <c r="E16" i="6"/>
  <c r="E4" i="5" l="1"/>
  <c r="H4" i="2" l="1"/>
  <c r="H88" i="5"/>
  <c r="H70" i="5"/>
  <c r="H69" i="5"/>
  <c r="H68" i="5"/>
  <c r="H64" i="5"/>
  <c r="H63" i="5"/>
  <c r="H61" i="5"/>
  <c r="H51" i="5"/>
  <c r="H50" i="5"/>
  <c r="H49" i="5"/>
  <c r="H45" i="5"/>
  <c r="H44" i="5"/>
  <c r="H42" i="5"/>
  <c r="H28" i="5"/>
  <c r="H27" i="5"/>
  <c r="H26" i="5"/>
  <c r="H22" i="5"/>
  <c r="H21" i="5"/>
  <c r="H19" i="5"/>
  <c r="H12" i="5"/>
  <c r="H11" i="5"/>
  <c r="H89" i="5"/>
  <c r="H10" i="5"/>
  <c r="H9" i="5"/>
  <c r="H5" i="5"/>
  <c r="H4" i="5"/>
  <c r="H2" i="5"/>
  <c r="H24" i="3"/>
  <c r="H22" i="3"/>
  <c r="H3" i="5" l="1"/>
  <c r="H73" i="5"/>
  <c r="H54" i="5"/>
  <c r="H30" i="5"/>
  <c r="H15" i="5"/>
  <c r="H6" i="5"/>
  <c r="H23" i="5"/>
  <c r="H24" i="5" s="1"/>
  <c r="H46" i="5"/>
  <c r="H31" i="5"/>
  <c r="H43" i="5"/>
  <c r="H65" i="5"/>
  <c r="H72" i="5"/>
  <c r="H92" i="5"/>
  <c r="H14" i="5"/>
  <c r="H53" i="5"/>
  <c r="H91" i="5"/>
  <c r="H62" i="5"/>
  <c r="H80" i="5"/>
  <c r="H82" i="5"/>
  <c r="H83" i="5"/>
  <c r="H87" i="5"/>
  <c r="H66" i="5" l="1"/>
  <c r="H7" i="5"/>
  <c r="H47" i="5"/>
  <c r="H84" i="5"/>
  <c r="H81" i="5"/>
  <c r="H85" i="5" l="1"/>
  <c r="H2" i="3" l="1"/>
  <c r="H88" i="3"/>
  <c r="H70" i="3"/>
  <c r="H69" i="3"/>
  <c r="H68" i="3"/>
  <c r="H64" i="3"/>
  <c r="H63" i="3"/>
  <c r="H61" i="3"/>
  <c r="H51" i="3"/>
  <c r="H50" i="3"/>
  <c r="H49" i="3"/>
  <c r="H45" i="3"/>
  <c r="H44" i="3"/>
  <c r="H42" i="3"/>
  <c r="H31" i="3"/>
  <c r="H30" i="3"/>
  <c r="H29" i="3"/>
  <c r="H25" i="3"/>
  <c r="H12" i="3"/>
  <c r="H11" i="3"/>
  <c r="H89" i="3"/>
  <c r="H10" i="3"/>
  <c r="H9" i="3"/>
  <c r="H5" i="3"/>
  <c r="H4" i="3"/>
  <c r="H54" i="3" l="1"/>
  <c r="H73" i="3"/>
  <c r="H33" i="3"/>
  <c r="H15" i="3"/>
  <c r="H6" i="3"/>
  <c r="H7" i="3" s="1"/>
  <c r="H26" i="3"/>
  <c r="H27" i="3" s="1"/>
  <c r="H46" i="3"/>
  <c r="H34" i="3"/>
  <c r="H43" i="3"/>
  <c r="H65" i="3"/>
  <c r="H72" i="3"/>
  <c r="H92" i="3"/>
  <c r="H14" i="3"/>
  <c r="H53" i="3"/>
  <c r="H91" i="3"/>
  <c r="H62" i="3"/>
  <c r="H80" i="3"/>
  <c r="H82" i="3"/>
  <c r="H83" i="3"/>
  <c r="H87" i="3"/>
  <c r="J84" i="2"/>
  <c r="J85" i="2" s="1"/>
  <c r="J86" i="2" s="1"/>
  <c r="J87" i="2" s="1"/>
  <c r="H69" i="2"/>
  <c r="H68" i="2"/>
  <c r="H67" i="2"/>
  <c r="H63" i="2"/>
  <c r="H62" i="2"/>
  <c r="H60" i="2"/>
  <c r="H50" i="2"/>
  <c r="H49" i="2"/>
  <c r="H48" i="2"/>
  <c r="H44" i="2"/>
  <c r="H43" i="2"/>
  <c r="H41" i="2"/>
  <c r="J27" i="2"/>
  <c r="J26" i="2" s="1"/>
  <c r="J25" i="2" s="1"/>
  <c r="J24" i="2" s="1"/>
  <c r="J23" i="2" s="1"/>
  <c r="H30" i="2"/>
  <c r="H29" i="2"/>
  <c r="H28" i="2"/>
  <c r="H24" i="2"/>
  <c r="H23" i="2"/>
  <c r="H21" i="2"/>
  <c r="H66" i="3" l="1"/>
  <c r="H53" i="2"/>
  <c r="H25" i="2"/>
  <c r="H26" i="2" s="1"/>
  <c r="H45" i="2"/>
  <c r="H72" i="2"/>
  <c r="H42" i="2"/>
  <c r="H61" i="2"/>
  <c r="H47" i="3"/>
  <c r="H84" i="3"/>
  <c r="H81" i="3"/>
  <c r="H64" i="2"/>
  <c r="H71" i="2"/>
  <c r="H52" i="2"/>
  <c r="H33" i="2"/>
  <c r="H32" i="2"/>
  <c r="H46" i="2" l="1"/>
  <c r="H65" i="2"/>
  <c r="H85" i="3"/>
  <c r="H2" i="2"/>
  <c r="H11" i="2"/>
  <c r="H10" i="2"/>
  <c r="H9" i="2"/>
  <c r="H5" i="2"/>
  <c r="H6" i="2" s="1"/>
  <c r="H7" i="2" s="1"/>
  <c r="E13" i="2"/>
  <c r="E12" i="2"/>
  <c r="E11" i="2"/>
  <c r="H14" i="2" l="1"/>
  <c r="H79" i="2"/>
  <c r="H88" i="2"/>
  <c r="H87" i="2"/>
  <c r="H86" i="2"/>
  <c r="H82" i="2"/>
  <c r="H81" i="2"/>
  <c r="H13" i="2"/>
  <c r="H83" i="2" l="1"/>
  <c r="H91" i="2"/>
  <c r="H90" i="2"/>
  <c r="H80" i="2"/>
  <c r="H84" i="2" l="1"/>
</calcChain>
</file>

<file path=xl/sharedStrings.xml><?xml version="1.0" encoding="utf-8"?>
<sst xmlns="http://schemas.openxmlformats.org/spreadsheetml/2006/main" count="791" uniqueCount="246">
  <si>
    <t>Count</t>
  </si>
  <si>
    <t>Sqrt(Count)</t>
  </si>
  <si>
    <t>Minimum</t>
  </si>
  <si>
    <t>Maximum</t>
  </si>
  <si>
    <t>Tolerance</t>
  </si>
  <si>
    <t>Bin size</t>
  </si>
  <si>
    <t>Median</t>
  </si>
  <si>
    <t>Mean</t>
  </si>
  <si>
    <t>Stand.Dev</t>
  </si>
  <si>
    <t>m-sigma</t>
  </si>
  <si>
    <t>m+sigma</t>
  </si>
  <si>
    <t>Mode</t>
  </si>
  <si>
    <t>Net efficiency (%)</t>
  </si>
  <si>
    <t>Net efficiency penalty (%)</t>
  </si>
  <si>
    <t>Levelised cost of electricity (€/MWh)</t>
  </si>
  <si>
    <t>Specific capital cost (€/kW)</t>
  </si>
  <si>
    <t>Net efficiency analysis</t>
  </si>
  <si>
    <t>Net efficiency penalty analysis</t>
  </si>
  <si>
    <t>Levelised cost of electriciry analysis</t>
  </si>
  <si>
    <t>Greenfield scenario</t>
  </si>
  <si>
    <t>Retrofit scenario</t>
  </si>
  <si>
    <t>Cost of CO₂ avoided (€/tCO₂)</t>
  </si>
  <si>
    <t>Cost of CO₂ avoided analysis</t>
  </si>
  <si>
    <t>Specific capital cost analysis</t>
  </si>
  <si>
    <t>Type</t>
  </si>
  <si>
    <t>Plant type</t>
  </si>
  <si>
    <t>Power generation cycle</t>
  </si>
  <si>
    <t>Sorbent</t>
  </si>
  <si>
    <t>Efficiency penalty (% points)</t>
  </si>
  <si>
    <t>Reference</t>
  </si>
  <si>
    <t>Greenfield</t>
  </si>
  <si>
    <t>Oxy-fuel with CaL</t>
  </si>
  <si>
    <t xml:space="preserve">Steam cycle (Ultra-supercitical, 270 bar/600°C/620°C) </t>
  </si>
  <si>
    <t>Calcite</t>
  </si>
  <si>
    <t>N/A</t>
  </si>
  <si>
    <t xml:space="preserve">Steam cycle (Ultra-supercitical, 290 bar/600°C/620°C) </t>
  </si>
  <si>
    <t>CaLC</t>
  </si>
  <si>
    <t xml:space="preserve">Steam cycle (Ultra-supercitical, 280 bar/600°C/600°C) </t>
  </si>
  <si>
    <t xml:space="preserve">Steam cycle (Ultra-supercitical, 275 bar/596°C/619°C) </t>
  </si>
  <si>
    <t>CO2/H2O Brayton cycle</t>
  </si>
  <si>
    <t>Steam cycle (Supercitical, 242 bar/593°C/593°C)</t>
  </si>
  <si>
    <t>SESR-NGCC</t>
  </si>
  <si>
    <t>GE 9FB gas turbine (PR 18.3, TIT 1345°C)</t>
  </si>
  <si>
    <t xml:space="preserve">Steam cycle (Sub-critical,125 bar/565°C/556°C) </t>
  </si>
  <si>
    <t xml:space="preserve">Greenfield </t>
  </si>
  <si>
    <t>Gas turbine (PR 15, TIT 1350°C)</t>
  </si>
  <si>
    <t xml:space="preserve">Steam cycle (Sub-critical,130 bar/600°C/600°C) </t>
  </si>
  <si>
    <t>SESR-SOFC-CC</t>
  </si>
  <si>
    <t>Gas turbine (PR 10, TIT 1369°C)</t>
  </si>
  <si>
    <t>Steam cycle (Sub-critical,122 bar/623°C)</t>
  </si>
  <si>
    <t>Solid-oxide fuel cell (T 930 °C, i 160A/cm2, U 77.6%, V=0.8 V</t>
  </si>
  <si>
    <t>SESR-SOFC</t>
  </si>
  <si>
    <t>Solid-oxide fuel cell (T 800 °C, U 85%)</t>
  </si>
  <si>
    <t>42.3, 46</t>
  </si>
  <si>
    <t xml:space="preserve">Solid-oxide fuel cell </t>
  </si>
  <si>
    <t>IGCC</t>
  </si>
  <si>
    <t>Gas turbine (PR 18, TIT 1250°C)</t>
  </si>
  <si>
    <t>41.7, 39.6</t>
  </si>
  <si>
    <t>Steam cycle (Sub-critical, 125 bar/535°C/535°C)</t>
  </si>
  <si>
    <t>Modified Ca-based (acetic acid)</t>
  </si>
  <si>
    <t>43.1, 42.4</t>
  </si>
  <si>
    <t xml:space="preserve">M701G2 gas turbine </t>
  </si>
  <si>
    <t>Steam cycle (Sub-critical, 118 bar/570°C/520°C)</t>
  </si>
  <si>
    <t>F-class gas turbine (PR 17 TIT 1350°C)</t>
  </si>
  <si>
    <t>Steam cycle (Sub-critical, 125 bar/565°C/565°C)</t>
  </si>
  <si>
    <t xml:space="preserve">F-class gas turbine </t>
  </si>
  <si>
    <t>Steam cycle (Sub-critical, 125 bar/534°C/536°C)</t>
  </si>
  <si>
    <t>Gas turbine (PR 19.2 TIT 1320°C)</t>
  </si>
  <si>
    <t>Steam cycle (Supercritical, 250 bar/630°C/650°C)</t>
  </si>
  <si>
    <t>Gas turbine (PR 30, TIT 1416°C)</t>
  </si>
  <si>
    <t>n/a</t>
  </si>
  <si>
    <t>Steam cycle (Sub-critical, 124 bar)</t>
  </si>
  <si>
    <t>F-class gas turbine Gas turbine (PR 15.3)</t>
  </si>
  <si>
    <t>37.4,37.5,38.1</t>
  </si>
  <si>
    <t>8.5, 8.4,7.8</t>
  </si>
  <si>
    <t>Steam cycle (Sub-critical, 100 bar/565°C/565°C)</t>
  </si>
  <si>
    <t>Na2CO3-MgO</t>
  </si>
  <si>
    <t>36.7,37.3</t>
  </si>
  <si>
    <t>9.2, 8.6</t>
  </si>
  <si>
    <t>IGFC</t>
  </si>
  <si>
    <t>Gas turbine (PR 16.2 TIT 1327°C)</t>
  </si>
  <si>
    <t>Steam cycle (Supercritical, 200 bar/625°C/625°C)</t>
  </si>
  <si>
    <t>Solid-oxide fuel cell (T 850 °C,I = 1a/cm2, U 80%)</t>
  </si>
  <si>
    <t>IGCC - ZECOMIX</t>
  </si>
  <si>
    <t>Gas turbine (PR 25 TIT 1400°C)</t>
  </si>
  <si>
    <t>Steam cycle (Supercritical, 247 bar/600°C/600°C)</t>
  </si>
  <si>
    <t>IGCC - ZECOMAG</t>
  </si>
  <si>
    <t>Gas turbine (PR 20 TIT 1500°C)</t>
  </si>
  <si>
    <t>BIGCC</t>
  </si>
  <si>
    <t>Steam cycle (Supercritical, 240 bar)</t>
  </si>
  <si>
    <t>Solid-oxide fuel cell (T 900 °C, i 200 A/cm2, U 85%, V=0.69 V</t>
  </si>
  <si>
    <t xml:space="preserve">Steam cycle (Sub-critical, 150 bar/541 °C), Solid-oxide fuel cell </t>
  </si>
  <si>
    <t>Retrofit</t>
  </si>
  <si>
    <t>CFPP</t>
  </si>
  <si>
    <t>Primary steam cycle (Supercritical)</t>
  </si>
  <si>
    <t>Secondary steam cycle (Sub-critical, 172 bar/566°C/538°C)</t>
  </si>
  <si>
    <t>Romeo et al. [47]</t>
  </si>
  <si>
    <t>Primary steam cycle (Supercritical, 242 bar/593.3°C/593.3°C)</t>
  </si>
  <si>
    <t>Hanak et al. [48]</t>
  </si>
  <si>
    <t>Secondary steam cycle (Supercritical, 242 bar/593.3°C/593.3°C)</t>
  </si>
  <si>
    <t>Primary steam cycle (Supercritical, 285 bar/600°C/620°C)</t>
  </si>
  <si>
    <t>Hawthorne et al. [49]</t>
  </si>
  <si>
    <t>Secondary steam cycle (Supercritical, 300 bar/600°C/600°C)</t>
  </si>
  <si>
    <t>Primary steam cycle (Supercritical, 300 bar/600°C/600°C)</t>
  </si>
  <si>
    <t>2.7,3.2*</t>
  </si>
  <si>
    <t>2.9*</t>
  </si>
  <si>
    <t>Secondary steam cycle (Supercritical, 285 bar/600°C/620°C)</t>
  </si>
  <si>
    <t>Primary steam cycle (Sub-critical)</t>
  </si>
  <si>
    <t>30.7,31.9,33.4</t>
  </si>
  <si>
    <t>8,9.1,10.4</t>
  </si>
  <si>
    <t>Secondary steam cycle (Supercritical, 280 bar/600°C/600°C)</t>
  </si>
  <si>
    <t>34.8,37.5</t>
  </si>
  <si>
    <t>7.5,10.1</t>
  </si>
  <si>
    <t>30.6,30.8,31.1,31.8</t>
  </si>
  <si>
    <t>6.7,7.4,7.7,7.9</t>
  </si>
  <si>
    <t>N.A</t>
  </si>
  <si>
    <t>Primary steam cycle (Supercritical, 290 bar/600°C/620°C)</t>
  </si>
  <si>
    <t>Secondary steam cycle (Supercritical, 290 bar/600°C/620°C)</t>
  </si>
  <si>
    <t>Lara et al. [55]</t>
  </si>
  <si>
    <t>Lithium ortosilicate</t>
  </si>
  <si>
    <t>Primary steam cycle (Supercritical, 235.4 bar/540°C/540°C)</t>
  </si>
  <si>
    <t>Secondary steam cycle (Supercritical, 235.4 bar/540°C/540°C)</t>
  </si>
  <si>
    <t>Primary steam cycle (Subcritical)</t>
  </si>
  <si>
    <t>27.9,28.1</t>
  </si>
  <si>
    <t>5.4,5.6</t>
  </si>
  <si>
    <t>Secondary steam cycle (Supercritical, 310 bar/600°C/620°C)</t>
  </si>
  <si>
    <t>Primary steam cycle (Subcritical, 166.5 bar/566°C/566°C)</t>
  </si>
  <si>
    <t>Secondary steam cycle (Subcritical, 166.5 bar/566°C/566°C)</t>
  </si>
  <si>
    <t>Primary steam cycle (Supercritical, 241 bar/593°C/593°C)</t>
  </si>
  <si>
    <t>Secondary steam cycle (Supercritical, 242 bar/593°C/593°C)</t>
  </si>
  <si>
    <t>Secondary power cycle (Supercritical CO2, 242 bar/593.3°C/593.3°C)</t>
  </si>
  <si>
    <t>Secondary power cycle (Supercritical CO2, 300 bar/620°C/620°C)</t>
  </si>
  <si>
    <t>Hydrated calcite</t>
  </si>
  <si>
    <t>15.8,16.7,17.5,19.0</t>
  </si>
  <si>
    <t>1250,1600</t>
  </si>
  <si>
    <t>Secondary steam cycle (Supercritical)</t>
  </si>
  <si>
    <t>Dolomite</t>
  </si>
  <si>
    <t>23.9,32.4</t>
  </si>
  <si>
    <t>5.7,14.2</t>
  </si>
  <si>
    <t>Lithium orthosilicate</t>
  </si>
  <si>
    <t>25, 300.2</t>
  </si>
  <si>
    <t>Alumina-doped limestone</t>
  </si>
  <si>
    <t>21.8, 23.5</t>
  </si>
  <si>
    <t>Secondary steam cycle (Subcritical, 140 bar/560°C/476°C )</t>
  </si>
  <si>
    <t>Steel slag</t>
  </si>
  <si>
    <t>2100,2300</t>
  </si>
  <si>
    <t>Primary steam cycle (Supercritical</t>
  </si>
  <si>
    <t>Primary steam cycle (Subcritical, 170 bar/540°C/540°C)</t>
  </si>
  <si>
    <t>Cormos [72]</t>
  </si>
  <si>
    <t>Secondary steam cycle (Subcritical, 170 bar/540°C/540°C)</t>
  </si>
  <si>
    <t>Primary steam cycle (Supercritical, 290 bar/582°C/580°C/580°C)</t>
  </si>
  <si>
    <t>Secondary steam cycle (Supercritical, 290 bar/582°C/580°C/580°C)</t>
  </si>
  <si>
    <t>CFB-CFPP</t>
  </si>
  <si>
    <t>Primary steam cycle (Subcritical, 180 bar/560°C/580°C)</t>
  </si>
  <si>
    <t>Primary steam cycle (Supercritical, 275 bar/560°C/580°C)</t>
  </si>
  <si>
    <t>Primary steam cycle (Ultrasupercritical, 290 bar/620°C/600°C)</t>
  </si>
  <si>
    <t>76,84</t>
  </si>
  <si>
    <t>3*</t>
  </si>
  <si>
    <t>NGCC</t>
  </si>
  <si>
    <t>EBTF gas turbine  (PR 18.1, TIT 1275°C)</t>
  </si>
  <si>
    <t>45.6,46.6,47.3,47.3,47.7,48.1</t>
  </si>
  <si>
    <t>10.0,11.5,10.8,10.8,10.4,12.5</t>
  </si>
  <si>
    <t xml:space="preserve">Primary steam cycle (Sub-critical,121 bar/560°C/550°C) </t>
  </si>
  <si>
    <t xml:space="preserve">Secondary steam cycle </t>
  </si>
  <si>
    <t>(Sub-critical, 120 bar/560°C/560°C; Advanced, 120 bar/610°C/610°C; Super-critical,202 bar/610°C/610°C)</t>
  </si>
  <si>
    <t>EBTF gas turbine (PR 18.1, TIT 1275°C)</t>
  </si>
  <si>
    <t>50.0,50.6,51.0</t>
  </si>
  <si>
    <t>7.1,7.5,8.1</t>
  </si>
  <si>
    <t>Berstad et al. [80]</t>
  </si>
  <si>
    <t>50.4,51.0,51.3</t>
  </si>
  <si>
    <t>6.8,7.1,7.7</t>
  </si>
  <si>
    <t>Syntetic CaO</t>
  </si>
  <si>
    <t>52.3,52.5,53.1</t>
  </si>
  <si>
    <t>5.0,5.6,5.8</t>
  </si>
  <si>
    <t>F-class gas turbine (PR 18.5, TIT 1365°C)</t>
  </si>
  <si>
    <t>47.2,48.8</t>
  </si>
  <si>
    <t>8.4,10.0</t>
  </si>
  <si>
    <t xml:space="preserve">Primary steam cycle (Sub-critical,167 bar/560°C/560°C) </t>
  </si>
  <si>
    <t xml:space="preserve">Secondary steam cycle (Sub-critical,167 bar/560°C/560°C) </t>
  </si>
  <si>
    <t>EBTF gas turbine (PR 18.1, TIT 1360°C)</t>
  </si>
  <si>
    <t>45.2,49.1</t>
  </si>
  <si>
    <t>8.6,12.0</t>
  </si>
  <si>
    <t xml:space="preserve">Primary steam cycle (Sub-critical,120 bar/500°C/500°C) </t>
  </si>
  <si>
    <t xml:space="preserve">Secondary steam cycle (Sub-critical,120 bar/500°C/500°C) </t>
  </si>
  <si>
    <t>M701G2 Gas turbine</t>
  </si>
  <si>
    <t xml:space="preserve">Primary steam cycle (Sub-critical,120 bar) </t>
  </si>
  <si>
    <t xml:space="preserve">Secondary steam cycle (Sub-critical,120 bar) </t>
  </si>
  <si>
    <t>* No CCU considered</t>
  </si>
  <si>
    <t>Romano [99]</t>
  </si>
  <si>
    <t>Ortiz et al. [100]</t>
  </si>
  <si>
    <t>Strelow et al. [96]</t>
  </si>
  <si>
    <t>Hanak and Manovic [36]</t>
  </si>
  <si>
    <t>Martínez et al. [41]</t>
  </si>
  <si>
    <t>Zhu et al. [108]</t>
  </si>
  <si>
    <t>Wu et al.[86]</t>
  </si>
  <si>
    <t>Wiranarongkorn et al. [88]</t>
  </si>
  <si>
    <t>Diglio et al. [91,123]</t>
  </si>
  <si>
    <t>Li et al. [101]</t>
  </si>
  <si>
    <t>Cormos and Cormos [73]</t>
  </si>
  <si>
    <t>Wang et al. [105]</t>
  </si>
  <si>
    <t>Connel et al. [109]</t>
  </si>
  <si>
    <t>Kunze et al. [111]</t>
  </si>
  <si>
    <t>Zhu et al. [87]</t>
  </si>
  <si>
    <t>Chi et al. [114]</t>
  </si>
  <si>
    <t>Siefert et al. [118]</t>
  </si>
  <si>
    <t>Romano and Lozza [117]</t>
  </si>
  <si>
    <t>Romano and Lozza [116]</t>
  </si>
  <si>
    <t>Kuo and Wu [121]</t>
  </si>
  <si>
    <t xml:space="preserve">Yan and He[122] </t>
  </si>
  <si>
    <t>Marinez et al. [90]</t>
  </si>
  <si>
    <t>Shimizu et al. [14]</t>
  </si>
  <si>
    <t>Strohle et al. [50,51]</t>
  </si>
  <si>
    <t>Lasheras et al. [52]</t>
  </si>
  <si>
    <t>Martinez et al. [53]</t>
  </si>
  <si>
    <t>Hanak et al. [31]</t>
  </si>
  <si>
    <t>Lara et al. [56]</t>
  </si>
  <si>
    <t>Vorrias et al. [57]</t>
  </si>
  <si>
    <t>Ortiz et al. [59]</t>
  </si>
  <si>
    <t>Martinez et al. [60]</t>
  </si>
  <si>
    <t>Martinez et al. [61]</t>
  </si>
  <si>
    <t>Abanades et al. [42]</t>
  </si>
  <si>
    <t>Junk et al. [44]</t>
  </si>
  <si>
    <t>Ozcan et al. [39]</t>
  </si>
  <si>
    <t>Duhoux et al. [38]</t>
  </si>
  <si>
    <t>Hanak et al. [63]</t>
  </si>
  <si>
    <t>Wang et al. [34,35]</t>
  </si>
  <si>
    <t>Lisbona et al. [68]</t>
  </si>
  <si>
    <t>Ortiz et al. [67]</t>
  </si>
  <si>
    <t>Hanak et al. [69]</t>
  </si>
  <si>
    <t>Hanak et al. [66]</t>
  </si>
  <si>
    <t>Abanades et al. [70]</t>
  </si>
  <si>
    <t xml:space="preserve">Cormos and Cormos [73] </t>
  </si>
  <si>
    <t>Romano et al. [71]</t>
  </si>
  <si>
    <t>Mantripragada  and Rubin [74]</t>
  </si>
  <si>
    <t>Berstad et al. [79]</t>
  </si>
  <si>
    <t>Erans et al. [84]</t>
  </si>
  <si>
    <t>Cormos and Cormos [82,83]</t>
  </si>
  <si>
    <t>Hu and Ahn [46]</t>
  </si>
  <si>
    <t>Bedford, Bedfordshire, MK43 0AL, UK</t>
  </si>
  <si>
    <r>
      <t>Corresponding author: *</t>
    </r>
    <r>
      <rPr>
        <sz val="14"/>
        <color theme="1"/>
        <rFont val="Arial"/>
        <family val="2"/>
      </rPr>
      <t xml:space="preserve">Dawid P. Hanak, d.p.hanak@cranfield.ac.uk 
                                  </t>
    </r>
  </si>
  <si>
    <t xml:space="preserve">From post-combustion carbon capture to sorption-enhanced hydrogen production: </t>
  </si>
  <si>
    <t>A state-of-the-art review of carbonate looping process feasibility</t>
  </si>
  <si>
    <t>Dawid P. Hanak*, Sebastian Michalski, Vasilije Manovic</t>
  </si>
  <si>
    <t>Clean Power Engineering, Energy and Power, School of Water, Energy and Environment, Cranfield University,</t>
  </si>
  <si>
    <t>Data sheet</t>
  </si>
  <si>
    <r>
      <t xml:space="preserve">Hanak, D.P., Michalski, S.S. and Manovic, V. (2018), "From post-combustion carbon capture to sorption-enhanced hydrogen production: A state-of-the-art review of carbonate looping process feasibility", </t>
    </r>
    <r>
      <rPr>
        <i/>
        <sz val="14"/>
        <color theme="1"/>
        <rFont val="Arial"/>
        <family val="2"/>
      </rPr>
      <t>Energy Conversion and Management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</si>
</sst>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0"/>
      <color theme="1"/>
      <name val="Arial"/>
      <family val="2"/>
    </font>
    <font>
      <i/>
      <sz val="16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NumberFormat="1"/>
    <xf numFmtId="0" fontId="3" fillId="0" borderId="0" xfId="0" applyFont="1"/>
    <xf numFmtId="171" fontId="0" fillId="0" borderId="0" xfId="0" applyNumberFormat="1"/>
    <xf numFmtId="171" fontId="0" fillId="0" borderId="0" xfId="1" applyNumberFormat="1" applyFont="1"/>
    <xf numFmtId="0" fontId="2" fillId="0" borderId="0" xfId="0" applyNumberFormat="1" applyFont="1"/>
    <xf numFmtId="0" fontId="0" fillId="0" borderId="0" xfId="0" applyNumberFormat="1" applyAlignment="1">
      <alignment horizontal="right" vertical="center"/>
    </xf>
    <xf numFmtId="171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justify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'NOVEL-RETROFIT'!$K$1</c:f>
              <c:strCache>
                <c:ptCount val="1"/>
                <c:pt idx="0">
                  <c:v>Greenfield scenario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'NOVEL-RETROFIT'!$J$2:$J$10</c:f>
              <c:numCache>
                <c:formatCode>General</c:formatCode>
                <c:ptCount val="9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</c:numCache>
            </c:numRef>
          </c:cat>
          <c:val>
            <c:numRef>
              <c:f>'NOVEL-RETROFIT'!$K$2:$K$10</c:f>
              <c:numCache>
                <c:formatCode>0.0</c:formatCode>
                <c:ptCount val="9"/>
                <c:pt idx="0">
                  <c:v>0</c:v>
                </c:pt>
                <c:pt idx="1">
                  <c:v>5.5555555555555554</c:v>
                </c:pt>
                <c:pt idx="2">
                  <c:v>7.4074074074074066</c:v>
                </c:pt>
                <c:pt idx="3">
                  <c:v>27.777777777777779</c:v>
                </c:pt>
                <c:pt idx="4">
                  <c:v>18.518518518518519</c:v>
                </c:pt>
                <c:pt idx="5">
                  <c:v>25.925925925925924</c:v>
                </c:pt>
                <c:pt idx="6">
                  <c:v>11.111111111111111</c:v>
                </c:pt>
                <c:pt idx="7">
                  <c:v>0</c:v>
                </c:pt>
                <c:pt idx="8">
                  <c:v>3.7037037037037033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5-4F25-AF2C-42F556FA457D}"/>
            </c:ext>
          </c:extLst>
        </c:ser>
        <c:ser>
          <c:idx val="1"/>
          <c:order val="1"/>
          <c:tx>
            <c:strRef>
              <c:f>'NOVEL-RETROFIT'!$L$1</c:f>
              <c:strCache>
                <c:ptCount val="1"/>
                <c:pt idx="0">
                  <c:v>Retrofit scenario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'NOVEL-RETROFIT'!$L$2:$L$10</c:f>
              <c:numCache>
                <c:formatCode>0.0</c:formatCode>
                <c:ptCount val="9"/>
                <c:pt idx="0">
                  <c:v>1.25</c:v>
                </c:pt>
                <c:pt idx="1">
                  <c:v>10</c:v>
                </c:pt>
                <c:pt idx="2">
                  <c:v>41.25</c:v>
                </c:pt>
                <c:pt idx="3">
                  <c:v>15</c:v>
                </c:pt>
                <c:pt idx="4">
                  <c:v>7.5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5-4F25-AF2C-42F556FA4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541336072"/>
        <c:axId val="541334104"/>
      </c:barChart>
      <c:catAx>
        <c:axId val="54133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Net efficiency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1334104"/>
        <c:crosses val="autoZero"/>
        <c:auto val="1"/>
        <c:lblAlgn val="ctr"/>
        <c:lblOffset val="100"/>
        <c:noMultiLvlLbl val="0"/>
      </c:catAx>
      <c:valAx>
        <c:axId val="541334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Probability </a:t>
                </a:r>
                <a:r>
                  <a:rPr lang="pl-PL"/>
                  <a:t>density </a:t>
                </a:r>
                <a:r>
                  <a:rPr lang="en-GB"/>
                  <a:t>(%)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541336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'NOVEL-RETROFIT'!$K$1</c:f>
              <c:strCache>
                <c:ptCount val="1"/>
                <c:pt idx="0">
                  <c:v>Greenfield scenario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'NOVEL-RETROFIT'!$J$19:$J$26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</c:numCache>
            </c:numRef>
          </c:cat>
          <c:val>
            <c:numRef>
              <c:f>'NOVEL-RETROFIT'!$K$19:$K$26</c:f>
              <c:numCache>
                <c:formatCode>0.0</c:formatCode>
                <c:ptCount val="8"/>
                <c:pt idx="0">
                  <c:v>0</c:v>
                </c:pt>
                <c:pt idx="1">
                  <c:v>6.666666666666667</c:v>
                </c:pt>
                <c:pt idx="2">
                  <c:v>3.3333333333333335</c:v>
                </c:pt>
                <c:pt idx="3">
                  <c:v>40</c:v>
                </c:pt>
                <c:pt idx="4">
                  <c:v>46.666666666666664</c:v>
                </c:pt>
                <c:pt idx="5">
                  <c:v>3.3333333333333335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9-4F27-A1B7-35549238BD5D}"/>
            </c:ext>
          </c:extLst>
        </c:ser>
        <c:ser>
          <c:idx val="1"/>
          <c:order val="1"/>
          <c:tx>
            <c:strRef>
              <c:f>'NOVEL-RETROFIT'!$L$1</c:f>
              <c:strCache>
                <c:ptCount val="1"/>
                <c:pt idx="0">
                  <c:v>Retrofit scenario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'NOVEL-RETROFIT'!$J$19:$J$26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</c:numCache>
            </c:numRef>
          </c:cat>
          <c:val>
            <c:numRef>
              <c:f>'NOVEL-RETROFIT'!$L$19:$L$26</c:f>
              <c:numCache>
                <c:formatCode>0.0</c:formatCode>
                <c:ptCount val="8"/>
                <c:pt idx="0">
                  <c:v>1.25</c:v>
                </c:pt>
                <c:pt idx="1">
                  <c:v>10</c:v>
                </c:pt>
                <c:pt idx="2">
                  <c:v>23.75</c:v>
                </c:pt>
                <c:pt idx="3">
                  <c:v>40</c:v>
                </c:pt>
                <c:pt idx="4">
                  <c:v>13.750000000000002</c:v>
                </c:pt>
                <c:pt idx="5">
                  <c:v>8.75</c:v>
                </c:pt>
                <c:pt idx="6">
                  <c:v>1.25</c:v>
                </c:pt>
                <c:pt idx="7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9-4F27-A1B7-35549238B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541336072"/>
        <c:axId val="541334104"/>
      </c:barChart>
      <c:catAx>
        <c:axId val="54133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Net efficiency penalty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1334104"/>
        <c:crosses val="autoZero"/>
        <c:auto val="1"/>
        <c:lblAlgn val="ctr"/>
        <c:lblOffset val="100"/>
        <c:noMultiLvlLbl val="0"/>
      </c:catAx>
      <c:valAx>
        <c:axId val="541334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Probability </a:t>
                </a:r>
                <a:r>
                  <a:rPr lang="pl-PL"/>
                  <a:t>density </a:t>
                </a:r>
                <a:r>
                  <a:rPr lang="en-GB"/>
                  <a:t>(%)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541336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'NOVEL-RETROFIT'!$K$1</c:f>
              <c:strCache>
                <c:ptCount val="1"/>
                <c:pt idx="0">
                  <c:v>Greenfield scenario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'NOVEL-RETROFIT'!$J$42:$J$46</c:f>
              <c:numCache>
                <c:formatCode>General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</c:numCache>
            </c:numRef>
          </c:cat>
          <c:val>
            <c:numRef>
              <c:f>'NOVEL-RETROFIT'!$K$42:$K$46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0-4906-8251-FAB623F95463}"/>
            </c:ext>
          </c:extLst>
        </c:ser>
        <c:ser>
          <c:idx val="1"/>
          <c:order val="1"/>
          <c:tx>
            <c:strRef>
              <c:f>'NOVEL-RETROFIT'!$L$1</c:f>
              <c:strCache>
                <c:ptCount val="1"/>
                <c:pt idx="0">
                  <c:v>Retrofit scenario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'NOVEL-RETROFIT'!$J$42:$J$46</c:f>
              <c:numCache>
                <c:formatCode>General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</c:numCache>
            </c:numRef>
          </c:cat>
          <c:val>
            <c:numRef>
              <c:f>'NOVEL-RETROFIT'!$L$42:$L$46</c:f>
              <c:numCache>
                <c:formatCode>0.0</c:formatCode>
                <c:ptCount val="5"/>
                <c:pt idx="0">
                  <c:v>5</c:v>
                </c:pt>
                <c:pt idx="1">
                  <c:v>20</c:v>
                </c:pt>
                <c:pt idx="2">
                  <c:v>50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0-4906-8251-FAB623F95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541336072"/>
        <c:axId val="541334104"/>
      </c:barChart>
      <c:catAx>
        <c:axId val="54133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Levelised cost of electricity (€/MWh)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1334104"/>
        <c:crosses val="autoZero"/>
        <c:auto val="1"/>
        <c:lblAlgn val="ctr"/>
        <c:lblOffset val="100"/>
        <c:noMultiLvlLbl val="0"/>
      </c:catAx>
      <c:valAx>
        <c:axId val="541334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Probability </a:t>
                </a:r>
                <a:r>
                  <a:rPr lang="pl-PL"/>
                  <a:t>density </a:t>
                </a:r>
                <a:r>
                  <a:rPr lang="en-GB"/>
                  <a:t>(%)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541336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'NOVEL-RETROFIT'!$K$1</c:f>
              <c:strCache>
                <c:ptCount val="1"/>
                <c:pt idx="0">
                  <c:v>Greenfield scenario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'NOVEL-RETROFIT'!$J$61:$J$65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</c:numCache>
            </c:numRef>
          </c:cat>
          <c:val>
            <c:numRef>
              <c:f>'NOVEL-RETROFIT'!$K$61:$K$65</c:f>
              <c:numCache>
                <c:formatCode>0.0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8-40D0-B786-F7CD8985B2C2}"/>
            </c:ext>
          </c:extLst>
        </c:ser>
        <c:ser>
          <c:idx val="1"/>
          <c:order val="1"/>
          <c:tx>
            <c:strRef>
              <c:f>'NOVEL-RETROFIT'!$L$1</c:f>
              <c:strCache>
                <c:ptCount val="1"/>
                <c:pt idx="0">
                  <c:v>Retrofit scenario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'NOVEL-RETROFIT'!$J$61:$J$65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</c:numCache>
            </c:numRef>
          </c:cat>
          <c:val>
            <c:numRef>
              <c:f>'NOVEL-RETROFIT'!$L$61:$L$65</c:f>
              <c:numCache>
                <c:formatCode>0.0</c:formatCode>
                <c:ptCount val="5"/>
                <c:pt idx="0">
                  <c:v>8.3333333333333321</c:v>
                </c:pt>
                <c:pt idx="1">
                  <c:v>62.5</c:v>
                </c:pt>
                <c:pt idx="2">
                  <c:v>16.666666666666664</c:v>
                </c:pt>
                <c:pt idx="3">
                  <c:v>8.3333333333333321</c:v>
                </c:pt>
                <c:pt idx="4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8-40D0-B786-F7CD8985B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541336072"/>
        <c:axId val="541334104"/>
      </c:barChart>
      <c:catAx>
        <c:axId val="54133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Cost of CO</a:t>
                </a:r>
                <a:r>
                  <a:rPr lang="en-GB" baseline="-25000"/>
                  <a:t>2</a:t>
                </a:r>
                <a:r>
                  <a:rPr lang="en-GB"/>
                  <a:t> avoided (€/tCO</a:t>
                </a:r>
                <a:r>
                  <a:rPr lang="en-GB" baseline="-25000"/>
                  <a:t>2</a:t>
                </a:r>
                <a:r>
                  <a:rPr lang="en-GB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1334104"/>
        <c:crosses val="autoZero"/>
        <c:auto val="1"/>
        <c:lblAlgn val="ctr"/>
        <c:lblOffset val="100"/>
        <c:noMultiLvlLbl val="0"/>
      </c:catAx>
      <c:valAx>
        <c:axId val="541334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Probability </a:t>
                </a:r>
                <a:r>
                  <a:rPr lang="pl-PL"/>
                  <a:t>density </a:t>
                </a:r>
                <a:r>
                  <a:rPr lang="en-GB"/>
                  <a:t>(%)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541336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'NOVEL-RETROFIT'!$K$1</c:f>
              <c:strCache>
                <c:ptCount val="1"/>
                <c:pt idx="0">
                  <c:v>Greenfield scenario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'NOVEL-RETROFIT'!$J$81:$J$85</c:f>
              <c:numCache>
                <c:formatCode>General</c:formatCode>
                <c:ptCount val="5"/>
                <c:pt idx="0">
                  <c:v>1500</c:v>
                </c:pt>
                <c:pt idx="1">
                  <c:v>2500</c:v>
                </c:pt>
                <c:pt idx="2">
                  <c:v>3500</c:v>
                </c:pt>
                <c:pt idx="3">
                  <c:v>4500</c:v>
                </c:pt>
                <c:pt idx="4">
                  <c:v>5500</c:v>
                </c:pt>
              </c:numCache>
            </c:numRef>
          </c:cat>
          <c:val>
            <c:numRef>
              <c:f>'NOVEL-RETROFIT'!$K$81:$K$85</c:f>
              <c:numCache>
                <c:formatCode>0.0</c:formatCode>
                <c:ptCount val="5"/>
                <c:pt idx="0">
                  <c:v>14.285714285714285</c:v>
                </c:pt>
                <c:pt idx="1">
                  <c:v>71.428571428571431</c:v>
                </c:pt>
                <c:pt idx="2">
                  <c:v>0</c:v>
                </c:pt>
                <c:pt idx="3">
                  <c:v>0</c:v>
                </c:pt>
                <c:pt idx="4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D-4B40-80E8-EC56B888B004}"/>
            </c:ext>
          </c:extLst>
        </c:ser>
        <c:ser>
          <c:idx val="1"/>
          <c:order val="1"/>
          <c:tx>
            <c:strRef>
              <c:f>'NOVEL-RETROFIT'!$L$1</c:f>
              <c:strCache>
                <c:ptCount val="1"/>
                <c:pt idx="0">
                  <c:v>Retrofit scenario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'NOVEL-RETROFIT'!$J$81:$J$85</c:f>
              <c:numCache>
                <c:formatCode>General</c:formatCode>
                <c:ptCount val="5"/>
                <c:pt idx="0">
                  <c:v>1500</c:v>
                </c:pt>
                <c:pt idx="1">
                  <c:v>2500</c:v>
                </c:pt>
                <c:pt idx="2">
                  <c:v>3500</c:v>
                </c:pt>
                <c:pt idx="3">
                  <c:v>4500</c:v>
                </c:pt>
                <c:pt idx="4">
                  <c:v>5500</c:v>
                </c:pt>
              </c:numCache>
            </c:numRef>
          </c:cat>
          <c:val>
            <c:numRef>
              <c:f>'NOVEL-RETROFIT'!$L$81:$L$85</c:f>
              <c:numCache>
                <c:formatCode>0.0</c:formatCode>
                <c:ptCount val="5"/>
                <c:pt idx="0">
                  <c:v>29.411764705882355</c:v>
                </c:pt>
                <c:pt idx="1">
                  <c:v>52.941176470588239</c:v>
                </c:pt>
                <c:pt idx="2">
                  <c:v>11.76470588235294</c:v>
                </c:pt>
                <c:pt idx="3">
                  <c:v>5.8823529411764701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D-4B40-80E8-EC56B888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541336072"/>
        <c:axId val="541334104"/>
      </c:barChart>
      <c:catAx>
        <c:axId val="54133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Specific</a:t>
                </a:r>
                <a:r>
                  <a:rPr lang="en-GB" baseline="0"/>
                  <a:t> capital cost</a:t>
                </a:r>
                <a:r>
                  <a:rPr lang="en-GB"/>
                  <a:t> (€/kW)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1334104"/>
        <c:crosses val="autoZero"/>
        <c:auto val="1"/>
        <c:lblAlgn val="ctr"/>
        <c:lblOffset val="100"/>
        <c:noMultiLvlLbl val="0"/>
      </c:catAx>
      <c:valAx>
        <c:axId val="541334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Probability </a:t>
                </a:r>
                <a:r>
                  <a:rPr lang="pl-PL"/>
                  <a:t>density </a:t>
                </a:r>
                <a:r>
                  <a:rPr lang="en-GB"/>
                  <a:t>(%)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541336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0</xdr:row>
      <xdr:rowOff>0</xdr:rowOff>
    </xdr:from>
    <xdr:to>
      <xdr:col>23</xdr:col>
      <xdr:colOff>13608</xdr:colOff>
      <xdr:row>18</xdr:row>
      <xdr:rowOff>89807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542925</xdr:colOff>
      <xdr:row>18</xdr:row>
      <xdr:rowOff>152400</xdr:rowOff>
    </xdr:from>
    <xdr:to>
      <xdr:col>22</xdr:col>
      <xdr:colOff>653143</xdr:colOff>
      <xdr:row>37</xdr:row>
      <xdr:rowOff>32657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530679</xdr:colOff>
      <xdr:row>37</xdr:row>
      <xdr:rowOff>68036</xdr:rowOff>
    </xdr:from>
    <xdr:to>
      <xdr:col>22</xdr:col>
      <xdr:colOff>666750</xdr:colOff>
      <xdr:row>55</xdr:row>
      <xdr:rowOff>138793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530678</xdr:colOff>
      <xdr:row>56</xdr:row>
      <xdr:rowOff>1</xdr:rowOff>
    </xdr:from>
    <xdr:to>
      <xdr:col>22</xdr:col>
      <xdr:colOff>639536</xdr:colOff>
      <xdr:row>74</xdr:row>
      <xdr:rowOff>70758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476250</xdr:colOff>
      <xdr:row>74</xdr:row>
      <xdr:rowOff>122465</xdr:rowOff>
    </xdr:from>
    <xdr:to>
      <xdr:col>23</xdr:col>
      <xdr:colOff>0</xdr:colOff>
      <xdr:row>93</xdr:row>
      <xdr:rowOff>20040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6"/>
  <sheetViews>
    <sheetView tabSelected="1" zoomScale="130" zoomScaleNormal="130" workbookViewId="0">
      <selection activeCell="A17" sqref="A17"/>
    </sheetView>
  </sheetViews>
  <sheetFormatPr defaultRowHeight="14.25" x14ac:dyDescent="0.2"/>
  <cols>
    <col min="1" max="1" width="156.375" style="14" customWidth="1"/>
    <col min="2" max="2" width="42.875" style="14" customWidth="1"/>
    <col min="3" max="16384" width="9" style="14"/>
  </cols>
  <sheetData>
    <row r="5" spans="1:1" ht="26.25" x14ac:dyDescent="0.2">
      <c r="A5" s="13" t="s">
        <v>240</v>
      </c>
    </row>
    <row r="6" spans="1:1" ht="26.25" x14ac:dyDescent="0.2">
      <c r="A6" s="13" t="s">
        <v>241</v>
      </c>
    </row>
    <row r="7" spans="1:1" ht="26.25" x14ac:dyDescent="0.2">
      <c r="A7" s="13"/>
    </row>
    <row r="8" spans="1:1" ht="26.25" x14ac:dyDescent="0.2">
      <c r="A8" s="13"/>
    </row>
    <row r="9" spans="1:1" ht="20.25" x14ac:dyDescent="0.2">
      <c r="A9" s="15" t="s">
        <v>242</v>
      </c>
    </row>
    <row r="10" spans="1:1" ht="20.25" x14ac:dyDescent="0.2">
      <c r="A10" s="16"/>
    </row>
    <row r="11" spans="1:1" ht="18.75" x14ac:dyDescent="0.2">
      <c r="A11" s="17" t="s">
        <v>243</v>
      </c>
    </row>
    <row r="12" spans="1:1" ht="18.75" x14ac:dyDescent="0.2">
      <c r="A12" s="17" t="s">
        <v>238</v>
      </c>
    </row>
    <row r="13" spans="1:1" ht="18.75" x14ac:dyDescent="0.2">
      <c r="A13" s="17"/>
    </row>
    <row r="14" spans="1:1" ht="18.75" x14ac:dyDescent="0.2">
      <c r="A14" s="17"/>
    </row>
    <row r="15" spans="1:1" ht="18.75" x14ac:dyDescent="0.2">
      <c r="A15" s="17"/>
    </row>
    <row r="16" spans="1:1" ht="20.25" x14ac:dyDescent="0.3">
      <c r="A16" s="18" t="s">
        <v>244</v>
      </c>
    </row>
    <row r="17" spans="1:1" ht="18.75" x14ac:dyDescent="0.2">
      <c r="A17" s="17"/>
    </row>
    <row r="18" spans="1:1" ht="18.75" x14ac:dyDescent="0.2">
      <c r="A18" s="17"/>
    </row>
    <row r="19" spans="1:1" ht="36.75" x14ac:dyDescent="0.2">
      <c r="A19" s="19" t="s">
        <v>239</v>
      </c>
    </row>
    <row r="22" spans="1:1" ht="36.75" x14ac:dyDescent="0.2">
      <c r="A22" s="20" t="s">
        <v>245</v>
      </c>
    </row>
    <row r="36" spans="1:1" ht="15" x14ac:dyDescent="0.2">
      <c r="A36" s="21"/>
    </row>
  </sheetData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70" zoomScaleNormal="70" workbookViewId="0">
      <selection activeCell="C24" sqref="C24"/>
    </sheetView>
  </sheetViews>
  <sheetFormatPr defaultRowHeight="14.25" x14ac:dyDescent="0.2"/>
  <cols>
    <col min="1" max="1" width="9.625" style="2" bestFit="1" customWidth="1"/>
    <col min="2" max="2" width="16.125" style="2" bestFit="1" customWidth="1"/>
    <col min="3" max="3" width="53.375" style="2" bestFit="1" customWidth="1"/>
    <col min="4" max="4" width="28.75" style="2" bestFit="1" customWidth="1"/>
    <col min="5" max="5" width="20.625" style="2" customWidth="1"/>
    <col min="6" max="6" width="32.375" style="2" customWidth="1"/>
    <col min="7" max="7" width="41.25" style="2" customWidth="1"/>
    <col min="8" max="8" width="33.25" style="2" bestFit="1" customWidth="1"/>
    <col min="9" max="9" width="31.25" style="2" bestFit="1" customWidth="1"/>
    <col min="10" max="10" width="23.125" style="2" bestFit="1" customWidth="1"/>
    <col min="11" max="16384" width="9" style="2"/>
  </cols>
  <sheetData>
    <row r="1" spans="1:10" ht="15" x14ac:dyDescent="0.25">
      <c r="A1" s="6" t="s">
        <v>24</v>
      </c>
      <c r="B1" s="6" t="s">
        <v>25</v>
      </c>
      <c r="C1" s="6" t="s">
        <v>26</v>
      </c>
      <c r="D1" s="6" t="s">
        <v>27</v>
      </c>
      <c r="E1" s="6" t="s">
        <v>12</v>
      </c>
      <c r="F1" s="6" t="s">
        <v>28</v>
      </c>
      <c r="G1" s="6" t="s">
        <v>14</v>
      </c>
      <c r="H1" s="6" t="s">
        <v>21</v>
      </c>
      <c r="I1" s="6" t="s">
        <v>15</v>
      </c>
      <c r="J1" s="6" t="s">
        <v>29</v>
      </c>
    </row>
    <row r="2" spans="1:10" x14ac:dyDescent="0.2">
      <c r="A2" s="2" t="s">
        <v>30</v>
      </c>
      <c r="B2" s="2" t="s">
        <v>31</v>
      </c>
      <c r="C2" s="2" t="s">
        <v>32</v>
      </c>
      <c r="D2" s="2" t="s">
        <v>33</v>
      </c>
      <c r="E2" s="7">
        <v>36.5</v>
      </c>
      <c r="F2" s="7">
        <v>8</v>
      </c>
      <c r="G2" s="7" t="s">
        <v>34</v>
      </c>
      <c r="H2" s="7" t="s">
        <v>34</v>
      </c>
      <c r="I2" s="7" t="s">
        <v>34</v>
      </c>
      <c r="J2" s="2" t="s">
        <v>188</v>
      </c>
    </row>
    <row r="3" spans="1:10" x14ac:dyDescent="0.2">
      <c r="E3" s="7">
        <v>36.700000000000003</v>
      </c>
      <c r="F3" s="7">
        <v>7.7</v>
      </c>
      <c r="G3" s="7"/>
      <c r="H3" s="7"/>
      <c r="I3" s="7"/>
    </row>
    <row r="4" spans="1:10" x14ac:dyDescent="0.2">
      <c r="E4" s="7">
        <v>37.1</v>
      </c>
      <c r="F4" s="7">
        <v>7.3</v>
      </c>
      <c r="G4" s="7"/>
      <c r="H4" s="7"/>
      <c r="I4" s="7"/>
    </row>
    <row r="5" spans="1:10" x14ac:dyDescent="0.2">
      <c r="E5" s="7">
        <v>37.4</v>
      </c>
      <c r="F5" s="7">
        <v>7</v>
      </c>
      <c r="G5" s="7"/>
      <c r="H5" s="7"/>
      <c r="I5" s="7"/>
    </row>
    <row r="6" spans="1:10" x14ac:dyDescent="0.2">
      <c r="E6" s="7">
        <v>36.4</v>
      </c>
      <c r="F6" s="7">
        <v>8</v>
      </c>
      <c r="G6" s="7"/>
      <c r="H6" s="7"/>
      <c r="I6" s="7"/>
    </row>
    <row r="7" spans="1:10" x14ac:dyDescent="0.2">
      <c r="A7" s="2" t="s">
        <v>30</v>
      </c>
      <c r="B7" s="2" t="s">
        <v>31</v>
      </c>
      <c r="C7" s="2" t="s">
        <v>35</v>
      </c>
      <c r="D7" s="2" t="s">
        <v>33</v>
      </c>
      <c r="E7" s="7">
        <v>30.3</v>
      </c>
      <c r="F7" s="7">
        <v>7.5</v>
      </c>
      <c r="G7" s="7" t="s">
        <v>34</v>
      </c>
      <c r="H7" s="7" t="s">
        <v>34</v>
      </c>
      <c r="I7" s="7" t="s">
        <v>34</v>
      </c>
      <c r="J7" s="2" t="s">
        <v>189</v>
      </c>
    </row>
    <row r="8" spans="1:10" x14ac:dyDescent="0.2">
      <c r="E8" s="7">
        <v>29.1</v>
      </c>
      <c r="F8" s="7">
        <v>8.6999999999999993</v>
      </c>
      <c r="G8" s="7"/>
      <c r="H8" s="7"/>
      <c r="I8" s="7"/>
    </row>
    <row r="9" spans="1:10" x14ac:dyDescent="0.2">
      <c r="E9" s="7">
        <v>28.8</v>
      </c>
      <c r="F9" s="7">
        <v>9</v>
      </c>
      <c r="G9" s="7"/>
      <c r="H9" s="7"/>
      <c r="I9" s="7"/>
    </row>
    <row r="10" spans="1:10" x14ac:dyDescent="0.2">
      <c r="E10" s="7">
        <v>28.6</v>
      </c>
      <c r="F10" s="7">
        <v>9.1999999999999993</v>
      </c>
      <c r="G10" s="7"/>
      <c r="H10" s="7"/>
      <c r="I10" s="7"/>
    </row>
    <row r="11" spans="1:10" x14ac:dyDescent="0.2">
      <c r="A11" s="2" t="s">
        <v>30</v>
      </c>
      <c r="B11" s="2" t="s">
        <v>36</v>
      </c>
      <c r="C11" s="2" t="s">
        <v>37</v>
      </c>
      <c r="D11" s="2" t="s">
        <v>33</v>
      </c>
      <c r="E11" s="7">
        <v>37.799999999999997</v>
      </c>
      <c r="F11" s="7" t="s">
        <v>34</v>
      </c>
      <c r="G11" s="7" t="s">
        <v>34</v>
      </c>
      <c r="H11" s="7" t="s">
        <v>34</v>
      </c>
      <c r="I11" s="7" t="s">
        <v>34</v>
      </c>
      <c r="J11" s="2" t="s">
        <v>192</v>
      </c>
    </row>
    <row r="12" spans="1:10" x14ac:dyDescent="0.2">
      <c r="E12" s="7"/>
      <c r="F12" s="7"/>
      <c r="G12" s="7"/>
      <c r="H12" s="7"/>
      <c r="I12" s="7"/>
    </row>
    <row r="13" spans="1:10" x14ac:dyDescent="0.2">
      <c r="A13" s="2" t="s">
        <v>30</v>
      </c>
      <c r="B13" s="2" t="s">
        <v>36</v>
      </c>
      <c r="C13" s="2" t="s">
        <v>38</v>
      </c>
      <c r="D13" s="2" t="s">
        <v>33</v>
      </c>
      <c r="E13" s="7">
        <v>40.200000000000003</v>
      </c>
      <c r="F13" s="7">
        <v>4.4000000000000004</v>
      </c>
      <c r="G13" s="7" t="s">
        <v>34</v>
      </c>
      <c r="H13" s="7" t="s">
        <v>34</v>
      </c>
      <c r="I13" s="7" t="s">
        <v>34</v>
      </c>
      <c r="J13" s="2" t="s">
        <v>190</v>
      </c>
    </row>
    <row r="14" spans="1:10" x14ac:dyDescent="0.2">
      <c r="C14" s="2" t="s">
        <v>39</v>
      </c>
      <c r="E14" s="7"/>
      <c r="F14" s="7"/>
      <c r="G14" s="7"/>
      <c r="H14" s="7"/>
      <c r="I14" s="7"/>
    </row>
    <row r="15" spans="1:10" x14ac:dyDescent="0.2">
      <c r="E15" s="7"/>
      <c r="F15" s="7"/>
      <c r="G15" s="7"/>
      <c r="H15" s="7"/>
      <c r="I15" s="7"/>
    </row>
    <row r="16" spans="1:10" x14ac:dyDescent="0.2">
      <c r="A16" s="2" t="s">
        <v>30</v>
      </c>
      <c r="B16" s="2" t="s">
        <v>36</v>
      </c>
      <c r="C16" s="2" t="s">
        <v>40</v>
      </c>
      <c r="D16" s="2" t="s">
        <v>33</v>
      </c>
      <c r="E16" s="7">
        <f>100*0.356</f>
        <v>35.6</v>
      </c>
      <c r="F16" s="7">
        <f>100*0.024</f>
        <v>2.4</v>
      </c>
      <c r="G16" s="7">
        <v>61.7</v>
      </c>
      <c r="H16" s="7">
        <v>33.96</v>
      </c>
      <c r="I16" s="7">
        <v>1773</v>
      </c>
      <c r="J16" s="2" t="s">
        <v>191</v>
      </c>
    </row>
    <row r="17" spans="1:10" x14ac:dyDescent="0.2">
      <c r="E17" s="7">
        <f>100*0.349</f>
        <v>34.9</v>
      </c>
      <c r="F17" s="7">
        <v>3.1</v>
      </c>
      <c r="G17" s="7">
        <v>64.7</v>
      </c>
      <c r="H17" s="7">
        <v>37.5</v>
      </c>
      <c r="I17" s="7">
        <v>1837.1</v>
      </c>
    </row>
    <row r="18" spans="1:10" x14ac:dyDescent="0.2">
      <c r="A18" s="2" t="s">
        <v>30</v>
      </c>
      <c r="B18" s="2" t="s">
        <v>41</v>
      </c>
      <c r="C18" s="2" t="s">
        <v>42</v>
      </c>
      <c r="D18" s="2" t="s">
        <v>33</v>
      </c>
      <c r="E18" s="7">
        <f>100*0.489</f>
        <v>48.9</v>
      </c>
      <c r="F18" s="7">
        <f>100*0.099</f>
        <v>9.9</v>
      </c>
      <c r="G18" s="7" t="s">
        <v>34</v>
      </c>
      <c r="H18" s="7" t="s">
        <v>34</v>
      </c>
      <c r="I18" s="7" t="s">
        <v>34</v>
      </c>
      <c r="J18" s="2" t="s">
        <v>209</v>
      </c>
    </row>
    <row r="19" spans="1:10" x14ac:dyDescent="0.2">
      <c r="C19" s="2" t="s">
        <v>43</v>
      </c>
      <c r="E19" s="7">
        <v>50.7</v>
      </c>
      <c r="F19" s="7">
        <v>8.1</v>
      </c>
      <c r="G19" s="7"/>
      <c r="H19" s="7"/>
      <c r="I19" s="7"/>
    </row>
    <row r="20" spans="1:10" x14ac:dyDescent="0.2">
      <c r="E20" s="7">
        <v>49.1</v>
      </c>
      <c r="F20" s="7">
        <v>9.6999999999999993</v>
      </c>
      <c r="G20" s="7"/>
      <c r="H20" s="7"/>
      <c r="I20" s="7"/>
    </row>
    <row r="21" spans="1:10" x14ac:dyDescent="0.2">
      <c r="E21" s="7">
        <v>50.7</v>
      </c>
      <c r="F21" s="7">
        <v>8.1</v>
      </c>
      <c r="G21" s="7"/>
      <c r="H21" s="7"/>
      <c r="I21" s="7"/>
    </row>
    <row r="22" spans="1:10" x14ac:dyDescent="0.2">
      <c r="E22" s="7">
        <v>49.2</v>
      </c>
      <c r="F22" s="7">
        <v>9.6</v>
      </c>
      <c r="G22" s="7"/>
      <c r="H22" s="7"/>
      <c r="I22" s="7"/>
    </row>
    <row r="23" spans="1:10" x14ac:dyDescent="0.2">
      <c r="E23" s="7">
        <v>50.9</v>
      </c>
      <c r="F23" s="7">
        <v>7.9</v>
      </c>
      <c r="G23" s="7"/>
      <c r="H23" s="7"/>
      <c r="I23" s="7"/>
    </row>
    <row r="24" spans="1:10" x14ac:dyDescent="0.2">
      <c r="E24" s="7">
        <v>49.3</v>
      </c>
      <c r="F24" s="7">
        <v>9.5</v>
      </c>
      <c r="G24" s="7"/>
      <c r="H24" s="7"/>
      <c r="I24" s="7"/>
    </row>
    <row r="25" spans="1:10" x14ac:dyDescent="0.2">
      <c r="E25" s="7">
        <v>51</v>
      </c>
      <c r="F25" s="7">
        <v>7.8</v>
      </c>
      <c r="G25" s="7"/>
      <c r="H25" s="7"/>
      <c r="I25" s="7"/>
    </row>
    <row r="26" spans="1:10" x14ac:dyDescent="0.2">
      <c r="E26" s="7">
        <v>49.4</v>
      </c>
      <c r="F26" s="7">
        <v>9.5</v>
      </c>
      <c r="G26" s="7"/>
      <c r="H26" s="7"/>
      <c r="I26" s="7"/>
    </row>
    <row r="27" spans="1:10" x14ac:dyDescent="0.2">
      <c r="E27" s="7">
        <v>51</v>
      </c>
      <c r="F27" s="7">
        <v>7.8</v>
      </c>
      <c r="G27" s="7"/>
      <c r="H27" s="7"/>
      <c r="I27" s="7"/>
    </row>
    <row r="28" spans="1:10" x14ac:dyDescent="0.2">
      <c r="A28" s="2" t="s">
        <v>44</v>
      </c>
      <c r="B28" s="2" t="s">
        <v>41</v>
      </c>
      <c r="C28" s="2" t="s">
        <v>45</v>
      </c>
      <c r="D28" s="2" t="s">
        <v>33</v>
      </c>
      <c r="E28" s="7">
        <v>46.6</v>
      </c>
      <c r="F28" s="7" t="s">
        <v>34</v>
      </c>
      <c r="G28" s="7" t="s">
        <v>34</v>
      </c>
      <c r="H28" s="7" t="s">
        <v>34</v>
      </c>
      <c r="I28" s="8">
        <v>1072.6400000000001</v>
      </c>
      <c r="J28" s="2" t="s">
        <v>193</v>
      </c>
    </row>
    <row r="29" spans="1:10" x14ac:dyDescent="0.2">
      <c r="C29" s="2" t="s">
        <v>46</v>
      </c>
      <c r="E29" s="7">
        <v>46.2</v>
      </c>
      <c r="F29" s="7"/>
      <c r="G29" s="7"/>
      <c r="H29" s="7"/>
      <c r="I29" s="7"/>
    </row>
    <row r="30" spans="1:10" x14ac:dyDescent="0.2">
      <c r="A30" s="2" t="s">
        <v>30</v>
      </c>
      <c r="B30" s="2" t="s">
        <v>47</v>
      </c>
      <c r="C30" s="2" t="s">
        <v>48</v>
      </c>
      <c r="D30" s="2" t="s">
        <v>33</v>
      </c>
      <c r="E30" s="7">
        <v>60.6</v>
      </c>
      <c r="F30" s="7" t="s">
        <v>34</v>
      </c>
      <c r="G30" s="7" t="s">
        <v>34</v>
      </c>
      <c r="H30" s="7" t="s">
        <v>34</v>
      </c>
      <c r="I30" s="7" t="s">
        <v>34</v>
      </c>
      <c r="J30" s="2" t="s">
        <v>194</v>
      </c>
    </row>
    <row r="31" spans="1:10" x14ac:dyDescent="0.2">
      <c r="C31" s="2" t="s">
        <v>49</v>
      </c>
      <c r="E31" s="7"/>
      <c r="F31" s="7"/>
      <c r="G31" s="7"/>
      <c r="H31" s="7"/>
      <c r="I31" s="7"/>
    </row>
    <row r="32" spans="1:10" x14ac:dyDescent="0.2">
      <c r="C32" s="2" t="s">
        <v>50</v>
      </c>
      <c r="E32" s="7"/>
      <c r="F32" s="7"/>
      <c r="G32" s="7"/>
      <c r="H32" s="7"/>
      <c r="I32" s="7"/>
    </row>
    <row r="33" spans="1:10" x14ac:dyDescent="0.2">
      <c r="A33" s="2" t="s">
        <v>30</v>
      </c>
      <c r="B33" s="2" t="s">
        <v>51</v>
      </c>
      <c r="C33" s="2" t="s">
        <v>52</v>
      </c>
      <c r="D33" s="2" t="s">
        <v>33</v>
      </c>
      <c r="E33" s="7" t="s">
        <v>53</v>
      </c>
      <c r="F33" s="7" t="s">
        <v>34</v>
      </c>
      <c r="G33" s="7" t="s">
        <v>34</v>
      </c>
      <c r="H33" s="7" t="s">
        <v>34</v>
      </c>
      <c r="I33" s="7" t="s">
        <v>34</v>
      </c>
      <c r="J33" s="2" t="s">
        <v>195</v>
      </c>
    </row>
    <row r="34" spans="1:10" x14ac:dyDescent="0.2">
      <c r="E34" s="7">
        <v>46</v>
      </c>
      <c r="F34" s="7"/>
      <c r="G34" s="7"/>
      <c r="H34" s="7"/>
      <c r="I34" s="7"/>
    </row>
    <row r="35" spans="1:10" x14ac:dyDescent="0.2">
      <c r="A35" s="2" t="s">
        <v>30</v>
      </c>
      <c r="B35" s="2" t="s">
        <v>51</v>
      </c>
      <c r="C35" s="2" t="s">
        <v>54</v>
      </c>
      <c r="D35" s="2" t="s">
        <v>33</v>
      </c>
      <c r="E35" s="7">
        <f>100*0.51</f>
        <v>51</v>
      </c>
      <c r="F35" s="7" t="s">
        <v>34</v>
      </c>
      <c r="G35" s="7">
        <v>78</v>
      </c>
      <c r="H35" s="7">
        <v>36.799999999999997</v>
      </c>
      <c r="I35" s="7">
        <v>5110</v>
      </c>
      <c r="J35" s="2" t="s">
        <v>196</v>
      </c>
    </row>
    <row r="36" spans="1:10" x14ac:dyDescent="0.2">
      <c r="A36" s="2" t="s">
        <v>30</v>
      </c>
      <c r="B36" s="2" t="s">
        <v>55</v>
      </c>
      <c r="C36" s="2" t="s">
        <v>56</v>
      </c>
      <c r="D36" s="2" t="s">
        <v>33</v>
      </c>
      <c r="E36" s="7" t="s">
        <v>57</v>
      </c>
      <c r="F36" s="7" t="s">
        <v>34</v>
      </c>
      <c r="G36" s="7" t="s">
        <v>34</v>
      </c>
      <c r="H36" s="7" t="s">
        <v>34</v>
      </c>
      <c r="I36" s="7" t="s">
        <v>34</v>
      </c>
      <c r="J36" s="2" t="s">
        <v>197</v>
      </c>
    </row>
    <row r="37" spans="1:10" x14ac:dyDescent="0.2">
      <c r="C37" s="2" t="s">
        <v>58</v>
      </c>
      <c r="D37" s="2" t="s">
        <v>59</v>
      </c>
      <c r="E37" s="7" t="s">
        <v>60</v>
      </c>
      <c r="F37" s="7"/>
      <c r="G37" s="7"/>
      <c r="H37" s="7"/>
      <c r="I37" s="7"/>
    </row>
    <row r="38" spans="1:10" x14ac:dyDescent="0.2">
      <c r="E38" s="7"/>
      <c r="F38" s="7"/>
      <c r="G38" s="7"/>
      <c r="H38" s="7"/>
      <c r="I38" s="7"/>
    </row>
    <row r="39" spans="1:10" x14ac:dyDescent="0.2">
      <c r="A39" s="2" t="s">
        <v>30</v>
      </c>
      <c r="B39" s="2" t="s">
        <v>55</v>
      </c>
      <c r="C39" s="2" t="s">
        <v>61</v>
      </c>
      <c r="D39" s="2" t="s">
        <v>33</v>
      </c>
      <c r="E39" s="7">
        <v>34.200000000000003</v>
      </c>
      <c r="F39" s="7">
        <v>10.199999999999999</v>
      </c>
      <c r="G39" s="7">
        <v>78.099999999999994</v>
      </c>
      <c r="H39" s="7">
        <v>29.2</v>
      </c>
      <c r="I39" s="7">
        <v>1834.7</v>
      </c>
      <c r="J39" s="2" t="s">
        <v>198</v>
      </c>
    </row>
    <row r="40" spans="1:10" x14ac:dyDescent="0.2">
      <c r="C40" s="2" t="s">
        <v>62</v>
      </c>
      <c r="E40" s="7">
        <v>37</v>
      </c>
      <c r="F40" s="7">
        <v>7.4</v>
      </c>
      <c r="G40" s="7">
        <v>76.099999999999994</v>
      </c>
      <c r="H40" s="7">
        <v>26.3</v>
      </c>
      <c r="I40" s="7">
        <v>1825.9</v>
      </c>
      <c r="J40" s="2" t="s">
        <v>148</v>
      </c>
    </row>
    <row r="41" spans="1:10" x14ac:dyDescent="0.2">
      <c r="A41" s="2" t="s">
        <v>30</v>
      </c>
      <c r="B41" s="2" t="s">
        <v>55</v>
      </c>
      <c r="C41" s="2" t="s">
        <v>63</v>
      </c>
      <c r="D41" s="2" t="s">
        <v>33</v>
      </c>
      <c r="E41" s="7">
        <f>100*0.41</f>
        <v>41</v>
      </c>
      <c r="F41" s="7" t="s">
        <v>34</v>
      </c>
      <c r="G41" s="7" t="s">
        <v>34</v>
      </c>
      <c r="H41" s="7" t="s">
        <v>34</v>
      </c>
      <c r="I41" s="7" t="s">
        <v>34</v>
      </c>
      <c r="J41" s="2" t="s">
        <v>199</v>
      </c>
    </row>
    <row r="42" spans="1:10" x14ac:dyDescent="0.2">
      <c r="C42" s="2" t="s">
        <v>64</v>
      </c>
      <c r="E42" s="7">
        <f>100*0.427</f>
        <v>42.699999999999996</v>
      </c>
      <c r="F42" s="7"/>
      <c r="G42" s="7"/>
      <c r="H42" s="7"/>
      <c r="I42" s="7"/>
    </row>
    <row r="43" spans="1:10" x14ac:dyDescent="0.2">
      <c r="E43" s="7">
        <f>100*0.454</f>
        <v>45.4</v>
      </c>
      <c r="F43" s="7"/>
      <c r="G43" s="7"/>
      <c r="H43" s="7"/>
      <c r="I43" s="7"/>
    </row>
    <row r="44" spans="1:10" x14ac:dyDescent="0.2">
      <c r="A44" s="2" t="s">
        <v>30</v>
      </c>
      <c r="B44" s="2" t="s">
        <v>55</v>
      </c>
      <c r="C44" s="2" t="s">
        <v>65</v>
      </c>
      <c r="D44" s="2" t="s">
        <v>33</v>
      </c>
      <c r="E44" s="7">
        <f>100*0.331</f>
        <v>33.1</v>
      </c>
      <c r="F44" s="7" t="s">
        <v>34</v>
      </c>
      <c r="G44" s="7">
        <v>72.599999999999994</v>
      </c>
      <c r="H44" s="7" t="s">
        <v>34</v>
      </c>
      <c r="I44" s="7">
        <v>2315.1999999999998</v>
      </c>
      <c r="J44" s="2" t="s">
        <v>200</v>
      </c>
    </row>
    <row r="45" spans="1:10" x14ac:dyDescent="0.2">
      <c r="C45" s="2" t="s">
        <v>66</v>
      </c>
      <c r="E45" s="7"/>
      <c r="F45" s="7"/>
      <c r="G45" s="7"/>
      <c r="H45" s="7"/>
      <c r="I45" s="7"/>
    </row>
    <row r="46" spans="1:10" x14ac:dyDescent="0.2">
      <c r="A46" s="2" t="s">
        <v>30</v>
      </c>
      <c r="B46" s="2" t="s">
        <v>55</v>
      </c>
      <c r="C46" s="2" t="s">
        <v>67</v>
      </c>
      <c r="D46" s="2" t="s">
        <v>33</v>
      </c>
      <c r="E46" s="7">
        <f>100*0.432</f>
        <v>43.2</v>
      </c>
      <c r="F46" s="7" t="s">
        <v>34</v>
      </c>
      <c r="G46" s="7" t="s">
        <v>34</v>
      </c>
      <c r="H46" s="7" t="s">
        <v>34</v>
      </c>
      <c r="I46" s="7" t="s">
        <v>34</v>
      </c>
      <c r="J46" s="2" t="s">
        <v>201</v>
      </c>
    </row>
    <row r="47" spans="1:10" x14ac:dyDescent="0.2">
      <c r="C47" s="2" t="s">
        <v>68</v>
      </c>
      <c r="E47" s="7"/>
      <c r="F47" s="7"/>
      <c r="G47" s="7"/>
      <c r="H47" s="7"/>
      <c r="I47" s="7"/>
    </row>
    <row r="48" spans="1:10" x14ac:dyDescent="0.2">
      <c r="A48" s="2" t="s">
        <v>30</v>
      </c>
      <c r="B48" s="2" t="s">
        <v>55</v>
      </c>
      <c r="C48" s="2" t="s">
        <v>69</v>
      </c>
      <c r="D48" s="2" t="s">
        <v>33</v>
      </c>
      <c r="E48" s="7">
        <v>37.700000000000003</v>
      </c>
      <c r="F48" s="7">
        <v>6.4</v>
      </c>
      <c r="G48" s="7" t="s">
        <v>70</v>
      </c>
      <c r="H48" s="7" t="s">
        <v>70</v>
      </c>
      <c r="I48" s="7">
        <v>1911</v>
      </c>
      <c r="J48" s="2" t="s">
        <v>202</v>
      </c>
    </row>
    <row r="49" spans="1:10" x14ac:dyDescent="0.2">
      <c r="C49" s="2" t="s">
        <v>71</v>
      </c>
      <c r="E49" s="7"/>
      <c r="F49" s="7"/>
      <c r="G49" s="7"/>
      <c r="H49" s="7"/>
      <c r="I49" s="7"/>
    </row>
    <row r="50" spans="1:10" x14ac:dyDescent="0.2">
      <c r="E50" s="7"/>
      <c r="F50" s="7"/>
      <c r="G50" s="7"/>
      <c r="H50" s="7"/>
      <c r="I50" s="7"/>
    </row>
    <row r="51" spans="1:10" x14ac:dyDescent="0.2">
      <c r="A51" s="2" t="s">
        <v>30</v>
      </c>
      <c r="B51" s="2" t="s">
        <v>55</v>
      </c>
      <c r="C51" s="2" t="s">
        <v>72</v>
      </c>
      <c r="D51" s="2" t="s">
        <v>33</v>
      </c>
      <c r="E51" s="7" t="s">
        <v>73</v>
      </c>
      <c r="F51" s="7" t="s">
        <v>74</v>
      </c>
      <c r="G51" s="7" t="s">
        <v>34</v>
      </c>
      <c r="H51" s="7" t="s">
        <v>34</v>
      </c>
      <c r="I51" s="7" t="s">
        <v>34</v>
      </c>
      <c r="J51" s="2" t="s">
        <v>203</v>
      </c>
    </row>
    <row r="52" spans="1:10" x14ac:dyDescent="0.2">
      <c r="C52" s="2" t="s">
        <v>75</v>
      </c>
      <c r="D52" s="2" t="s">
        <v>76</v>
      </c>
      <c r="E52" s="7" t="s">
        <v>77</v>
      </c>
      <c r="F52" s="7" t="s">
        <v>78</v>
      </c>
      <c r="G52" s="7"/>
      <c r="H52" s="7"/>
      <c r="I52" s="7"/>
    </row>
    <row r="53" spans="1:10" x14ac:dyDescent="0.2">
      <c r="A53" s="2" t="s">
        <v>30</v>
      </c>
      <c r="B53" s="2" t="s">
        <v>79</v>
      </c>
      <c r="C53" s="2" t="s">
        <v>80</v>
      </c>
      <c r="D53" s="2" t="s">
        <v>33</v>
      </c>
      <c r="E53" s="7">
        <v>46.4</v>
      </c>
      <c r="F53" s="7" t="s">
        <v>34</v>
      </c>
      <c r="G53" s="7" t="s">
        <v>34</v>
      </c>
      <c r="H53" s="7" t="s">
        <v>34</v>
      </c>
      <c r="I53" s="7">
        <v>2031</v>
      </c>
      <c r="J53" s="2" t="s">
        <v>204</v>
      </c>
    </row>
    <row r="54" spans="1:10" x14ac:dyDescent="0.2">
      <c r="C54" s="2" t="s">
        <v>81</v>
      </c>
      <c r="E54" s="7">
        <f>100*0.602</f>
        <v>60.199999999999996</v>
      </c>
      <c r="F54" s="7"/>
      <c r="G54" s="7"/>
      <c r="H54" s="7"/>
      <c r="I54" s="7"/>
    </row>
    <row r="55" spans="1:10" x14ac:dyDescent="0.2">
      <c r="C55" s="2" t="s">
        <v>82</v>
      </c>
      <c r="E55" s="7"/>
      <c r="F55" s="7"/>
      <c r="G55" s="7"/>
      <c r="H55" s="7"/>
      <c r="I55" s="7"/>
    </row>
    <row r="56" spans="1:10" x14ac:dyDescent="0.2">
      <c r="A56" s="2" t="s">
        <v>30</v>
      </c>
      <c r="B56" s="2" t="s">
        <v>83</v>
      </c>
      <c r="C56" s="2" t="s">
        <v>84</v>
      </c>
      <c r="D56" s="2" t="s">
        <v>33</v>
      </c>
      <c r="E56" s="7">
        <f>100*0.467</f>
        <v>46.7</v>
      </c>
      <c r="F56" s="7" t="s">
        <v>34</v>
      </c>
      <c r="G56" s="7" t="s">
        <v>34</v>
      </c>
      <c r="H56" s="7" t="s">
        <v>34</v>
      </c>
      <c r="I56" s="7" t="s">
        <v>34</v>
      </c>
      <c r="J56" s="2" t="s">
        <v>205</v>
      </c>
    </row>
    <row r="57" spans="1:10" x14ac:dyDescent="0.2">
      <c r="C57" s="2" t="s">
        <v>85</v>
      </c>
      <c r="E57" s="7">
        <f>100*0.448</f>
        <v>44.800000000000004</v>
      </c>
      <c r="F57" s="7"/>
      <c r="G57" s="7"/>
      <c r="H57" s="7"/>
      <c r="I57" s="7"/>
    </row>
    <row r="58" spans="1:10" x14ac:dyDescent="0.2">
      <c r="E58" s="7"/>
      <c r="F58" s="7"/>
      <c r="G58" s="7"/>
      <c r="H58" s="7"/>
      <c r="I58" s="7"/>
    </row>
    <row r="59" spans="1:10" x14ac:dyDescent="0.2">
      <c r="A59" s="2" t="s">
        <v>30</v>
      </c>
      <c r="B59" s="2" t="s">
        <v>86</v>
      </c>
      <c r="C59" s="2" t="s">
        <v>87</v>
      </c>
      <c r="D59" s="2" t="s">
        <v>33</v>
      </c>
      <c r="E59" s="7">
        <f>100*0.467</f>
        <v>46.7</v>
      </c>
      <c r="F59" s="7" t="s">
        <v>34</v>
      </c>
      <c r="G59" s="7" t="s">
        <v>34</v>
      </c>
      <c r="H59" s="7" t="s">
        <v>34</v>
      </c>
      <c r="I59" s="7" t="s">
        <v>34</v>
      </c>
      <c r="J59" s="2" t="s">
        <v>206</v>
      </c>
    </row>
    <row r="60" spans="1:10" x14ac:dyDescent="0.2">
      <c r="C60" s="2" t="s">
        <v>85</v>
      </c>
      <c r="E60" s="7"/>
      <c r="F60" s="7"/>
      <c r="G60" s="7"/>
      <c r="H60" s="7"/>
      <c r="I60" s="7"/>
    </row>
    <row r="61" spans="1:10" x14ac:dyDescent="0.2">
      <c r="A61" s="2" t="s">
        <v>30</v>
      </c>
      <c r="B61" s="2" t="s">
        <v>88</v>
      </c>
      <c r="C61" s="2" t="s">
        <v>48</v>
      </c>
      <c r="D61" s="2" t="s">
        <v>33</v>
      </c>
      <c r="E61" s="7">
        <v>45.7</v>
      </c>
      <c r="F61" s="7" t="s">
        <v>34</v>
      </c>
      <c r="G61" s="7" t="s">
        <v>34</v>
      </c>
      <c r="H61" s="7" t="s">
        <v>34</v>
      </c>
      <c r="I61" s="7" t="s">
        <v>34</v>
      </c>
      <c r="J61" s="2" t="s">
        <v>207</v>
      </c>
    </row>
    <row r="62" spans="1:10" x14ac:dyDescent="0.2">
      <c r="C62" s="2" t="s">
        <v>89</v>
      </c>
      <c r="E62" s="7">
        <v>44.6</v>
      </c>
      <c r="F62" s="7"/>
      <c r="G62" s="7"/>
      <c r="H62" s="7"/>
      <c r="I62" s="7"/>
    </row>
    <row r="63" spans="1:10" x14ac:dyDescent="0.2">
      <c r="C63" s="2" t="s">
        <v>90</v>
      </c>
      <c r="E63" s="7"/>
      <c r="F63" s="7"/>
      <c r="G63" s="7"/>
      <c r="H63" s="7"/>
      <c r="I63" s="7"/>
    </row>
    <row r="64" spans="1:10" x14ac:dyDescent="0.2">
      <c r="A64" s="2" t="s">
        <v>30</v>
      </c>
      <c r="B64" s="2" t="s">
        <v>88</v>
      </c>
      <c r="C64" s="2" t="s">
        <v>91</v>
      </c>
      <c r="D64" s="2" t="s">
        <v>33</v>
      </c>
      <c r="E64" s="7">
        <v>50</v>
      </c>
      <c r="F64" s="7" t="s">
        <v>34</v>
      </c>
      <c r="G64" s="7" t="s">
        <v>34</v>
      </c>
      <c r="H64" s="7" t="s">
        <v>34</v>
      </c>
      <c r="I64" s="7" t="s">
        <v>34</v>
      </c>
      <c r="J64" s="2" t="s">
        <v>208</v>
      </c>
    </row>
    <row r="65" spans="5:9" x14ac:dyDescent="0.2">
      <c r="E65" s="7"/>
      <c r="F65" s="7"/>
      <c r="G65" s="7"/>
      <c r="H65" s="7"/>
      <c r="I65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zoomScale="85" zoomScaleNormal="85" workbookViewId="0">
      <selection activeCell="E105" sqref="E105"/>
    </sheetView>
  </sheetViews>
  <sheetFormatPr defaultRowHeight="14.25" x14ac:dyDescent="0.2"/>
  <cols>
    <col min="1" max="1" width="6.75" bestFit="1" customWidth="1"/>
    <col min="2" max="2" width="10.25" bestFit="1" customWidth="1"/>
    <col min="3" max="3" width="89" bestFit="1" customWidth="1"/>
    <col min="4" max="4" width="21.75" bestFit="1" customWidth="1"/>
    <col min="5" max="5" width="26.5" bestFit="1" customWidth="1"/>
    <col min="6" max="6" width="35.5" bestFit="1" customWidth="1"/>
    <col min="7" max="7" width="12.25" bestFit="1" customWidth="1"/>
    <col min="8" max="8" width="16.5" bestFit="1" customWidth="1"/>
    <col min="9" max="9" width="14.875" bestFit="1" customWidth="1"/>
    <col min="10" max="10" width="25.625" bestFit="1" customWidth="1"/>
  </cols>
  <sheetData>
    <row r="1" spans="1:10" ht="15" x14ac:dyDescent="0.25">
      <c r="A1" s="6" t="s">
        <v>24</v>
      </c>
      <c r="B1" s="6" t="s">
        <v>25</v>
      </c>
      <c r="C1" s="6" t="s">
        <v>26</v>
      </c>
      <c r="D1" s="6" t="s">
        <v>27</v>
      </c>
      <c r="E1" s="6" t="s">
        <v>12</v>
      </c>
      <c r="F1" s="6" t="s">
        <v>28</v>
      </c>
      <c r="G1" s="6" t="s">
        <v>14</v>
      </c>
      <c r="H1" s="6" t="s">
        <v>21</v>
      </c>
      <c r="I1" s="6" t="s">
        <v>15</v>
      </c>
      <c r="J1" s="6" t="s">
        <v>29</v>
      </c>
    </row>
    <row r="2" spans="1:10" x14ac:dyDescent="0.2">
      <c r="A2" t="s">
        <v>92</v>
      </c>
      <c r="B2" t="s">
        <v>93</v>
      </c>
      <c r="C2" t="s">
        <v>94</v>
      </c>
      <c r="D2" t="s">
        <v>33</v>
      </c>
      <c r="E2" s="9">
        <v>33.4</v>
      </c>
      <c r="F2" s="9" t="s">
        <v>34</v>
      </c>
      <c r="G2" s="9" t="s">
        <v>34</v>
      </c>
      <c r="H2" s="9" t="s">
        <v>34</v>
      </c>
      <c r="I2" s="9" t="s">
        <v>34</v>
      </c>
      <c r="J2" t="s">
        <v>210</v>
      </c>
    </row>
    <row r="3" spans="1:10" x14ac:dyDescent="0.2">
      <c r="C3" t="s">
        <v>95</v>
      </c>
      <c r="E3" s="9"/>
      <c r="F3" s="9"/>
      <c r="G3" s="9"/>
      <c r="H3" s="9"/>
      <c r="I3" s="9"/>
    </row>
    <row r="4" spans="1:10" x14ac:dyDescent="0.2">
      <c r="A4" t="s">
        <v>92</v>
      </c>
      <c r="B4" t="s">
        <v>93</v>
      </c>
      <c r="C4" t="s">
        <v>94</v>
      </c>
      <c r="D4" t="s">
        <v>33</v>
      </c>
      <c r="E4" s="9">
        <v>37</v>
      </c>
      <c r="F4" s="10">
        <v>7.9</v>
      </c>
      <c r="G4" s="9">
        <v>48.2</v>
      </c>
      <c r="H4" s="9">
        <v>15.5</v>
      </c>
      <c r="I4" s="9">
        <v>1604</v>
      </c>
      <c r="J4" t="s">
        <v>96</v>
      </c>
    </row>
    <row r="5" spans="1:10" x14ac:dyDescent="0.2">
      <c r="C5" t="s">
        <v>95</v>
      </c>
      <c r="E5" s="9"/>
      <c r="F5" s="9"/>
      <c r="G5" s="9"/>
      <c r="H5" s="9"/>
      <c r="I5" s="9"/>
    </row>
    <row r="6" spans="1:10" x14ac:dyDescent="0.2">
      <c r="A6" t="s">
        <v>92</v>
      </c>
      <c r="B6" t="s">
        <v>93</v>
      </c>
      <c r="C6" t="s">
        <v>97</v>
      </c>
      <c r="D6" t="s">
        <v>33</v>
      </c>
      <c r="E6" s="9">
        <v>30.5</v>
      </c>
      <c r="F6" s="9">
        <v>7.5</v>
      </c>
      <c r="G6" s="9">
        <v>74.8</v>
      </c>
      <c r="H6" s="9">
        <v>57.3</v>
      </c>
      <c r="I6" s="9">
        <v>2026.1</v>
      </c>
      <c r="J6" t="s">
        <v>98</v>
      </c>
    </row>
    <row r="7" spans="1:10" x14ac:dyDescent="0.2">
      <c r="C7" t="s">
        <v>99</v>
      </c>
      <c r="E7" s="9"/>
      <c r="F7" s="9"/>
      <c r="G7" s="9">
        <v>64.099999999999994</v>
      </c>
      <c r="H7" s="9">
        <v>41.6</v>
      </c>
      <c r="I7" s="9">
        <v>1586.1</v>
      </c>
    </row>
    <row r="8" spans="1:10" x14ac:dyDescent="0.2">
      <c r="A8" t="s">
        <v>92</v>
      </c>
      <c r="B8" t="s">
        <v>93</v>
      </c>
      <c r="C8" t="s">
        <v>100</v>
      </c>
      <c r="D8" t="s">
        <v>33</v>
      </c>
      <c r="E8" s="10">
        <v>39.200000000000003</v>
      </c>
      <c r="F8" s="10">
        <v>6.3</v>
      </c>
      <c r="G8" s="9" t="s">
        <v>34</v>
      </c>
      <c r="H8" s="9" t="s">
        <v>34</v>
      </c>
      <c r="I8" s="9" t="s">
        <v>34</v>
      </c>
      <c r="J8" t="s">
        <v>101</v>
      </c>
    </row>
    <row r="9" spans="1:10" x14ac:dyDescent="0.2">
      <c r="C9" t="s">
        <v>102</v>
      </c>
      <c r="E9" s="9"/>
      <c r="F9" s="9"/>
      <c r="G9" s="9"/>
      <c r="H9" s="9"/>
      <c r="I9" s="9"/>
    </row>
    <row r="10" spans="1:10" x14ac:dyDescent="0.2">
      <c r="A10" t="s">
        <v>92</v>
      </c>
      <c r="B10" t="s">
        <v>93</v>
      </c>
      <c r="C10" t="s">
        <v>103</v>
      </c>
      <c r="D10" t="s">
        <v>33</v>
      </c>
      <c r="E10" s="10">
        <v>42.9</v>
      </c>
      <c r="F10" s="10" t="s">
        <v>104</v>
      </c>
      <c r="G10" s="9" t="s">
        <v>34</v>
      </c>
      <c r="H10" s="9" t="s">
        <v>34</v>
      </c>
      <c r="I10" s="9" t="s">
        <v>34</v>
      </c>
      <c r="J10" t="s">
        <v>211</v>
      </c>
    </row>
    <row r="11" spans="1:10" x14ac:dyDescent="0.2">
      <c r="C11" t="s">
        <v>102</v>
      </c>
      <c r="E11" s="9"/>
      <c r="F11" s="9"/>
      <c r="G11" s="9"/>
      <c r="H11" s="9"/>
      <c r="I11" s="9"/>
    </row>
    <row r="12" spans="1:10" x14ac:dyDescent="0.2">
      <c r="A12" t="s">
        <v>92</v>
      </c>
      <c r="B12" t="s">
        <v>93</v>
      </c>
      <c r="C12" t="s">
        <v>100</v>
      </c>
      <c r="D12" t="s">
        <v>33</v>
      </c>
      <c r="E12" s="10">
        <v>42.7</v>
      </c>
      <c r="F12" s="9" t="s">
        <v>105</v>
      </c>
      <c r="G12" s="9" t="s">
        <v>34</v>
      </c>
      <c r="H12" s="9" t="s">
        <v>34</v>
      </c>
      <c r="I12" s="9" t="s">
        <v>34</v>
      </c>
      <c r="J12" t="s">
        <v>212</v>
      </c>
    </row>
    <row r="13" spans="1:10" x14ac:dyDescent="0.2">
      <c r="C13" t="s">
        <v>106</v>
      </c>
      <c r="E13" s="9"/>
      <c r="F13" s="9">
        <v>0</v>
      </c>
      <c r="G13" s="9"/>
      <c r="H13" s="9"/>
      <c r="I13" s="9"/>
    </row>
    <row r="14" spans="1:10" x14ac:dyDescent="0.2">
      <c r="A14" t="s">
        <v>92</v>
      </c>
      <c r="B14" t="s">
        <v>93</v>
      </c>
      <c r="C14" t="s">
        <v>107</v>
      </c>
      <c r="D14" t="s">
        <v>33</v>
      </c>
      <c r="E14" s="9" t="s">
        <v>108</v>
      </c>
      <c r="F14" s="9" t="s">
        <v>109</v>
      </c>
      <c r="G14" s="9" t="s">
        <v>34</v>
      </c>
      <c r="H14" s="9" t="s">
        <v>34</v>
      </c>
      <c r="I14" s="9" t="s">
        <v>34</v>
      </c>
      <c r="J14" t="s">
        <v>213</v>
      </c>
    </row>
    <row r="15" spans="1:10" x14ac:dyDescent="0.2">
      <c r="C15" t="s">
        <v>110</v>
      </c>
      <c r="E15" s="9"/>
      <c r="F15" s="9"/>
      <c r="G15" s="9"/>
      <c r="H15" s="9"/>
      <c r="I15" s="9"/>
    </row>
    <row r="16" spans="1:10" x14ac:dyDescent="0.2">
      <c r="A16" t="s">
        <v>92</v>
      </c>
      <c r="B16" t="s">
        <v>93</v>
      </c>
      <c r="C16" t="s">
        <v>94</v>
      </c>
      <c r="D16" t="s">
        <v>33</v>
      </c>
      <c r="E16" s="9" t="s">
        <v>111</v>
      </c>
      <c r="F16" s="9" t="s">
        <v>112</v>
      </c>
      <c r="G16" s="9" t="s">
        <v>34</v>
      </c>
      <c r="H16" s="9" t="s">
        <v>34</v>
      </c>
      <c r="I16" s="9" t="s">
        <v>34</v>
      </c>
      <c r="J16" t="s">
        <v>213</v>
      </c>
    </row>
    <row r="17" spans="1:10" x14ac:dyDescent="0.2">
      <c r="C17" t="s">
        <v>110</v>
      </c>
      <c r="E17" s="9"/>
      <c r="F17" s="9"/>
      <c r="G17" s="9"/>
      <c r="H17" s="9"/>
      <c r="I17" s="9"/>
    </row>
    <row r="18" spans="1:10" x14ac:dyDescent="0.2">
      <c r="A18" t="s">
        <v>92</v>
      </c>
      <c r="B18" t="s">
        <v>93</v>
      </c>
      <c r="C18" t="s">
        <v>97</v>
      </c>
      <c r="D18" t="s">
        <v>33</v>
      </c>
      <c r="E18" s="9" t="s">
        <v>113</v>
      </c>
      <c r="F18" s="9" t="s">
        <v>114</v>
      </c>
      <c r="G18" s="9" t="s">
        <v>34</v>
      </c>
      <c r="H18" s="9" t="s">
        <v>34</v>
      </c>
      <c r="I18" s="9" t="s">
        <v>115</v>
      </c>
      <c r="J18" t="s">
        <v>214</v>
      </c>
    </row>
    <row r="19" spans="1:10" x14ac:dyDescent="0.2">
      <c r="C19" t="s">
        <v>99</v>
      </c>
      <c r="E19" s="9"/>
      <c r="F19" s="9"/>
      <c r="G19" s="9"/>
      <c r="H19" s="9"/>
      <c r="I19" s="9"/>
    </row>
    <row r="20" spans="1:10" x14ac:dyDescent="0.2">
      <c r="A20" t="s">
        <v>92</v>
      </c>
      <c r="B20" t="s">
        <v>93</v>
      </c>
      <c r="C20" t="s">
        <v>116</v>
      </c>
      <c r="D20" t="s">
        <v>33</v>
      </c>
      <c r="E20" s="9">
        <v>32</v>
      </c>
      <c r="F20" s="9">
        <v>6.2</v>
      </c>
      <c r="G20" s="9" t="s">
        <v>34</v>
      </c>
      <c r="H20" s="9" t="s">
        <v>34</v>
      </c>
      <c r="I20" s="9" t="s">
        <v>34</v>
      </c>
      <c r="J20" t="s">
        <v>118</v>
      </c>
    </row>
    <row r="21" spans="1:10" x14ac:dyDescent="0.2">
      <c r="C21" t="s">
        <v>117</v>
      </c>
      <c r="E21" s="9"/>
      <c r="F21" s="9"/>
      <c r="G21" s="9"/>
      <c r="H21" s="9"/>
      <c r="I21" s="9"/>
    </row>
    <row r="22" spans="1:10" x14ac:dyDescent="0.2">
      <c r="A22" t="s">
        <v>92</v>
      </c>
      <c r="B22" t="s">
        <v>93</v>
      </c>
      <c r="C22" t="s">
        <v>116</v>
      </c>
      <c r="D22" t="s">
        <v>33</v>
      </c>
      <c r="E22" s="9">
        <v>33.1</v>
      </c>
      <c r="F22" s="9">
        <v>5.2</v>
      </c>
      <c r="G22" s="9" t="s">
        <v>34</v>
      </c>
      <c r="H22" s="9" t="s">
        <v>34</v>
      </c>
      <c r="I22" s="9" t="s">
        <v>34</v>
      </c>
      <c r="J22" t="s">
        <v>215</v>
      </c>
    </row>
    <row r="23" spans="1:10" x14ac:dyDescent="0.2">
      <c r="C23" t="s">
        <v>117</v>
      </c>
      <c r="E23" s="9"/>
      <c r="F23" s="9"/>
      <c r="G23" s="9"/>
      <c r="H23" s="9"/>
      <c r="I23" s="9"/>
    </row>
    <row r="24" spans="1:10" x14ac:dyDescent="0.2">
      <c r="D24" t="s">
        <v>119</v>
      </c>
      <c r="E24" s="9">
        <v>33.9</v>
      </c>
      <c r="F24" s="9">
        <v>4.3</v>
      </c>
      <c r="G24" s="9" t="s">
        <v>34</v>
      </c>
      <c r="H24" s="9" t="s">
        <v>34</v>
      </c>
      <c r="I24" s="9" t="s">
        <v>34</v>
      </c>
    </row>
    <row r="25" spans="1:10" x14ac:dyDescent="0.2">
      <c r="A25" t="s">
        <v>92</v>
      </c>
      <c r="B25" t="s">
        <v>93</v>
      </c>
      <c r="C25" t="s">
        <v>120</v>
      </c>
      <c r="D25" t="s">
        <v>33</v>
      </c>
      <c r="E25" s="9">
        <v>34.1</v>
      </c>
      <c r="F25" s="9">
        <v>5</v>
      </c>
      <c r="G25" s="9" t="s">
        <v>34</v>
      </c>
      <c r="H25" s="9" t="s">
        <v>34</v>
      </c>
      <c r="I25" s="9" t="s">
        <v>34</v>
      </c>
      <c r="J25" t="s">
        <v>216</v>
      </c>
    </row>
    <row r="26" spans="1:10" x14ac:dyDescent="0.2">
      <c r="C26" t="s">
        <v>121</v>
      </c>
      <c r="E26" s="9"/>
      <c r="F26" s="9"/>
      <c r="G26" s="9"/>
      <c r="H26" s="9"/>
      <c r="I26" s="9"/>
    </row>
    <row r="27" spans="1:10" x14ac:dyDescent="0.2">
      <c r="A27" t="s">
        <v>92</v>
      </c>
      <c r="B27" t="s">
        <v>93</v>
      </c>
      <c r="C27" t="s">
        <v>122</v>
      </c>
      <c r="D27" t="s">
        <v>33</v>
      </c>
      <c r="E27" s="9" t="s">
        <v>123</v>
      </c>
      <c r="F27" s="9" t="s">
        <v>124</v>
      </c>
      <c r="G27" s="9" t="s">
        <v>34</v>
      </c>
      <c r="H27" s="9" t="s">
        <v>34</v>
      </c>
      <c r="I27" s="9" t="s">
        <v>34</v>
      </c>
      <c r="J27" t="s">
        <v>217</v>
      </c>
    </row>
    <row r="28" spans="1:10" x14ac:dyDescent="0.2">
      <c r="C28" t="s">
        <v>121</v>
      </c>
      <c r="E28" s="9"/>
      <c r="F28" s="9"/>
      <c r="G28" s="9"/>
      <c r="H28" s="9"/>
      <c r="I28" s="9"/>
    </row>
    <row r="29" spans="1:10" x14ac:dyDescent="0.2">
      <c r="A29" t="s">
        <v>92</v>
      </c>
      <c r="B29" t="s">
        <v>93</v>
      </c>
      <c r="C29" t="s">
        <v>34</v>
      </c>
      <c r="D29" t="s">
        <v>33</v>
      </c>
      <c r="E29" s="9" t="s">
        <v>34</v>
      </c>
      <c r="F29" s="9" t="s">
        <v>34</v>
      </c>
      <c r="G29" s="9" t="s">
        <v>34</v>
      </c>
      <c r="H29" s="9" t="s">
        <v>34</v>
      </c>
      <c r="I29" s="9" t="s">
        <v>34</v>
      </c>
      <c r="J29" t="s">
        <v>218</v>
      </c>
    </row>
    <row r="30" spans="1:10" x14ac:dyDescent="0.2">
      <c r="A30" t="s">
        <v>92</v>
      </c>
      <c r="B30" t="s">
        <v>93</v>
      </c>
      <c r="C30" t="s">
        <v>34</v>
      </c>
      <c r="D30" t="s">
        <v>33</v>
      </c>
      <c r="E30" s="9" t="s">
        <v>34</v>
      </c>
      <c r="F30" s="9" t="s">
        <v>34</v>
      </c>
      <c r="G30" s="9" t="s">
        <v>34</v>
      </c>
      <c r="H30" s="9" t="s">
        <v>34</v>
      </c>
      <c r="I30" s="9" t="s">
        <v>34</v>
      </c>
      <c r="J30" t="s">
        <v>219</v>
      </c>
    </row>
    <row r="31" spans="1:10" x14ac:dyDescent="0.2">
      <c r="A31" t="s">
        <v>92</v>
      </c>
      <c r="B31" t="s">
        <v>93</v>
      </c>
      <c r="C31" t="s">
        <v>34</v>
      </c>
      <c r="D31" t="s">
        <v>33</v>
      </c>
      <c r="E31" s="9">
        <v>38.799999999999997</v>
      </c>
      <c r="F31" s="9">
        <v>7.2</v>
      </c>
      <c r="G31" s="9" t="s">
        <v>34</v>
      </c>
      <c r="H31" s="9" t="s">
        <v>34</v>
      </c>
      <c r="I31" s="9" t="s">
        <v>34</v>
      </c>
      <c r="J31" t="s">
        <v>220</v>
      </c>
    </row>
    <row r="32" spans="1:10" x14ac:dyDescent="0.2">
      <c r="E32" s="9">
        <v>39.4</v>
      </c>
      <c r="F32" s="9">
        <v>6.6</v>
      </c>
      <c r="G32" s="9"/>
      <c r="H32" s="9"/>
      <c r="I32" s="9"/>
    </row>
    <row r="33" spans="1:10" x14ac:dyDescent="0.2">
      <c r="E33" s="9">
        <v>40</v>
      </c>
      <c r="F33" s="9">
        <v>6</v>
      </c>
      <c r="G33" s="9"/>
      <c r="H33" s="9"/>
      <c r="I33" s="9"/>
    </row>
    <row r="34" spans="1:10" x14ac:dyDescent="0.2">
      <c r="A34" t="s">
        <v>92</v>
      </c>
      <c r="B34" t="s">
        <v>93</v>
      </c>
      <c r="C34" t="s">
        <v>103</v>
      </c>
      <c r="D34" t="s">
        <v>33</v>
      </c>
      <c r="E34" s="9">
        <v>42.8</v>
      </c>
      <c r="F34" s="9">
        <v>2.8</v>
      </c>
      <c r="G34" s="9" t="s">
        <v>34</v>
      </c>
      <c r="H34" s="9" t="s">
        <v>34</v>
      </c>
      <c r="I34" s="9" t="s">
        <v>34</v>
      </c>
      <c r="J34" t="s">
        <v>221</v>
      </c>
    </row>
    <row r="35" spans="1:10" x14ac:dyDescent="0.2">
      <c r="C35" t="s">
        <v>125</v>
      </c>
      <c r="E35" s="9">
        <v>42.3</v>
      </c>
      <c r="F35" s="9">
        <v>3.3</v>
      </c>
      <c r="G35" s="9"/>
      <c r="H35" s="9"/>
      <c r="I35" s="9"/>
    </row>
    <row r="36" spans="1:10" x14ac:dyDescent="0.2">
      <c r="E36" s="9">
        <v>43.8</v>
      </c>
      <c r="F36" s="9">
        <v>1.8</v>
      </c>
      <c r="G36" s="9"/>
      <c r="H36" s="9"/>
      <c r="I36" s="9"/>
    </row>
    <row r="37" spans="1:10" x14ac:dyDescent="0.2">
      <c r="E37" s="9">
        <v>43.3</v>
      </c>
      <c r="F37" s="9">
        <v>2.2999999999999998</v>
      </c>
      <c r="G37" s="9"/>
      <c r="H37" s="9"/>
      <c r="I37" s="9"/>
    </row>
    <row r="38" spans="1:10" x14ac:dyDescent="0.2">
      <c r="A38" t="s">
        <v>92</v>
      </c>
      <c r="B38" t="s">
        <v>93</v>
      </c>
      <c r="C38" t="s">
        <v>126</v>
      </c>
      <c r="D38" t="s">
        <v>33</v>
      </c>
      <c r="E38" s="9">
        <v>32.9</v>
      </c>
      <c r="F38" s="9">
        <v>7.2</v>
      </c>
      <c r="G38" s="9" t="s">
        <v>34</v>
      </c>
      <c r="H38" s="9" t="s">
        <v>34</v>
      </c>
      <c r="I38" s="9" t="s">
        <v>34</v>
      </c>
      <c r="J38" t="s">
        <v>222</v>
      </c>
    </row>
    <row r="39" spans="1:10" x14ac:dyDescent="0.2">
      <c r="C39" t="s">
        <v>127</v>
      </c>
      <c r="E39" s="9">
        <v>36.6</v>
      </c>
      <c r="F39" s="9">
        <v>3.5</v>
      </c>
      <c r="G39" s="9"/>
      <c r="H39" s="9"/>
      <c r="I39" s="9"/>
    </row>
    <row r="40" spans="1:10" x14ac:dyDescent="0.2">
      <c r="A40" t="s">
        <v>92</v>
      </c>
      <c r="B40" t="s">
        <v>93</v>
      </c>
      <c r="C40" t="s">
        <v>128</v>
      </c>
      <c r="D40" t="s">
        <v>33</v>
      </c>
      <c r="E40" s="9">
        <v>31.2</v>
      </c>
      <c r="F40" s="9">
        <v>8.1</v>
      </c>
      <c r="G40" s="9" t="s">
        <v>34</v>
      </c>
      <c r="H40" s="9" t="s">
        <v>34</v>
      </c>
      <c r="I40" s="9" t="s">
        <v>34</v>
      </c>
      <c r="J40" t="s">
        <v>223</v>
      </c>
    </row>
    <row r="41" spans="1:10" x14ac:dyDescent="0.2">
      <c r="C41" t="s">
        <v>129</v>
      </c>
      <c r="E41" s="9">
        <v>33.5</v>
      </c>
      <c r="F41" s="9">
        <v>5.8</v>
      </c>
      <c r="G41" s="9"/>
      <c r="H41" s="9"/>
      <c r="I41" s="9"/>
    </row>
    <row r="42" spans="1:10" x14ac:dyDescent="0.2">
      <c r="E42" s="9">
        <v>34</v>
      </c>
      <c r="F42" s="9">
        <v>5.3</v>
      </c>
      <c r="G42" s="9"/>
      <c r="H42" s="9"/>
      <c r="I42" s="9"/>
    </row>
    <row r="43" spans="1:10" x14ac:dyDescent="0.2">
      <c r="A43" t="s">
        <v>92</v>
      </c>
      <c r="B43" t="s">
        <v>93</v>
      </c>
      <c r="C43" t="s">
        <v>97</v>
      </c>
      <c r="D43" t="s">
        <v>33</v>
      </c>
      <c r="E43" s="9">
        <v>31.6</v>
      </c>
      <c r="F43" s="9">
        <v>6.9</v>
      </c>
      <c r="G43" s="9" t="s">
        <v>34</v>
      </c>
      <c r="H43" s="9" t="s">
        <v>34</v>
      </c>
      <c r="I43" s="9" t="s">
        <v>115</v>
      </c>
      <c r="J43" t="s">
        <v>224</v>
      </c>
    </row>
    <row r="44" spans="1:10" x14ac:dyDescent="0.2">
      <c r="C44" t="s">
        <v>130</v>
      </c>
      <c r="E44" s="9">
        <v>32.200000000000003</v>
      </c>
      <c r="F44" s="9">
        <v>6.3</v>
      </c>
      <c r="G44" s="9"/>
      <c r="H44" s="9"/>
      <c r="I44" s="9"/>
    </row>
    <row r="45" spans="1:10" x14ac:dyDescent="0.2">
      <c r="C45" t="s">
        <v>131</v>
      </c>
      <c r="E45" s="9">
        <v>32.4</v>
      </c>
      <c r="F45" s="9">
        <v>6.1</v>
      </c>
      <c r="G45" s="9"/>
      <c r="H45" s="9"/>
      <c r="I45" s="9"/>
    </row>
    <row r="46" spans="1:10" x14ac:dyDescent="0.2">
      <c r="E46" s="9">
        <v>32.700000000000003</v>
      </c>
      <c r="F46" s="9">
        <v>5.8</v>
      </c>
      <c r="G46" s="9"/>
      <c r="H46" s="9"/>
      <c r="I46" s="9"/>
    </row>
    <row r="47" spans="1:10" x14ac:dyDescent="0.2">
      <c r="A47" t="s">
        <v>92</v>
      </c>
      <c r="B47" t="s">
        <v>93</v>
      </c>
      <c r="C47" t="s">
        <v>122</v>
      </c>
      <c r="D47" t="s">
        <v>132</v>
      </c>
      <c r="E47" s="9">
        <v>26.9</v>
      </c>
      <c r="F47" s="9">
        <v>6.6</v>
      </c>
      <c r="G47" s="9" t="s">
        <v>34</v>
      </c>
      <c r="H47" s="9" t="s">
        <v>34</v>
      </c>
      <c r="I47" s="9" t="s">
        <v>34</v>
      </c>
      <c r="J47" t="s">
        <v>225</v>
      </c>
    </row>
    <row r="48" spans="1:10" x14ac:dyDescent="0.2">
      <c r="E48" s="9">
        <v>26.5</v>
      </c>
      <c r="F48" s="9">
        <v>7</v>
      </c>
      <c r="G48" s="9"/>
      <c r="H48" s="9"/>
      <c r="I48" s="9"/>
    </row>
    <row r="49" spans="1:10" x14ac:dyDescent="0.2">
      <c r="E49" s="9">
        <v>26.1</v>
      </c>
      <c r="F49" s="9">
        <v>7.4</v>
      </c>
      <c r="G49" s="9"/>
      <c r="H49" s="9"/>
      <c r="I49" s="9"/>
    </row>
    <row r="50" spans="1:10" x14ac:dyDescent="0.2">
      <c r="A50" t="s">
        <v>92</v>
      </c>
      <c r="B50" t="s">
        <v>93</v>
      </c>
      <c r="C50" t="s">
        <v>94</v>
      </c>
      <c r="D50" t="s">
        <v>33</v>
      </c>
      <c r="E50" s="9">
        <v>32.299999999999997</v>
      </c>
      <c r="F50" s="9">
        <v>5.8</v>
      </c>
      <c r="G50" s="9" t="s">
        <v>34</v>
      </c>
      <c r="H50" s="9" t="s">
        <v>133</v>
      </c>
      <c r="I50" s="11" t="s">
        <v>134</v>
      </c>
      <c r="J50" t="s">
        <v>226</v>
      </c>
    </row>
    <row r="51" spans="1:10" x14ac:dyDescent="0.2">
      <c r="C51" t="s">
        <v>135</v>
      </c>
      <c r="D51" t="s">
        <v>136</v>
      </c>
      <c r="E51" s="9" t="s">
        <v>137</v>
      </c>
      <c r="F51" s="9" t="s">
        <v>138</v>
      </c>
      <c r="G51" s="9" t="s">
        <v>34</v>
      </c>
      <c r="H51" s="9">
        <v>18.600000000000001</v>
      </c>
      <c r="I51" s="9"/>
    </row>
    <row r="52" spans="1:10" x14ac:dyDescent="0.2">
      <c r="D52" t="s">
        <v>139</v>
      </c>
      <c r="E52" s="9" t="s">
        <v>34</v>
      </c>
      <c r="F52" s="9" t="s">
        <v>34</v>
      </c>
      <c r="G52" s="9" t="s">
        <v>34</v>
      </c>
      <c r="H52" s="9" t="s">
        <v>140</v>
      </c>
      <c r="I52" s="9"/>
    </row>
    <row r="53" spans="1:10" x14ac:dyDescent="0.2">
      <c r="D53" t="s">
        <v>141</v>
      </c>
      <c r="E53" s="9" t="s">
        <v>34</v>
      </c>
      <c r="F53" s="9" t="s">
        <v>34</v>
      </c>
      <c r="G53" s="9" t="s">
        <v>34</v>
      </c>
      <c r="H53" s="9" t="s">
        <v>142</v>
      </c>
      <c r="I53" s="9"/>
    </row>
    <row r="54" spans="1:10" x14ac:dyDescent="0.2">
      <c r="E54" s="9"/>
      <c r="F54" s="9"/>
      <c r="G54" s="9"/>
      <c r="H54" s="9"/>
      <c r="I54" s="9"/>
    </row>
    <row r="55" spans="1:10" x14ac:dyDescent="0.2">
      <c r="E55" s="9"/>
      <c r="F55" s="9"/>
      <c r="G55" s="9"/>
      <c r="H55" s="9"/>
      <c r="I55" s="9"/>
    </row>
    <row r="56" spans="1:10" x14ac:dyDescent="0.2">
      <c r="E56" s="9"/>
      <c r="F56" s="9"/>
      <c r="G56" s="9"/>
      <c r="H56" s="9"/>
      <c r="I56" s="9"/>
    </row>
    <row r="57" spans="1:10" x14ac:dyDescent="0.2">
      <c r="A57" t="s">
        <v>92</v>
      </c>
      <c r="B57" t="s">
        <v>93</v>
      </c>
      <c r="C57" t="s">
        <v>122</v>
      </c>
      <c r="D57" t="s">
        <v>33</v>
      </c>
      <c r="E57" s="9">
        <v>27.9</v>
      </c>
      <c r="F57" s="9">
        <v>5.6</v>
      </c>
      <c r="G57" s="9" t="s">
        <v>34</v>
      </c>
      <c r="H57" s="9" t="s">
        <v>34</v>
      </c>
      <c r="I57" s="9" t="s">
        <v>34</v>
      </c>
      <c r="J57" t="s">
        <v>227</v>
      </c>
    </row>
    <row r="58" spans="1:10" x14ac:dyDescent="0.2">
      <c r="C58" t="s">
        <v>143</v>
      </c>
      <c r="D58" t="s">
        <v>136</v>
      </c>
      <c r="E58" s="9">
        <v>27.6</v>
      </c>
      <c r="F58" s="9">
        <v>5.9</v>
      </c>
      <c r="G58" s="9"/>
      <c r="H58" s="9"/>
      <c r="I58" s="9"/>
    </row>
    <row r="59" spans="1:10" x14ac:dyDescent="0.2">
      <c r="D59" t="s">
        <v>144</v>
      </c>
      <c r="E59" s="9">
        <v>27.7</v>
      </c>
      <c r="F59" s="9">
        <v>5.8</v>
      </c>
      <c r="G59" s="9"/>
      <c r="H59" s="9"/>
      <c r="I59" s="9"/>
    </row>
    <row r="60" spans="1:10" x14ac:dyDescent="0.2">
      <c r="E60" s="9"/>
      <c r="F60" s="9"/>
      <c r="G60" s="9"/>
      <c r="H60" s="9"/>
      <c r="I60" s="9"/>
    </row>
    <row r="61" spans="1:10" x14ac:dyDescent="0.2">
      <c r="E61" s="9"/>
      <c r="F61" s="9"/>
      <c r="G61" s="9"/>
      <c r="H61" s="9"/>
      <c r="I61" s="9"/>
    </row>
    <row r="62" spans="1:10" x14ac:dyDescent="0.2">
      <c r="E62" s="9"/>
      <c r="F62" s="9"/>
      <c r="G62" s="9"/>
      <c r="H62" s="9"/>
      <c r="I62" s="9"/>
    </row>
    <row r="63" spans="1:10" x14ac:dyDescent="0.2">
      <c r="A63" t="s">
        <v>92</v>
      </c>
      <c r="B63" t="s">
        <v>93</v>
      </c>
      <c r="C63" t="s">
        <v>97</v>
      </c>
      <c r="D63" t="s">
        <v>33</v>
      </c>
      <c r="E63" s="9" t="s">
        <v>113</v>
      </c>
      <c r="F63" s="9" t="s">
        <v>114</v>
      </c>
      <c r="G63" s="12">
        <v>75115</v>
      </c>
      <c r="H63" s="9" t="s">
        <v>34</v>
      </c>
      <c r="I63" s="11" t="s">
        <v>145</v>
      </c>
      <c r="J63" t="s">
        <v>228</v>
      </c>
    </row>
    <row r="64" spans="1:10" x14ac:dyDescent="0.2">
      <c r="C64" t="s">
        <v>99</v>
      </c>
      <c r="E64" s="9"/>
      <c r="F64" s="9"/>
      <c r="G64" s="9"/>
      <c r="H64" s="9"/>
      <c r="I64" s="9"/>
    </row>
    <row r="65" spans="1:10" x14ac:dyDescent="0.2">
      <c r="A65" t="s">
        <v>92</v>
      </c>
      <c r="B65" t="s">
        <v>93</v>
      </c>
      <c r="C65" t="s">
        <v>97</v>
      </c>
      <c r="D65" t="s">
        <v>33</v>
      </c>
      <c r="E65" s="9">
        <v>30.1</v>
      </c>
      <c r="F65" s="9">
        <v>8.6999999999999993</v>
      </c>
      <c r="G65" s="10">
        <v>82.7</v>
      </c>
      <c r="H65" s="9">
        <v>58.3</v>
      </c>
      <c r="I65" s="9">
        <v>2981.6</v>
      </c>
      <c r="J65" t="s">
        <v>229</v>
      </c>
    </row>
    <row r="66" spans="1:10" x14ac:dyDescent="0.2">
      <c r="C66" t="s">
        <v>99</v>
      </c>
      <c r="D66" t="s">
        <v>132</v>
      </c>
      <c r="E66" s="9">
        <v>30.4</v>
      </c>
      <c r="F66" s="9">
        <v>8.4</v>
      </c>
      <c r="G66" s="9">
        <v>74.2</v>
      </c>
      <c r="H66" s="9">
        <v>47.8</v>
      </c>
      <c r="I66" s="9">
        <v>2776.4</v>
      </c>
    </row>
    <row r="67" spans="1:10" x14ac:dyDescent="0.2">
      <c r="A67" t="s">
        <v>92</v>
      </c>
      <c r="B67" t="s">
        <v>93</v>
      </c>
      <c r="C67" t="s">
        <v>146</v>
      </c>
      <c r="D67" t="s">
        <v>33</v>
      </c>
      <c r="E67" s="9">
        <v>38.6</v>
      </c>
      <c r="F67" s="9">
        <v>6.4</v>
      </c>
      <c r="G67" s="9">
        <v>25</v>
      </c>
      <c r="H67" s="9">
        <v>7</v>
      </c>
      <c r="I67" s="9">
        <v>1250</v>
      </c>
      <c r="J67" t="s">
        <v>230</v>
      </c>
    </row>
    <row r="68" spans="1:10" x14ac:dyDescent="0.2">
      <c r="C68" t="s">
        <v>135</v>
      </c>
      <c r="E68" s="9">
        <v>35.6</v>
      </c>
      <c r="F68" s="9">
        <v>7.4</v>
      </c>
      <c r="G68" s="9">
        <v>39</v>
      </c>
      <c r="H68" s="9">
        <v>12.5</v>
      </c>
      <c r="I68" s="9">
        <v>1450</v>
      </c>
    </row>
    <row r="69" spans="1:10" x14ac:dyDescent="0.2">
      <c r="E69" s="9">
        <v>31.5</v>
      </c>
      <c r="F69" s="9">
        <v>8.5</v>
      </c>
      <c r="G69" s="9">
        <v>71</v>
      </c>
      <c r="H69" s="9">
        <v>29.3</v>
      </c>
      <c r="I69" s="9">
        <v>1740</v>
      </c>
    </row>
    <row r="70" spans="1:10" x14ac:dyDescent="0.2">
      <c r="A70" t="s">
        <v>92</v>
      </c>
      <c r="B70" t="s">
        <v>93</v>
      </c>
      <c r="C70" t="s">
        <v>147</v>
      </c>
      <c r="D70" t="s">
        <v>33</v>
      </c>
      <c r="E70" s="9">
        <v>32.1</v>
      </c>
      <c r="F70" s="9">
        <v>5.0999999999999996</v>
      </c>
      <c r="G70" s="9">
        <v>73.8</v>
      </c>
      <c r="H70" s="9">
        <v>28.2</v>
      </c>
      <c r="I70" s="9">
        <v>1624.9</v>
      </c>
      <c r="J70" t="s">
        <v>148</v>
      </c>
    </row>
    <row r="71" spans="1:10" x14ac:dyDescent="0.2">
      <c r="C71" t="s">
        <v>149</v>
      </c>
      <c r="F71" s="9"/>
      <c r="G71" s="9"/>
      <c r="H71" s="9"/>
      <c r="I71" s="9"/>
    </row>
    <row r="72" spans="1:10" x14ac:dyDescent="0.2">
      <c r="C72" t="s">
        <v>150</v>
      </c>
      <c r="E72" s="9"/>
      <c r="F72" s="9"/>
      <c r="G72" s="9"/>
      <c r="H72" s="9"/>
      <c r="I72" s="9"/>
    </row>
    <row r="73" spans="1:10" x14ac:dyDescent="0.2">
      <c r="C73" t="s">
        <v>151</v>
      </c>
      <c r="E73" s="9">
        <v>35.9</v>
      </c>
      <c r="F73" s="9">
        <v>7.4</v>
      </c>
      <c r="G73" s="9">
        <v>68.400000000000006</v>
      </c>
      <c r="H73" s="9">
        <v>31.3</v>
      </c>
      <c r="I73" s="9">
        <v>1570.9</v>
      </c>
    </row>
    <row r="74" spans="1:10" x14ac:dyDescent="0.2">
      <c r="A74" t="s">
        <v>92</v>
      </c>
      <c r="B74" t="s">
        <v>152</v>
      </c>
      <c r="C74" t="s">
        <v>153</v>
      </c>
      <c r="D74" t="s">
        <v>33</v>
      </c>
      <c r="E74" s="9">
        <v>33.700000000000003</v>
      </c>
      <c r="F74" s="9">
        <v>4.8</v>
      </c>
      <c r="G74" s="9">
        <v>66.900000000000006</v>
      </c>
      <c r="H74" s="9">
        <v>20.6</v>
      </c>
      <c r="I74" s="9" t="s">
        <v>34</v>
      </c>
      <c r="J74" t="s">
        <v>231</v>
      </c>
    </row>
    <row r="75" spans="1:10" x14ac:dyDescent="0.2">
      <c r="C75" t="s">
        <v>149</v>
      </c>
      <c r="E75" s="9"/>
      <c r="F75" s="9"/>
      <c r="G75" s="9"/>
      <c r="H75" s="9"/>
      <c r="I75" s="9"/>
    </row>
    <row r="76" spans="1:10" x14ac:dyDescent="0.2">
      <c r="C76" t="s">
        <v>154</v>
      </c>
      <c r="E76" s="9">
        <v>35.200000000000003</v>
      </c>
      <c r="F76" s="9">
        <v>6.3</v>
      </c>
      <c r="G76" s="9">
        <v>66.099999999999994</v>
      </c>
      <c r="H76" s="9">
        <v>22.4</v>
      </c>
      <c r="I76" s="9" t="s">
        <v>34</v>
      </c>
    </row>
    <row r="77" spans="1:10" x14ac:dyDescent="0.2">
      <c r="C77" t="s">
        <v>151</v>
      </c>
      <c r="E77" s="9"/>
      <c r="F77" s="9"/>
      <c r="G77" s="9"/>
      <c r="H77" s="9"/>
      <c r="I77" s="9"/>
    </row>
    <row r="78" spans="1:10" x14ac:dyDescent="0.2">
      <c r="F78" s="9"/>
      <c r="G78" s="9"/>
      <c r="H78" s="9"/>
      <c r="I78" s="9"/>
    </row>
    <row r="79" spans="1:10" x14ac:dyDescent="0.2">
      <c r="A79" t="s">
        <v>92</v>
      </c>
      <c r="B79" t="s">
        <v>93</v>
      </c>
      <c r="C79" t="s">
        <v>155</v>
      </c>
      <c r="D79" t="s">
        <v>33</v>
      </c>
      <c r="E79" s="9" t="s">
        <v>34</v>
      </c>
      <c r="F79" s="9" t="s">
        <v>34</v>
      </c>
      <c r="G79" s="9" t="s">
        <v>156</v>
      </c>
      <c r="H79" s="9" t="s">
        <v>34</v>
      </c>
      <c r="I79" s="9" t="s">
        <v>34</v>
      </c>
      <c r="J79" t="s">
        <v>232</v>
      </c>
    </row>
    <row r="80" spans="1:10" x14ac:dyDescent="0.2">
      <c r="C80" t="s">
        <v>155</v>
      </c>
      <c r="E80" s="9"/>
      <c r="F80" s="9"/>
      <c r="G80" s="9"/>
      <c r="H80" s="9"/>
      <c r="I80" s="9"/>
    </row>
    <row r="81" spans="1:10" x14ac:dyDescent="0.2">
      <c r="A81" t="s">
        <v>92</v>
      </c>
      <c r="B81" t="s">
        <v>93</v>
      </c>
      <c r="C81" t="s">
        <v>34</v>
      </c>
      <c r="D81" t="s">
        <v>33</v>
      </c>
      <c r="E81" s="9">
        <v>36</v>
      </c>
      <c r="F81" s="9" t="s">
        <v>157</v>
      </c>
      <c r="G81" s="9">
        <v>112</v>
      </c>
      <c r="H81" s="9">
        <v>84</v>
      </c>
      <c r="I81" s="9">
        <v>3723.9</v>
      </c>
      <c r="J81" t="s">
        <v>233</v>
      </c>
    </row>
    <row r="82" spans="1:10" x14ac:dyDescent="0.2">
      <c r="A82" t="s">
        <v>92</v>
      </c>
      <c r="B82" t="s">
        <v>158</v>
      </c>
      <c r="C82" t="s">
        <v>159</v>
      </c>
      <c r="D82" t="s">
        <v>33</v>
      </c>
      <c r="E82" s="9" t="s">
        <v>160</v>
      </c>
      <c r="F82" s="9" t="s">
        <v>161</v>
      </c>
      <c r="G82" s="9" t="s">
        <v>34</v>
      </c>
      <c r="H82" s="9" t="s">
        <v>34</v>
      </c>
      <c r="I82" s="9" t="s">
        <v>34</v>
      </c>
      <c r="J82" t="s">
        <v>234</v>
      </c>
    </row>
    <row r="83" spans="1:10" x14ac:dyDescent="0.2">
      <c r="C83" t="s">
        <v>162</v>
      </c>
      <c r="E83" s="9"/>
      <c r="F83" s="9"/>
      <c r="G83" s="9"/>
      <c r="H83" s="9"/>
      <c r="I83" s="9"/>
    </row>
    <row r="84" spans="1:10" x14ac:dyDescent="0.2">
      <c r="C84" t="s">
        <v>163</v>
      </c>
      <c r="E84" s="9"/>
      <c r="F84" s="9"/>
      <c r="G84" s="9"/>
      <c r="H84" s="9"/>
      <c r="I84" s="9"/>
    </row>
    <row r="85" spans="1:10" x14ac:dyDescent="0.2">
      <c r="C85" t="s">
        <v>164</v>
      </c>
      <c r="E85" s="9"/>
      <c r="F85" s="9"/>
      <c r="G85" s="9"/>
      <c r="H85" s="9"/>
      <c r="I85" s="9"/>
    </row>
    <row r="86" spans="1:10" x14ac:dyDescent="0.2">
      <c r="A86" t="s">
        <v>92</v>
      </c>
      <c r="B86" t="s">
        <v>158</v>
      </c>
      <c r="C86" t="s">
        <v>165</v>
      </c>
      <c r="D86" t="s">
        <v>33</v>
      </c>
      <c r="E86" s="9" t="s">
        <v>166</v>
      </c>
      <c r="F86" s="9" t="s">
        <v>167</v>
      </c>
      <c r="G86" s="9" t="s">
        <v>34</v>
      </c>
      <c r="H86" s="9" t="s">
        <v>34</v>
      </c>
      <c r="I86" s="9" t="s">
        <v>34</v>
      </c>
      <c r="J86" t="s">
        <v>168</v>
      </c>
    </row>
    <row r="87" spans="1:10" x14ac:dyDescent="0.2">
      <c r="C87" t="s">
        <v>162</v>
      </c>
      <c r="D87" t="s">
        <v>136</v>
      </c>
      <c r="E87" s="9" t="s">
        <v>169</v>
      </c>
      <c r="F87" s="9" t="s">
        <v>170</v>
      </c>
      <c r="G87" s="9"/>
      <c r="H87" s="9"/>
      <c r="I87" s="9"/>
    </row>
    <row r="88" spans="1:10" x14ac:dyDescent="0.2">
      <c r="C88" t="s">
        <v>163</v>
      </c>
      <c r="D88" t="s">
        <v>171</v>
      </c>
      <c r="E88" s="9" t="s">
        <v>172</v>
      </c>
      <c r="F88" s="9" t="s">
        <v>173</v>
      </c>
      <c r="G88" s="9"/>
      <c r="H88" s="9"/>
      <c r="I88" s="9"/>
    </row>
    <row r="89" spans="1:10" x14ac:dyDescent="0.2">
      <c r="C89" t="s">
        <v>164</v>
      </c>
      <c r="E89" s="9"/>
      <c r="F89" s="9"/>
      <c r="G89" s="9"/>
      <c r="H89" s="9"/>
      <c r="I89" s="9"/>
    </row>
    <row r="90" spans="1:10" x14ac:dyDescent="0.2">
      <c r="A90" t="s">
        <v>92</v>
      </c>
      <c r="B90" t="s">
        <v>158</v>
      </c>
      <c r="C90" t="s">
        <v>174</v>
      </c>
      <c r="D90" t="s">
        <v>33</v>
      </c>
      <c r="E90" s="9" t="s">
        <v>175</v>
      </c>
      <c r="F90" s="9" t="s">
        <v>176</v>
      </c>
      <c r="G90" s="9" t="s">
        <v>34</v>
      </c>
      <c r="H90" s="9" t="s">
        <v>34</v>
      </c>
      <c r="I90" s="9" t="s">
        <v>34</v>
      </c>
      <c r="J90" t="s">
        <v>237</v>
      </c>
    </row>
    <row r="91" spans="1:10" x14ac:dyDescent="0.2">
      <c r="C91" t="s">
        <v>177</v>
      </c>
      <c r="E91" s="9"/>
      <c r="F91" s="9"/>
      <c r="G91" s="9"/>
      <c r="H91" s="9"/>
      <c r="I91" s="9"/>
    </row>
    <row r="92" spans="1:10" x14ac:dyDescent="0.2">
      <c r="C92" t="s">
        <v>178</v>
      </c>
      <c r="E92" s="9"/>
      <c r="F92" s="9"/>
      <c r="G92" s="9"/>
      <c r="H92" s="9"/>
      <c r="I92" s="9"/>
    </row>
    <row r="93" spans="1:10" x14ac:dyDescent="0.2">
      <c r="A93" t="s">
        <v>92</v>
      </c>
      <c r="B93" t="s">
        <v>158</v>
      </c>
      <c r="C93" t="s">
        <v>179</v>
      </c>
      <c r="D93" t="s">
        <v>33</v>
      </c>
      <c r="E93" s="9" t="s">
        <v>180</v>
      </c>
      <c r="F93" s="9" t="s">
        <v>181</v>
      </c>
      <c r="G93" s="9">
        <v>44.1</v>
      </c>
      <c r="H93" s="9">
        <v>29.3</v>
      </c>
      <c r="I93" s="9">
        <v>802.5</v>
      </c>
      <c r="J93" t="s">
        <v>235</v>
      </c>
    </row>
    <row r="94" spans="1:10" x14ac:dyDescent="0.2">
      <c r="C94" t="s">
        <v>182</v>
      </c>
      <c r="E94" s="9"/>
      <c r="F94" s="9"/>
    </row>
    <row r="95" spans="1:10" x14ac:dyDescent="0.2">
      <c r="C95" t="s">
        <v>183</v>
      </c>
      <c r="E95" s="9"/>
      <c r="F95" s="9"/>
    </row>
    <row r="96" spans="1:10" x14ac:dyDescent="0.2">
      <c r="E96" s="9"/>
      <c r="F96" s="9"/>
    </row>
    <row r="97" spans="1:10" x14ac:dyDescent="0.2">
      <c r="A97" t="s">
        <v>92</v>
      </c>
      <c r="B97" t="s">
        <v>158</v>
      </c>
      <c r="C97" t="s">
        <v>184</v>
      </c>
      <c r="D97" t="s">
        <v>33</v>
      </c>
      <c r="E97" s="10">
        <v>49.2</v>
      </c>
      <c r="F97" s="9">
        <v>9.4</v>
      </c>
      <c r="G97">
        <v>56.9</v>
      </c>
      <c r="H97">
        <v>33.799999999999997</v>
      </c>
      <c r="I97">
        <v>925.2</v>
      </c>
      <c r="J97" t="s">
        <v>236</v>
      </c>
    </row>
    <row r="98" spans="1:10" x14ac:dyDescent="0.2">
      <c r="C98" t="s">
        <v>185</v>
      </c>
    </row>
    <row r="99" spans="1:10" x14ac:dyDescent="0.2">
      <c r="C99" t="s">
        <v>186</v>
      </c>
    </row>
    <row r="102" spans="1:10" x14ac:dyDescent="0.2">
      <c r="A102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zoomScale="70" zoomScaleNormal="70" workbookViewId="0">
      <selection activeCell="F51" sqref="F51"/>
    </sheetView>
  </sheetViews>
  <sheetFormatPr defaultRowHeight="14.25" x14ac:dyDescent="0.2"/>
  <cols>
    <col min="1" max="1" width="19.375" bestFit="1" customWidth="1"/>
    <col min="2" max="2" width="27.5" bestFit="1" customWidth="1"/>
    <col min="3" max="3" width="37.5" bestFit="1" customWidth="1"/>
    <col min="4" max="4" width="30.5" bestFit="1" customWidth="1"/>
    <col min="5" max="5" width="28.5" bestFit="1" customWidth="1"/>
    <col min="7" max="7" width="19.125" bestFit="1" customWidth="1"/>
  </cols>
  <sheetData>
    <row r="1" spans="1:10" ht="15" x14ac:dyDescent="0.25">
      <c r="A1" s="1" t="s">
        <v>12</v>
      </c>
      <c r="B1" s="1" t="s">
        <v>13</v>
      </c>
      <c r="C1" s="1" t="s">
        <v>14</v>
      </c>
      <c r="D1" s="1" t="s">
        <v>21</v>
      </c>
      <c r="E1" s="1" t="s">
        <v>15</v>
      </c>
      <c r="F1" s="1"/>
      <c r="G1" s="1" t="s">
        <v>16</v>
      </c>
    </row>
    <row r="2" spans="1:10" x14ac:dyDescent="0.2">
      <c r="A2">
        <v>33.4</v>
      </c>
      <c r="B2">
        <v>7.9</v>
      </c>
      <c r="C2">
        <v>48.2</v>
      </c>
      <c r="D2">
        <v>15.5</v>
      </c>
      <c r="E2">
        <v>1604</v>
      </c>
      <c r="G2" t="s">
        <v>0</v>
      </c>
      <c r="H2">
        <f>COUNT(A2:A61)</f>
        <v>60</v>
      </c>
      <c r="J2" s="3">
        <v>25</v>
      </c>
    </row>
    <row r="3" spans="1:10" x14ac:dyDescent="0.2">
      <c r="A3">
        <v>37</v>
      </c>
      <c r="B3">
        <v>7.5</v>
      </c>
      <c r="C3">
        <v>74.8</v>
      </c>
      <c r="D3">
        <v>57.3</v>
      </c>
      <c r="E3">
        <v>2026.1</v>
      </c>
      <c r="G3" t="s">
        <v>1</v>
      </c>
      <c r="H3">
        <v>5</v>
      </c>
      <c r="J3" s="3">
        <v>27</v>
      </c>
    </row>
    <row r="4" spans="1:10" x14ac:dyDescent="0.2">
      <c r="A4">
        <v>30.5</v>
      </c>
      <c r="B4">
        <v>6.3</v>
      </c>
      <c r="C4">
        <v>64.099999999999994</v>
      </c>
      <c r="D4">
        <v>41.6</v>
      </c>
      <c r="E4">
        <v>1586.1</v>
      </c>
      <c r="G4" t="s">
        <v>2</v>
      </c>
      <c r="H4">
        <f>MIN(A2:A76)</f>
        <v>23.9</v>
      </c>
      <c r="J4" s="3">
        <v>29</v>
      </c>
    </row>
    <row r="5" spans="1:10" x14ac:dyDescent="0.2">
      <c r="A5">
        <v>39.200000000000003</v>
      </c>
      <c r="B5">
        <v>2.7</v>
      </c>
      <c r="C5">
        <v>75</v>
      </c>
      <c r="D5">
        <v>15.8</v>
      </c>
      <c r="E5">
        <v>1250</v>
      </c>
      <c r="G5" t="s">
        <v>3</v>
      </c>
      <c r="H5">
        <f>MAX(A2:A76)</f>
        <v>43.8</v>
      </c>
      <c r="J5" s="3">
        <v>31</v>
      </c>
    </row>
    <row r="6" spans="1:10" x14ac:dyDescent="0.2">
      <c r="A6">
        <v>42.9</v>
      </c>
      <c r="B6">
        <v>3.2</v>
      </c>
      <c r="C6">
        <v>115</v>
      </c>
      <c r="D6">
        <v>16.7</v>
      </c>
      <c r="E6">
        <v>1600</v>
      </c>
      <c r="G6" t="s">
        <v>4</v>
      </c>
      <c r="H6">
        <f>H5-H4</f>
        <v>19.899999999999999</v>
      </c>
      <c r="J6" s="3">
        <v>33</v>
      </c>
    </row>
    <row r="7" spans="1:10" x14ac:dyDescent="0.2">
      <c r="A7">
        <v>42.7</v>
      </c>
      <c r="B7">
        <v>2.9</v>
      </c>
      <c r="C7">
        <v>82.7</v>
      </c>
      <c r="D7">
        <v>17.5</v>
      </c>
      <c r="E7">
        <v>2100</v>
      </c>
      <c r="G7" t="s">
        <v>5</v>
      </c>
      <c r="H7">
        <f>H6/H3</f>
        <v>3.9799999999999995</v>
      </c>
      <c r="J7" s="3">
        <v>35</v>
      </c>
    </row>
    <row r="8" spans="1:10" x14ac:dyDescent="0.2">
      <c r="A8">
        <v>30.7</v>
      </c>
      <c r="B8">
        <v>8</v>
      </c>
      <c r="C8">
        <v>74.2</v>
      </c>
      <c r="D8">
        <v>19</v>
      </c>
      <c r="E8">
        <v>2300</v>
      </c>
      <c r="J8" s="3">
        <v>37</v>
      </c>
    </row>
    <row r="9" spans="1:10" x14ac:dyDescent="0.2">
      <c r="A9">
        <v>31.9</v>
      </c>
      <c r="B9">
        <v>9.1</v>
      </c>
      <c r="C9">
        <v>25</v>
      </c>
      <c r="D9">
        <v>18.600000000000001</v>
      </c>
      <c r="E9">
        <v>2981.6</v>
      </c>
      <c r="G9" t="s">
        <v>6</v>
      </c>
      <c r="H9">
        <f>MEDIAN(A2:A76)</f>
        <v>32.4</v>
      </c>
      <c r="J9" s="3">
        <v>39</v>
      </c>
    </row>
    <row r="10" spans="1:10" x14ac:dyDescent="0.2">
      <c r="A10">
        <v>33.4</v>
      </c>
      <c r="B10">
        <v>10.4</v>
      </c>
      <c r="C10">
        <v>39</v>
      </c>
      <c r="D10">
        <v>25</v>
      </c>
      <c r="E10">
        <v>2776.4</v>
      </c>
      <c r="G10" t="s">
        <v>7</v>
      </c>
      <c r="H10">
        <f>AVERAGE(A2:A76)</f>
        <v>33.493333333333325</v>
      </c>
      <c r="J10" s="3">
        <v>41</v>
      </c>
    </row>
    <row r="11" spans="1:10" x14ac:dyDescent="0.2">
      <c r="A11">
        <v>34.799999999999997</v>
      </c>
      <c r="B11">
        <v>7.5</v>
      </c>
      <c r="C11">
        <v>71</v>
      </c>
      <c r="D11">
        <v>21.8</v>
      </c>
      <c r="E11">
        <f>1566*0.8</f>
        <v>1252.8000000000002</v>
      </c>
      <c r="G11" t="s">
        <v>8</v>
      </c>
      <c r="H11">
        <f>_xlfn.STDEV.S(A2:A76)</f>
        <v>4.649215959659065</v>
      </c>
      <c r="J11" s="3">
        <v>43</v>
      </c>
    </row>
    <row r="12" spans="1:10" x14ac:dyDescent="0.2">
      <c r="A12">
        <v>37.5</v>
      </c>
      <c r="B12">
        <v>10.1</v>
      </c>
      <c r="C12">
        <v>73.8</v>
      </c>
      <c r="D12">
        <v>23.5</v>
      </c>
      <c r="E12">
        <f>1816*0.8</f>
        <v>1452.8000000000002</v>
      </c>
      <c r="J12" s="3">
        <v>45</v>
      </c>
    </row>
    <row r="13" spans="1:10" x14ac:dyDescent="0.2">
      <c r="A13">
        <v>30.6</v>
      </c>
      <c r="B13">
        <v>6.7</v>
      </c>
      <c r="C13">
        <v>68.400000000000006</v>
      </c>
      <c r="D13">
        <v>58.3</v>
      </c>
      <c r="E13">
        <f>2175*0.8</f>
        <v>1740</v>
      </c>
      <c r="G13" t="s">
        <v>9</v>
      </c>
      <c r="H13">
        <f>H10-H11</f>
        <v>28.844117373674258</v>
      </c>
      <c r="J13" s="3"/>
    </row>
    <row r="14" spans="1:10" x14ac:dyDescent="0.2">
      <c r="A14">
        <v>30.8</v>
      </c>
      <c r="B14">
        <v>7.4</v>
      </c>
      <c r="C14">
        <v>66.900000000000006</v>
      </c>
      <c r="D14">
        <v>47.8</v>
      </c>
      <c r="E14">
        <v>1624.9</v>
      </c>
      <c r="G14" t="s">
        <v>10</v>
      </c>
      <c r="H14">
        <f>H10+H11</f>
        <v>38.142549292992392</v>
      </c>
      <c r="J14" s="3"/>
    </row>
    <row r="15" spans="1:10" x14ac:dyDescent="0.2">
      <c r="A15">
        <v>31.1</v>
      </c>
      <c r="B15">
        <v>7.7</v>
      </c>
      <c r="C15">
        <v>66.099999999999994</v>
      </c>
      <c r="D15">
        <v>8.3000000000000007</v>
      </c>
      <c r="E15">
        <v>1570.9</v>
      </c>
      <c r="J15" s="3"/>
    </row>
    <row r="16" spans="1:10" x14ac:dyDescent="0.2">
      <c r="A16">
        <v>31.8</v>
      </c>
      <c r="B16">
        <v>7.9</v>
      </c>
      <c r="C16">
        <v>76</v>
      </c>
      <c r="D16">
        <v>7</v>
      </c>
      <c r="E16">
        <v>3723.9</v>
      </c>
      <c r="J16" s="3"/>
    </row>
    <row r="17" spans="1:10" x14ac:dyDescent="0.2">
      <c r="A17">
        <v>32</v>
      </c>
      <c r="B17">
        <v>6.2</v>
      </c>
      <c r="C17">
        <v>84</v>
      </c>
      <c r="D17">
        <v>12.5</v>
      </c>
      <c r="J17" s="3"/>
    </row>
    <row r="18" spans="1:10" x14ac:dyDescent="0.2">
      <c r="A18">
        <v>33.1</v>
      </c>
      <c r="B18">
        <v>5.2</v>
      </c>
      <c r="C18">
        <v>112</v>
      </c>
      <c r="D18">
        <v>29.3</v>
      </c>
      <c r="J18" s="3"/>
    </row>
    <row r="19" spans="1:10" x14ac:dyDescent="0.2">
      <c r="A19">
        <v>33.9</v>
      </c>
      <c r="B19">
        <v>4.3</v>
      </c>
      <c r="C19">
        <v>44.1</v>
      </c>
      <c r="D19">
        <v>28.2</v>
      </c>
      <c r="J19" s="3"/>
    </row>
    <row r="20" spans="1:10" ht="15" x14ac:dyDescent="0.25">
      <c r="A20">
        <v>34.1</v>
      </c>
      <c r="B20">
        <v>5</v>
      </c>
      <c r="D20">
        <v>31.3</v>
      </c>
      <c r="G20" s="1" t="s">
        <v>17</v>
      </c>
      <c r="J20" s="3"/>
    </row>
    <row r="21" spans="1:10" x14ac:dyDescent="0.2">
      <c r="A21">
        <v>27.9</v>
      </c>
      <c r="B21">
        <v>5.4</v>
      </c>
      <c r="D21">
        <v>20.6</v>
      </c>
      <c r="G21" t="s">
        <v>0</v>
      </c>
      <c r="H21">
        <f>COUNT(B2:B61)</f>
        <v>60</v>
      </c>
      <c r="J21" s="3"/>
    </row>
    <row r="22" spans="1:10" x14ac:dyDescent="0.2">
      <c r="A22">
        <v>28.1</v>
      </c>
      <c r="B22">
        <v>5.6</v>
      </c>
      <c r="D22">
        <v>22.4</v>
      </c>
      <c r="G22" t="s">
        <v>1</v>
      </c>
      <c r="H22">
        <v>5</v>
      </c>
      <c r="J22" s="3"/>
    </row>
    <row r="23" spans="1:10" x14ac:dyDescent="0.2">
      <c r="A23">
        <v>38.799999999999997</v>
      </c>
      <c r="B23">
        <v>7.2</v>
      </c>
      <c r="D23">
        <v>84</v>
      </c>
      <c r="G23" t="s">
        <v>2</v>
      </c>
      <c r="H23">
        <f>MIN(B2:B76)</f>
        <v>1.8</v>
      </c>
      <c r="J23" s="3">
        <f t="shared" ref="J23:J26" si="0">J24-2.5</f>
        <v>2</v>
      </c>
    </row>
    <row r="24" spans="1:10" x14ac:dyDescent="0.2">
      <c r="A24">
        <v>39.4</v>
      </c>
      <c r="B24">
        <v>6.6</v>
      </c>
      <c r="G24" t="s">
        <v>3</v>
      </c>
      <c r="H24">
        <f>MAX(B2:B76)</f>
        <v>14.2</v>
      </c>
      <c r="J24" s="3">
        <f t="shared" si="0"/>
        <v>4.5</v>
      </c>
    </row>
    <row r="25" spans="1:10" x14ac:dyDescent="0.2">
      <c r="A25">
        <v>40</v>
      </c>
      <c r="B25">
        <v>6</v>
      </c>
      <c r="G25" t="s">
        <v>4</v>
      </c>
      <c r="H25">
        <f>H24-H23</f>
        <v>12.399999999999999</v>
      </c>
      <c r="J25" s="3">
        <f t="shared" si="0"/>
        <v>7</v>
      </c>
    </row>
    <row r="26" spans="1:10" x14ac:dyDescent="0.2">
      <c r="A26">
        <v>42.8</v>
      </c>
      <c r="B26">
        <v>2.8</v>
      </c>
      <c r="G26" t="s">
        <v>5</v>
      </c>
      <c r="H26">
        <f>H25/H22</f>
        <v>2.4799999999999995</v>
      </c>
      <c r="J26" s="3">
        <f t="shared" si="0"/>
        <v>9.5</v>
      </c>
    </row>
    <row r="27" spans="1:10" x14ac:dyDescent="0.2">
      <c r="A27">
        <v>42.3</v>
      </c>
      <c r="B27">
        <v>3.3</v>
      </c>
      <c r="J27" s="3">
        <f>J28-2.5</f>
        <v>12</v>
      </c>
    </row>
    <row r="28" spans="1:10" x14ac:dyDescent="0.2">
      <c r="A28">
        <v>43.8</v>
      </c>
      <c r="B28">
        <v>1.8</v>
      </c>
      <c r="G28" t="s">
        <v>6</v>
      </c>
      <c r="H28">
        <f>MEDIAN(B2:B76)</f>
        <v>6.35</v>
      </c>
      <c r="J28" s="3">
        <v>14.5</v>
      </c>
    </row>
    <row r="29" spans="1:10" x14ac:dyDescent="0.2">
      <c r="A29">
        <v>43.3</v>
      </c>
      <c r="B29">
        <v>2.2999999999999998</v>
      </c>
      <c r="G29" t="s">
        <v>7</v>
      </c>
      <c r="H29">
        <f>AVERAGE(B2:B76)</f>
        <v>6.3616666666666655</v>
      </c>
      <c r="J29" s="3"/>
    </row>
    <row r="30" spans="1:10" x14ac:dyDescent="0.2">
      <c r="A30">
        <v>32.9</v>
      </c>
      <c r="B30">
        <v>7.2</v>
      </c>
      <c r="G30" t="s">
        <v>8</v>
      </c>
      <c r="H30">
        <f>_xlfn.STDEV.S(B2:B76)</f>
        <v>2.1444521774203671</v>
      </c>
      <c r="J30" s="3"/>
    </row>
    <row r="31" spans="1:10" x14ac:dyDescent="0.2">
      <c r="A31">
        <v>36.6</v>
      </c>
      <c r="B31">
        <v>3.5</v>
      </c>
      <c r="J31" s="3"/>
    </row>
    <row r="32" spans="1:10" x14ac:dyDescent="0.2">
      <c r="A32">
        <v>31.2</v>
      </c>
      <c r="B32">
        <v>8.1</v>
      </c>
      <c r="G32" t="s">
        <v>9</v>
      </c>
      <c r="H32">
        <f>H29-H30</f>
        <v>4.2172144892462988</v>
      </c>
      <c r="J32" s="3"/>
    </row>
    <row r="33" spans="1:10" x14ac:dyDescent="0.2">
      <c r="A33">
        <v>33.5</v>
      </c>
      <c r="B33">
        <v>5.8</v>
      </c>
      <c r="G33" t="s">
        <v>10</v>
      </c>
      <c r="H33">
        <f>H29+H30</f>
        <v>8.5061188440870321</v>
      </c>
      <c r="J33" s="3"/>
    </row>
    <row r="34" spans="1:10" x14ac:dyDescent="0.2">
      <c r="A34">
        <v>34</v>
      </c>
      <c r="B34">
        <v>5.3</v>
      </c>
      <c r="J34" s="3"/>
    </row>
    <row r="35" spans="1:10" x14ac:dyDescent="0.2">
      <c r="A35">
        <v>31.6</v>
      </c>
      <c r="B35">
        <v>6.9</v>
      </c>
      <c r="J35" s="3"/>
    </row>
    <row r="36" spans="1:10" x14ac:dyDescent="0.2">
      <c r="A36">
        <v>32.200000000000003</v>
      </c>
      <c r="B36">
        <v>6.3</v>
      </c>
      <c r="J36" s="3"/>
    </row>
    <row r="37" spans="1:10" x14ac:dyDescent="0.2">
      <c r="A37">
        <v>32.4</v>
      </c>
      <c r="B37">
        <v>6.1</v>
      </c>
      <c r="J37" s="3"/>
    </row>
    <row r="38" spans="1:10" x14ac:dyDescent="0.2">
      <c r="A38">
        <v>32.700000000000003</v>
      </c>
      <c r="B38">
        <v>5.8</v>
      </c>
      <c r="J38" s="3"/>
    </row>
    <row r="39" spans="1:10" x14ac:dyDescent="0.2">
      <c r="A39">
        <v>26.9</v>
      </c>
      <c r="B39">
        <v>6.6</v>
      </c>
      <c r="J39" s="3"/>
    </row>
    <row r="40" spans="1:10" ht="15" x14ac:dyDescent="0.25">
      <c r="A40">
        <v>26.5</v>
      </c>
      <c r="B40">
        <v>7</v>
      </c>
      <c r="G40" s="1" t="s">
        <v>18</v>
      </c>
      <c r="J40" s="3"/>
    </row>
    <row r="41" spans="1:10" x14ac:dyDescent="0.2">
      <c r="A41">
        <v>26.1</v>
      </c>
      <c r="B41">
        <v>7.4</v>
      </c>
      <c r="G41" t="s">
        <v>0</v>
      </c>
      <c r="H41">
        <f>COUNT(C2:C61)</f>
        <v>18</v>
      </c>
      <c r="J41" s="3"/>
    </row>
    <row r="42" spans="1:10" x14ac:dyDescent="0.2">
      <c r="A42">
        <v>32.299999999999997</v>
      </c>
      <c r="B42">
        <v>5.8</v>
      </c>
      <c r="G42" t="s">
        <v>1</v>
      </c>
      <c r="H42">
        <f>SQRT(H41)</f>
        <v>4.2426406871192848</v>
      </c>
      <c r="J42" s="3"/>
    </row>
    <row r="43" spans="1:10" x14ac:dyDescent="0.2">
      <c r="A43">
        <v>23.9</v>
      </c>
      <c r="B43">
        <v>5.7</v>
      </c>
      <c r="G43" t="s">
        <v>2</v>
      </c>
      <c r="H43">
        <f>MIN(C2:C76)</f>
        <v>25</v>
      </c>
      <c r="J43" s="3"/>
    </row>
    <row r="44" spans="1:10" x14ac:dyDescent="0.2">
      <c r="A44">
        <v>32.4</v>
      </c>
      <c r="B44">
        <v>14.2</v>
      </c>
      <c r="G44" t="s">
        <v>3</v>
      </c>
      <c r="H44">
        <f>MAX(C2:C76)</f>
        <v>115</v>
      </c>
      <c r="J44" s="3">
        <v>25</v>
      </c>
    </row>
    <row r="45" spans="1:10" x14ac:dyDescent="0.2">
      <c r="A45">
        <v>27.9</v>
      </c>
      <c r="B45">
        <v>5.6</v>
      </c>
      <c r="G45" t="s">
        <v>4</v>
      </c>
      <c r="H45">
        <f>H44-H43</f>
        <v>90</v>
      </c>
      <c r="J45" s="3">
        <v>50</v>
      </c>
    </row>
    <row r="46" spans="1:10" x14ac:dyDescent="0.2">
      <c r="A46">
        <v>27.6</v>
      </c>
      <c r="B46">
        <v>5.9</v>
      </c>
      <c r="G46" t="s">
        <v>5</v>
      </c>
      <c r="H46">
        <f>H45/H42</f>
        <v>21.213203435596427</v>
      </c>
      <c r="J46" s="3">
        <v>75</v>
      </c>
    </row>
    <row r="47" spans="1:10" x14ac:dyDescent="0.2">
      <c r="A47">
        <v>27.7</v>
      </c>
      <c r="B47">
        <v>5.8</v>
      </c>
      <c r="J47" s="3">
        <v>100</v>
      </c>
    </row>
    <row r="48" spans="1:10" x14ac:dyDescent="0.2">
      <c r="A48">
        <v>30.6</v>
      </c>
      <c r="B48">
        <v>6.7</v>
      </c>
      <c r="G48" t="s">
        <v>6</v>
      </c>
      <c r="H48">
        <f>MEDIAN(C2:C76)</f>
        <v>72.400000000000006</v>
      </c>
      <c r="J48" s="3">
        <v>125</v>
      </c>
    </row>
    <row r="49" spans="1:10" x14ac:dyDescent="0.2">
      <c r="A49">
        <v>30.8</v>
      </c>
      <c r="B49">
        <v>7.4</v>
      </c>
      <c r="G49" t="s">
        <v>7</v>
      </c>
      <c r="H49">
        <f>AVERAGE(C2:C76)</f>
        <v>70.016666666666652</v>
      </c>
      <c r="J49" s="3"/>
    </row>
    <row r="50" spans="1:10" x14ac:dyDescent="0.2">
      <c r="A50">
        <v>31.1</v>
      </c>
      <c r="B50">
        <v>7.7</v>
      </c>
      <c r="G50" t="s">
        <v>8</v>
      </c>
      <c r="H50">
        <f>_xlfn.STDEV.S(C2:C76)</f>
        <v>22.304899224425263</v>
      </c>
      <c r="J50" s="3"/>
    </row>
    <row r="51" spans="1:10" x14ac:dyDescent="0.2">
      <c r="A51">
        <v>31.8</v>
      </c>
      <c r="B51">
        <v>7.9</v>
      </c>
      <c r="J51" s="3"/>
    </row>
    <row r="52" spans="1:10" x14ac:dyDescent="0.2">
      <c r="A52">
        <v>30.1</v>
      </c>
      <c r="B52">
        <v>8.6999999999999993</v>
      </c>
      <c r="G52" t="s">
        <v>9</v>
      </c>
      <c r="H52">
        <f>H49-H50</f>
        <v>47.711767442241388</v>
      </c>
      <c r="J52" s="3"/>
    </row>
    <row r="53" spans="1:10" x14ac:dyDescent="0.2">
      <c r="A53">
        <v>30.4</v>
      </c>
      <c r="B53">
        <v>8.4</v>
      </c>
      <c r="G53" t="s">
        <v>10</v>
      </c>
      <c r="H53">
        <f>H49+H50</f>
        <v>92.321565891091922</v>
      </c>
      <c r="J53" s="3"/>
    </row>
    <row r="54" spans="1:10" x14ac:dyDescent="0.2">
      <c r="A54">
        <v>38.6</v>
      </c>
      <c r="B54">
        <v>6.4</v>
      </c>
      <c r="J54" s="3"/>
    </row>
    <row r="55" spans="1:10" x14ac:dyDescent="0.2">
      <c r="A55">
        <v>35.6</v>
      </c>
      <c r="B55">
        <v>7.4</v>
      </c>
      <c r="J55" s="3"/>
    </row>
    <row r="56" spans="1:10" x14ac:dyDescent="0.2">
      <c r="A56">
        <v>31.5</v>
      </c>
      <c r="B56">
        <v>8.5</v>
      </c>
      <c r="J56" s="3"/>
    </row>
    <row r="57" spans="1:10" x14ac:dyDescent="0.2">
      <c r="A57">
        <v>32.1</v>
      </c>
      <c r="B57">
        <v>5.0999999999999996</v>
      </c>
      <c r="J57" s="3"/>
    </row>
    <row r="58" spans="1:10" x14ac:dyDescent="0.2">
      <c r="A58">
        <v>35.9</v>
      </c>
      <c r="B58">
        <v>7.4</v>
      </c>
      <c r="J58" s="3"/>
    </row>
    <row r="59" spans="1:10" ht="15" x14ac:dyDescent="0.25">
      <c r="A59">
        <v>33.700000000000003</v>
      </c>
      <c r="B59">
        <v>4.8</v>
      </c>
      <c r="G59" s="1" t="s">
        <v>22</v>
      </c>
      <c r="J59" s="3"/>
    </row>
    <row r="60" spans="1:10" x14ac:dyDescent="0.2">
      <c r="A60">
        <v>35.200000000000003</v>
      </c>
      <c r="B60">
        <v>6.3</v>
      </c>
      <c r="G60" t="s">
        <v>0</v>
      </c>
      <c r="H60">
        <f>COUNT(D2:D61)</f>
        <v>22</v>
      </c>
      <c r="J60" s="3"/>
    </row>
    <row r="61" spans="1:10" x14ac:dyDescent="0.2">
      <c r="A61">
        <v>36</v>
      </c>
      <c r="B61">
        <v>3</v>
      </c>
      <c r="G61" t="s">
        <v>1</v>
      </c>
      <c r="H61">
        <f>SQRT(H60)</f>
        <v>4.6904157598234297</v>
      </c>
      <c r="J61" s="3"/>
    </row>
    <row r="62" spans="1:10" x14ac:dyDescent="0.2">
      <c r="G62" t="s">
        <v>2</v>
      </c>
      <c r="H62">
        <f>MIN(D2:D76)</f>
        <v>7</v>
      </c>
      <c r="J62" s="3"/>
    </row>
    <row r="63" spans="1:10" x14ac:dyDescent="0.2">
      <c r="G63" t="s">
        <v>3</v>
      </c>
      <c r="H63">
        <f>MAX(D2:D76)</f>
        <v>84</v>
      </c>
      <c r="J63" s="3">
        <v>10</v>
      </c>
    </row>
    <row r="64" spans="1:10" x14ac:dyDescent="0.2">
      <c r="G64" t="s">
        <v>4</v>
      </c>
      <c r="H64">
        <f>H63-H62</f>
        <v>77</v>
      </c>
      <c r="J64" s="3">
        <v>30</v>
      </c>
    </row>
    <row r="65" spans="7:10" x14ac:dyDescent="0.2">
      <c r="G65" t="s">
        <v>5</v>
      </c>
      <c r="H65">
        <f>H64/H61</f>
        <v>16.416455159382004</v>
      </c>
      <c r="J65" s="3">
        <v>50</v>
      </c>
    </row>
    <row r="66" spans="7:10" x14ac:dyDescent="0.2">
      <c r="J66" s="3">
        <v>70</v>
      </c>
    </row>
    <row r="67" spans="7:10" x14ac:dyDescent="0.2">
      <c r="G67" t="s">
        <v>6</v>
      </c>
      <c r="H67">
        <f>MEDIAN(D2:D76)</f>
        <v>22.1</v>
      </c>
      <c r="J67" s="3">
        <v>90</v>
      </c>
    </row>
    <row r="68" spans="7:10" x14ac:dyDescent="0.2">
      <c r="G68" t="s">
        <v>7</v>
      </c>
      <c r="H68">
        <f>AVERAGE(D2:D76)</f>
        <v>28.272727272727273</v>
      </c>
      <c r="J68" s="3"/>
    </row>
    <row r="69" spans="7:10" x14ac:dyDescent="0.2">
      <c r="G69" t="s">
        <v>8</v>
      </c>
      <c r="H69">
        <f>_xlfn.STDEV.S(D2:D76)</f>
        <v>18.817549605625409</v>
      </c>
      <c r="J69" s="3"/>
    </row>
    <row r="70" spans="7:10" x14ac:dyDescent="0.2">
      <c r="J70" s="3"/>
    </row>
    <row r="71" spans="7:10" x14ac:dyDescent="0.2">
      <c r="G71" t="s">
        <v>9</v>
      </c>
      <c r="H71">
        <f>H68-H69</f>
        <v>9.4551776671018644</v>
      </c>
      <c r="J71" s="3"/>
    </row>
    <row r="72" spans="7:10" x14ac:dyDescent="0.2">
      <c r="G72" t="s">
        <v>10</v>
      </c>
      <c r="H72">
        <f>H68+H69</f>
        <v>47.090276878352682</v>
      </c>
      <c r="J72" s="3"/>
    </row>
    <row r="73" spans="7:10" x14ac:dyDescent="0.2">
      <c r="J73" s="3"/>
    </row>
    <row r="74" spans="7:10" x14ac:dyDescent="0.2">
      <c r="J74" s="3"/>
    </row>
    <row r="75" spans="7:10" x14ac:dyDescent="0.2">
      <c r="J75" s="3"/>
    </row>
    <row r="76" spans="7:10" x14ac:dyDescent="0.2">
      <c r="J76" s="3"/>
    </row>
    <row r="77" spans="7:10" x14ac:dyDescent="0.2">
      <c r="J77" s="3"/>
    </row>
    <row r="78" spans="7:10" ht="15" x14ac:dyDescent="0.25">
      <c r="G78" s="1" t="s">
        <v>23</v>
      </c>
      <c r="J78" s="3"/>
    </row>
    <row r="79" spans="7:10" x14ac:dyDescent="0.2">
      <c r="G79" t="s">
        <v>0</v>
      </c>
      <c r="H79">
        <f>COUNT(E2:E61)</f>
        <v>15</v>
      </c>
      <c r="J79" s="3"/>
    </row>
    <row r="80" spans="7:10" x14ac:dyDescent="0.2">
      <c r="G80" t="s">
        <v>1</v>
      </c>
      <c r="H80">
        <f>SQRT(H79)</f>
        <v>3.872983346207417</v>
      </c>
      <c r="J80" s="3"/>
    </row>
    <row r="81" spans="7:10" x14ac:dyDescent="0.2">
      <c r="G81" t="s">
        <v>2</v>
      </c>
      <c r="H81">
        <f>MIN(E2:E76)</f>
        <v>1250</v>
      </c>
      <c r="J81" s="3"/>
    </row>
    <row r="82" spans="7:10" x14ac:dyDescent="0.2">
      <c r="G82" t="s">
        <v>3</v>
      </c>
      <c r="H82">
        <f>MAX(E2:E76)</f>
        <v>3723.9</v>
      </c>
      <c r="J82" s="3"/>
    </row>
    <row r="83" spans="7:10" x14ac:dyDescent="0.2">
      <c r="G83" t="s">
        <v>4</v>
      </c>
      <c r="H83">
        <f>H82-H81</f>
        <v>2473.9</v>
      </c>
      <c r="J83" s="3">
        <v>1250</v>
      </c>
    </row>
    <row r="84" spans="7:10" x14ac:dyDescent="0.2">
      <c r="G84" t="s">
        <v>5</v>
      </c>
      <c r="H84">
        <f>H83/H80</f>
        <v>638.75823334550194</v>
      </c>
      <c r="J84" s="3">
        <f>J83+750</f>
        <v>2000</v>
      </c>
    </row>
    <row r="85" spans="7:10" x14ac:dyDescent="0.2">
      <c r="J85" s="3">
        <f>J84+750</f>
        <v>2750</v>
      </c>
    </row>
    <row r="86" spans="7:10" x14ac:dyDescent="0.2">
      <c r="G86" t="s">
        <v>6</v>
      </c>
      <c r="H86">
        <f>MEDIAN(E2:E76)</f>
        <v>1624.9</v>
      </c>
      <c r="J86" s="3">
        <f>J85+750</f>
        <v>3500</v>
      </c>
    </row>
    <row r="87" spans="7:10" x14ac:dyDescent="0.2">
      <c r="G87" t="s">
        <v>7</v>
      </c>
      <c r="H87">
        <f>AVERAGE(E2:E76)</f>
        <v>1972.6333333333337</v>
      </c>
      <c r="J87" s="3">
        <f>J86+750</f>
        <v>4250</v>
      </c>
    </row>
    <row r="88" spans="7:10" x14ac:dyDescent="0.2">
      <c r="G88" t="s">
        <v>8</v>
      </c>
      <c r="H88">
        <f>_xlfn.STDEV.S(E2:E76)</f>
        <v>703.48142595712227</v>
      </c>
      <c r="J88" s="3"/>
    </row>
    <row r="89" spans="7:10" x14ac:dyDescent="0.2">
      <c r="J89" s="3"/>
    </row>
    <row r="90" spans="7:10" x14ac:dyDescent="0.2">
      <c r="G90" t="s">
        <v>9</v>
      </c>
      <c r="H90">
        <f>H87-H88</f>
        <v>1269.1519073762115</v>
      </c>
      <c r="J90" s="3"/>
    </row>
    <row r="91" spans="7:10" x14ac:dyDescent="0.2">
      <c r="G91" t="s">
        <v>10</v>
      </c>
      <c r="H91">
        <f>H87+H88</f>
        <v>2676.1147592904558</v>
      </c>
      <c r="J91" s="3"/>
    </row>
    <row r="92" spans="7:10" x14ac:dyDescent="0.2">
      <c r="J92" s="3"/>
    </row>
    <row r="93" spans="7:10" x14ac:dyDescent="0.2">
      <c r="J93" s="3"/>
    </row>
    <row r="94" spans="7:10" x14ac:dyDescent="0.2">
      <c r="J94" s="3"/>
    </row>
    <row r="95" spans="7:10" x14ac:dyDescent="0.2">
      <c r="J95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70" zoomScaleNormal="70" workbookViewId="0">
      <selection activeCell="G79" sqref="G79"/>
    </sheetView>
  </sheetViews>
  <sheetFormatPr defaultRowHeight="14.25" x14ac:dyDescent="0.2"/>
  <cols>
    <col min="1" max="1" width="19.375" bestFit="1" customWidth="1"/>
    <col min="2" max="2" width="27.5" bestFit="1" customWidth="1"/>
    <col min="3" max="3" width="37.5" bestFit="1" customWidth="1"/>
    <col min="4" max="4" width="30.5" bestFit="1" customWidth="1"/>
    <col min="5" max="5" width="28.5" bestFit="1" customWidth="1"/>
    <col min="7" max="7" width="19.125" bestFit="1" customWidth="1"/>
  </cols>
  <sheetData>
    <row r="1" spans="1:8" ht="15" x14ac:dyDescent="0.25">
      <c r="A1" s="1" t="s">
        <v>12</v>
      </c>
      <c r="B1" s="1" t="s">
        <v>13</v>
      </c>
      <c r="C1" s="1" t="s">
        <v>14</v>
      </c>
      <c r="D1" s="1" t="s">
        <v>21</v>
      </c>
      <c r="E1" s="1" t="s">
        <v>15</v>
      </c>
      <c r="F1" s="1"/>
      <c r="G1" s="1" t="s">
        <v>16</v>
      </c>
    </row>
    <row r="2" spans="1:8" x14ac:dyDescent="0.2">
      <c r="A2">
        <v>45.6</v>
      </c>
      <c r="B2">
        <v>10</v>
      </c>
      <c r="C2">
        <v>44.1</v>
      </c>
      <c r="D2">
        <v>29.3</v>
      </c>
      <c r="E2">
        <v>802.5</v>
      </c>
      <c r="G2" t="s">
        <v>0</v>
      </c>
      <c r="H2">
        <f>COUNT(A2:A61)</f>
        <v>20</v>
      </c>
    </row>
    <row r="3" spans="1:8" x14ac:dyDescent="0.2">
      <c r="A3">
        <v>46.6</v>
      </c>
      <c r="B3">
        <v>11.5</v>
      </c>
      <c r="C3">
        <v>56.9</v>
      </c>
      <c r="D3">
        <v>33.799999999999997</v>
      </c>
      <c r="E3">
        <v>925.2</v>
      </c>
      <c r="G3" t="s">
        <v>1</v>
      </c>
      <c r="H3">
        <v>5</v>
      </c>
    </row>
    <row r="4" spans="1:8" x14ac:dyDescent="0.2">
      <c r="A4">
        <v>47.3</v>
      </c>
      <c r="B4">
        <v>10.8</v>
      </c>
      <c r="G4" t="s">
        <v>2</v>
      </c>
      <c r="H4">
        <f>MIN(A2:A76)</f>
        <v>45.2</v>
      </c>
    </row>
    <row r="5" spans="1:8" x14ac:dyDescent="0.2">
      <c r="A5">
        <v>47.3</v>
      </c>
      <c r="B5">
        <v>10.8</v>
      </c>
      <c r="G5" t="s">
        <v>3</v>
      </c>
      <c r="H5">
        <f>MAX(A2:A76)</f>
        <v>53.1</v>
      </c>
    </row>
    <row r="6" spans="1:8" x14ac:dyDescent="0.2">
      <c r="A6">
        <v>47.7</v>
      </c>
      <c r="B6">
        <v>10.4</v>
      </c>
      <c r="G6" t="s">
        <v>4</v>
      </c>
      <c r="H6">
        <f>H5-H4</f>
        <v>7.8999999999999986</v>
      </c>
    </row>
    <row r="7" spans="1:8" x14ac:dyDescent="0.2">
      <c r="A7">
        <v>48.1</v>
      </c>
      <c r="B7">
        <v>12.5</v>
      </c>
      <c r="G7" t="s">
        <v>5</v>
      </c>
      <c r="H7">
        <f>H6/H3</f>
        <v>1.5799999999999996</v>
      </c>
    </row>
    <row r="8" spans="1:8" x14ac:dyDescent="0.2">
      <c r="A8">
        <v>50</v>
      </c>
      <c r="B8">
        <v>7.1</v>
      </c>
    </row>
    <row r="9" spans="1:8" x14ac:dyDescent="0.2">
      <c r="A9">
        <v>50.6</v>
      </c>
      <c r="B9">
        <v>7.5</v>
      </c>
      <c r="G9" t="s">
        <v>11</v>
      </c>
      <c r="H9">
        <f>MODE(A2:A61)</f>
        <v>47.3</v>
      </c>
    </row>
    <row r="10" spans="1:8" x14ac:dyDescent="0.2">
      <c r="A10">
        <v>51</v>
      </c>
      <c r="B10">
        <v>8.1</v>
      </c>
      <c r="G10" t="s">
        <v>6</v>
      </c>
      <c r="H10">
        <f>MEDIAN(A2:A76)</f>
        <v>49.150000000000006</v>
      </c>
    </row>
    <row r="11" spans="1:8" x14ac:dyDescent="0.2">
      <c r="A11">
        <v>50.4</v>
      </c>
      <c r="B11">
        <v>6.8</v>
      </c>
      <c r="G11" t="s">
        <v>7</v>
      </c>
      <c r="H11">
        <f>AVERAGE(A2:A76)</f>
        <v>49.215000000000003</v>
      </c>
    </row>
    <row r="12" spans="1:8" x14ac:dyDescent="0.2">
      <c r="A12">
        <v>51</v>
      </c>
      <c r="B12">
        <v>7.1</v>
      </c>
      <c r="G12" t="s">
        <v>8</v>
      </c>
      <c r="H12">
        <f>_xlfn.STDEV.S(A2:A76)</f>
        <v>2.307943947143841</v>
      </c>
    </row>
    <row r="13" spans="1:8" x14ac:dyDescent="0.2">
      <c r="A13">
        <v>51.3</v>
      </c>
      <c r="B13">
        <v>7.7</v>
      </c>
    </row>
    <row r="14" spans="1:8" x14ac:dyDescent="0.2">
      <c r="A14">
        <v>52.3</v>
      </c>
      <c r="B14">
        <v>5</v>
      </c>
      <c r="G14" t="s">
        <v>9</v>
      </c>
      <c r="H14">
        <f>H11-H12</f>
        <v>46.907056052856163</v>
      </c>
    </row>
    <row r="15" spans="1:8" x14ac:dyDescent="0.2">
      <c r="A15">
        <v>52.5</v>
      </c>
      <c r="B15">
        <v>5.6</v>
      </c>
      <c r="G15" t="s">
        <v>10</v>
      </c>
      <c r="H15">
        <f>H11+H12</f>
        <v>51.522943947143844</v>
      </c>
    </row>
    <row r="16" spans="1:8" x14ac:dyDescent="0.2">
      <c r="A16">
        <v>53.1</v>
      </c>
      <c r="B16">
        <v>5.8</v>
      </c>
    </row>
    <row r="17" spans="1:8" x14ac:dyDescent="0.2">
      <c r="A17">
        <v>47.2</v>
      </c>
      <c r="B17">
        <v>8.4</v>
      </c>
    </row>
    <row r="18" spans="1:8" x14ac:dyDescent="0.2">
      <c r="A18">
        <v>48.8</v>
      </c>
      <c r="B18">
        <v>10</v>
      </c>
    </row>
    <row r="19" spans="1:8" x14ac:dyDescent="0.2">
      <c r="A19">
        <v>45.2</v>
      </c>
      <c r="B19">
        <v>8.6</v>
      </c>
    </row>
    <row r="20" spans="1:8" x14ac:dyDescent="0.2">
      <c r="A20">
        <v>49.1</v>
      </c>
      <c r="B20">
        <v>12</v>
      </c>
    </row>
    <row r="21" spans="1:8" ht="15" x14ac:dyDescent="0.25">
      <c r="A21">
        <v>49.2</v>
      </c>
      <c r="B21">
        <v>9.4</v>
      </c>
      <c r="G21" s="1" t="s">
        <v>17</v>
      </c>
    </row>
    <row r="22" spans="1:8" x14ac:dyDescent="0.2">
      <c r="G22" t="s">
        <v>0</v>
      </c>
      <c r="H22">
        <f>COUNT(B2:B61)</f>
        <v>20</v>
      </c>
    </row>
    <row r="23" spans="1:8" x14ac:dyDescent="0.2">
      <c r="G23" t="s">
        <v>1</v>
      </c>
      <c r="H23">
        <v>5</v>
      </c>
    </row>
    <row r="24" spans="1:8" x14ac:dyDescent="0.2">
      <c r="G24" t="s">
        <v>2</v>
      </c>
      <c r="H24">
        <f>MIN(B2:B76)</f>
        <v>5</v>
      </c>
    </row>
    <row r="25" spans="1:8" x14ac:dyDescent="0.2">
      <c r="G25" t="s">
        <v>3</v>
      </c>
      <c r="H25">
        <f>MAX(B2:B76)</f>
        <v>12.5</v>
      </c>
    </row>
    <row r="26" spans="1:8" x14ac:dyDescent="0.2">
      <c r="G26" t="s">
        <v>4</v>
      </c>
      <c r="H26">
        <f>H25-H24</f>
        <v>7.5</v>
      </c>
    </row>
    <row r="27" spans="1:8" x14ac:dyDescent="0.2">
      <c r="G27" t="s">
        <v>5</v>
      </c>
      <c r="H27">
        <f>H26/H23</f>
        <v>1.5</v>
      </c>
    </row>
    <row r="29" spans="1:8" x14ac:dyDescent="0.2">
      <c r="G29" t="s">
        <v>6</v>
      </c>
      <c r="H29">
        <f>MEDIAN(B2:B76)</f>
        <v>8.5</v>
      </c>
    </row>
    <row r="30" spans="1:8" x14ac:dyDescent="0.2">
      <c r="G30" t="s">
        <v>7</v>
      </c>
      <c r="H30">
        <f>AVERAGE(B2:B76)</f>
        <v>8.754999999999999</v>
      </c>
    </row>
    <row r="31" spans="1:8" x14ac:dyDescent="0.2">
      <c r="G31" t="s">
        <v>8</v>
      </c>
      <c r="H31">
        <f>_xlfn.STDEV.S(B2:B76)</f>
        <v>2.2008311826982232</v>
      </c>
    </row>
    <row r="33" spans="7:8" x14ac:dyDescent="0.2">
      <c r="G33" t="s">
        <v>9</v>
      </c>
      <c r="H33">
        <f>H30-H31</f>
        <v>6.5541688173017754</v>
      </c>
    </row>
    <row r="34" spans="7:8" x14ac:dyDescent="0.2">
      <c r="G34" t="s">
        <v>10</v>
      </c>
      <c r="H34">
        <f>H30+H31</f>
        <v>10.955831182698223</v>
      </c>
    </row>
    <row r="41" spans="7:8" ht="15" x14ac:dyDescent="0.25">
      <c r="G41" s="1" t="s">
        <v>18</v>
      </c>
    </row>
    <row r="42" spans="7:8" x14ac:dyDescent="0.2">
      <c r="G42" t="s">
        <v>0</v>
      </c>
      <c r="H42">
        <f>COUNT(C2:C61)</f>
        <v>2</v>
      </c>
    </row>
    <row r="43" spans="7:8" x14ac:dyDescent="0.2">
      <c r="G43" t="s">
        <v>1</v>
      </c>
      <c r="H43">
        <f>SQRT(H42)</f>
        <v>1.4142135623730951</v>
      </c>
    </row>
    <row r="44" spans="7:8" x14ac:dyDescent="0.2">
      <c r="G44" t="s">
        <v>2</v>
      </c>
      <c r="H44">
        <f>MIN(C2:C76)</f>
        <v>44.1</v>
      </c>
    </row>
    <row r="45" spans="7:8" x14ac:dyDescent="0.2">
      <c r="G45" t="s">
        <v>3</v>
      </c>
      <c r="H45">
        <f>MAX(C2:C76)</f>
        <v>56.9</v>
      </c>
    </row>
    <row r="46" spans="7:8" x14ac:dyDescent="0.2">
      <c r="G46" t="s">
        <v>4</v>
      </c>
      <c r="H46">
        <f>H45-H44</f>
        <v>12.799999999999997</v>
      </c>
    </row>
    <row r="47" spans="7:8" x14ac:dyDescent="0.2">
      <c r="G47" t="s">
        <v>5</v>
      </c>
      <c r="H47">
        <f>H46/H43</f>
        <v>9.0509667991878064</v>
      </c>
    </row>
    <row r="49" spans="7:8" x14ac:dyDescent="0.2">
      <c r="G49" t="s">
        <v>6</v>
      </c>
      <c r="H49">
        <f>MEDIAN(C2:C76)</f>
        <v>50.5</v>
      </c>
    </row>
    <row r="50" spans="7:8" x14ac:dyDescent="0.2">
      <c r="G50" t="s">
        <v>7</v>
      </c>
      <c r="H50">
        <f>AVERAGE(C2:C76)</f>
        <v>50.5</v>
      </c>
    </row>
    <row r="51" spans="7:8" x14ac:dyDescent="0.2">
      <c r="G51" t="s">
        <v>8</v>
      </c>
      <c r="H51">
        <f>_xlfn.STDEV.S(C2:C76)</f>
        <v>9.0509667991878118</v>
      </c>
    </row>
    <row r="53" spans="7:8" x14ac:dyDescent="0.2">
      <c r="G53" t="s">
        <v>9</v>
      </c>
      <c r="H53">
        <f>H50-H51</f>
        <v>41.449033200812188</v>
      </c>
    </row>
    <row r="54" spans="7:8" x14ac:dyDescent="0.2">
      <c r="G54" t="s">
        <v>10</v>
      </c>
      <c r="H54">
        <f>H50+H51</f>
        <v>59.550966799187812</v>
      </c>
    </row>
    <row r="60" spans="7:8" ht="15" x14ac:dyDescent="0.25">
      <c r="G60" s="1" t="s">
        <v>22</v>
      </c>
    </row>
    <row r="61" spans="7:8" x14ac:dyDescent="0.2">
      <c r="G61" t="s">
        <v>0</v>
      </c>
      <c r="H61">
        <f>COUNT(D2:D61)</f>
        <v>2</v>
      </c>
    </row>
    <row r="62" spans="7:8" x14ac:dyDescent="0.2">
      <c r="G62" t="s">
        <v>1</v>
      </c>
      <c r="H62">
        <f>SQRT(H61)</f>
        <v>1.4142135623730951</v>
      </c>
    </row>
    <row r="63" spans="7:8" x14ac:dyDescent="0.2">
      <c r="G63" t="s">
        <v>2</v>
      </c>
      <c r="H63">
        <f>MIN(D2:D76)</f>
        <v>29.3</v>
      </c>
    </row>
    <row r="64" spans="7:8" x14ac:dyDescent="0.2">
      <c r="G64" t="s">
        <v>3</v>
      </c>
      <c r="H64">
        <f>MAX(D2:D76)</f>
        <v>33.799999999999997</v>
      </c>
    </row>
    <row r="65" spans="7:8" x14ac:dyDescent="0.2">
      <c r="G65" t="s">
        <v>4</v>
      </c>
      <c r="H65">
        <f>H64-H63</f>
        <v>4.4999999999999964</v>
      </c>
    </row>
    <row r="66" spans="7:8" x14ac:dyDescent="0.2">
      <c r="G66" t="s">
        <v>5</v>
      </c>
      <c r="H66">
        <f>H65/H62</f>
        <v>3.1819805153394611</v>
      </c>
    </row>
    <row r="68" spans="7:8" x14ac:dyDescent="0.2">
      <c r="G68" t="s">
        <v>6</v>
      </c>
      <c r="H68">
        <f>MEDIAN(D2:D76)</f>
        <v>31.549999999999997</v>
      </c>
    </row>
    <row r="69" spans="7:8" x14ac:dyDescent="0.2">
      <c r="G69" t="s">
        <v>7</v>
      </c>
      <c r="H69">
        <f>AVERAGE(D2:D76)</f>
        <v>31.549999999999997</v>
      </c>
    </row>
    <row r="70" spans="7:8" x14ac:dyDescent="0.2">
      <c r="G70" t="s">
        <v>8</v>
      </c>
      <c r="H70">
        <f>_xlfn.STDEV.S(D2:D76)</f>
        <v>3.1819805153394611</v>
      </c>
    </row>
    <row r="72" spans="7:8" x14ac:dyDescent="0.2">
      <c r="G72" t="s">
        <v>9</v>
      </c>
      <c r="H72">
        <f>H69-H70</f>
        <v>28.368019484660536</v>
      </c>
    </row>
    <row r="73" spans="7:8" x14ac:dyDescent="0.2">
      <c r="G73" t="s">
        <v>10</v>
      </c>
      <c r="H73">
        <f>H69+H70</f>
        <v>34.731980515339458</v>
      </c>
    </row>
    <row r="79" spans="7:8" ht="15" x14ac:dyDescent="0.25">
      <c r="G79" s="1" t="s">
        <v>23</v>
      </c>
    </row>
    <row r="80" spans="7:8" x14ac:dyDescent="0.2">
      <c r="G80" t="s">
        <v>0</v>
      </c>
      <c r="H80">
        <f>COUNT(E2:E61)</f>
        <v>2</v>
      </c>
    </row>
    <row r="81" spans="7:8" x14ac:dyDescent="0.2">
      <c r="G81" t="s">
        <v>1</v>
      </c>
      <c r="H81">
        <f>SQRT(H80)</f>
        <v>1.4142135623730951</v>
      </c>
    </row>
    <row r="82" spans="7:8" x14ac:dyDescent="0.2">
      <c r="G82" t="s">
        <v>2</v>
      </c>
      <c r="H82">
        <f>MIN(E2:E76)</f>
        <v>802.5</v>
      </c>
    </row>
    <row r="83" spans="7:8" x14ac:dyDescent="0.2">
      <c r="G83" t="s">
        <v>3</v>
      </c>
      <c r="H83">
        <f>MAX(E2:E76)</f>
        <v>925.2</v>
      </c>
    </row>
    <row r="84" spans="7:8" x14ac:dyDescent="0.2">
      <c r="G84" t="s">
        <v>4</v>
      </c>
      <c r="H84">
        <f>H83-H82</f>
        <v>122.70000000000005</v>
      </c>
    </row>
    <row r="85" spans="7:8" x14ac:dyDescent="0.2">
      <c r="G85" t="s">
        <v>5</v>
      </c>
      <c r="H85">
        <f>H84/H81</f>
        <v>86.762002051589405</v>
      </c>
    </row>
    <row r="87" spans="7:8" x14ac:dyDescent="0.2">
      <c r="G87" t="s">
        <v>6</v>
      </c>
      <c r="H87">
        <f>MEDIAN(E2:E76)</f>
        <v>863.85</v>
      </c>
    </row>
    <row r="88" spans="7:8" x14ac:dyDescent="0.2">
      <c r="G88" t="s">
        <v>7</v>
      </c>
      <c r="H88">
        <f>AVERAGE(E2:E76)</f>
        <v>863.85</v>
      </c>
    </row>
    <row r="89" spans="7:8" x14ac:dyDescent="0.2">
      <c r="G89" t="s">
        <v>8</v>
      </c>
      <c r="H89">
        <f>_xlfn.STDEV.S(E2:E76)</f>
        <v>86.76200205158942</v>
      </c>
    </row>
    <row r="91" spans="7:8" x14ac:dyDescent="0.2">
      <c r="G91" t="s">
        <v>9</v>
      </c>
      <c r="H91">
        <f>H88-H89</f>
        <v>777.08799794841059</v>
      </c>
    </row>
    <row r="92" spans="7:8" x14ac:dyDescent="0.2">
      <c r="G92" t="s">
        <v>10</v>
      </c>
      <c r="H92">
        <f>H88+H89</f>
        <v>950.61200205158946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="70" zoomScaleNormal="70" workbookViewId="0">
      <selection activeCell="E19" sqref="E19"/>
    </sheetView>
  </sheetViews>
  <sheetFormatPr defaultRowHeight="14.25" x14ac:dyDescent="0.2"/>
  <cols>
    <col min="1" max="1" width="19.375" bestFit="1" customWidth="1"/>
    <col min="2" max="2" width="27.5" bestFit="1" customWidth="1"/>
    <col min="3" max="3" width="37.5" bestFit="1" customWidth="1"/>
    <col min="4" max="4" width="30.125" bestFit="1" customWidth="1"/>
    <col min="5" max="5" width="28.5" bestFit="1" customWidth="1"/>
    <col min="7" max="7" width="19.125" bestFit="1" customWidth="1"/>
    <col min="11" max="11" width="17.375" bestFit="1" customWidth="1"/>
    <col min="12" max="12" width="15.625" bestFit="1" customWidth="1"/>
  </cols>
  <sheetData>
    <row r="1" spans="1:12" ht="15" x14ac:dyDescent="0.25">
      <c r="A1" s="1" t="s">
        <v>12</v>
      </c>
      <c r="B1" s="1" t="s">
        <v>13</v>
      </c>
      <c r="C1" s="1" t="s">
        <v>14</v>
      </c>
      <c r="D1" s="1" t="s">
        <v>21</v>
      </c>
      <c r="E1" s="1" t="s">
        <v>15</v>
      </c>
      <c r="F1" s="1"/>
      <c r="G1" s="1" t="s">
        <v>16</v>
      </c>
      <c r="K1" t="s">
        <v>19</v>
      </c>
      <c r="L1" t="s">
        <v>20</v>
      </c>
    </row>
    <row r="2" spans="1:12" x14ac:dyDescent="0.2">
      <c r="A2">
        <v>36.5</v>
      </c>
      <c r="B2">
        <v>8</v>
      </c>
      <c r="C2">
        <v>61.7</v>
      </c>
      <c r="D2">
        <v>33.9</v>
      </c>
      <c r="E2">
        <v>1773</v>
      </c>
      <c r="G2" t="s">
        <v>0</v>
      </c>
      <c r="H2">
        <f>COUNT(A2:A100)</f>
        <v>54</v>
      </c>
      <c r="J2">
        <v>25</v>
      </c>
      <c r="K2" s="4">
        <v>0</v>
      </c>
      <c r="L2" s="5">
        <v>1.25</v>
      </c>
    </row>
    <row r="3" spans="1:12" x14ac:dyDescent="0.2">
      <c r="A3">
        <v>36.700000000000003</v>
      </c>
      <c r="B3">
        <v>7.7</v>
      </c>
      <c r="C3">
        <v>64.7</v>
      </c>
      <c r="D3">
        <v>37.5</v>
      </c>
      <c r="E3">
        <v>1837.1</v>
      </c>
      <c r="G3" t="s">
        <v>1</v>
      </c>
      <c r="H3">
        <f>SQRT(H2)</f>
        <v>7.3484692283495345</v>
      </c>
      <c r="J3">
        <v>30</v>
      </c>
      <c r="K3" s="4">
        <v>5.5555555555555554</v>
      </c>
      <c r="L3" s="5">
        <v>10</v>
      </c>
    </row>
    <row r="4" spans="1:12" x14ac:dyDescent="0.2">
      <c r="A4">
        <v>37.1</v>
      </c>
      <c r="B4">
        <v>7.3</v>
      </c>
      <c r="C4">
        <v>78</v>
      </c>
      <c r="D4">
        <v>36</v>
      </c>
      <c r="E4">
        <f>1340.8*0.8</f>
        <v>1072.6400000000001</v>
      </c>
      <c r="G4" t="s">
        <v>2</v>
      </c>
      <c r="H4">
        <f>MIN(A2:A100)</f>
        <v>28.6</v>
      </c>
      <c r="J4">
        <v>35</v>
      </c>
      <c r="K4" s="4">
        <v>7.4074074074074066</v>
      </c>
      <c r="L4" s="5">
        <v>41.25</v>
      </c>
    </row>
    <row r="5" spans="1:12" x14ac:dyDescent="0.2">
      <c r="A5">
        <v>37.4</v>
      </c>
      <c r="B5">
        <v>7</v>
      </c>
      <c r="C5">
        <v>72.599999999999994</v>
      </c>
      <c r="D5">
        <v>29.2</v>
      </c>
      <c r="E5">
        <v>5110</v>
      </c>
      <c r="G5" t="s">
        <v>3</v>
      </c>
      <c r="H5">
        <f>MAX(A2:A100)</f>
        <v>60.6</v>
      </c>
      <c r="J5">
        <v>40</v>
      </c>
      <c r="K5" s="4">
        <v>27.777777777777779</v>
      </c>
      <c r="L5" s="5">
        <v>15</v>
      </c>
    </row>
    <row r="6" spans="1:12" x14ac:dyDescent="0.2">
      <c r="A6">
        <v>36.4</v>
      </c>
      <c r="B6">
        <v>8</v>
      </c>
      <c r="C6">
        <v>78.099999999999994</v>
      </c>
      <c r="D6">
        <v>26.3</v>
      </c>
      <c r="E6">
        <v>2315.1999999999998</v>
      </c>
      <c r="G6" t="s">
        <v>4</v>
      </c>
      <c r="H6">
        <f>H5-H4</f>
        <v>32</v>
      </c>
      <c r="J6">
        <v>45</v>
      </c>
      <c r="K6" s="4">
        <v>18.518518518518519</v>
      </c>
      <c r="L6" s="5">
        <v>7.5</v>
      </c>
    </row>
    <row r="7" spans="1:12" x14ac:dyDescent="0.2">
      <c r="A7">
        <v>30.3</v>
      </c>
      <c r="B7">
        <v>7.5</v>
      </c>
      <c r="C7">
        <v>76.099999999999994</v>
      </c>
      <c r="E7">
        <v>1911</v>
      </c>
      <c r="G7" t="s">
        <v>5</v>
      </c>
      <c r="H7">
        <f>H6/H3</f>
        <v>4.3546484316145389</v>
      </c>
      <c r="J7">
        <v>50</v>
      </c>
      <c r="K7" s="4">
        <v>25.925925925925924</v>
      </c>
      <c r="L7" s="5">
        <v>15</v>
      </c>
    </row>
    <row r="8" spans="1:12" x14ac:dyDescent="0.2">
      <c r="A8">
        <v>29.1</v>
      </c>
      <c r="B8">
        <v>8.6999999999999993</v>
      </c>
      <c r="E8">
        <v>2031</v>
      </c>
      <c r="J8">
        <v>55</v>
      </c>
      <c r="K8" s="4">
        <v>11.111111111111111</v>
      </c>
      <c r="L8" s="5">
        <v>10</v>
      </c>
    </row>
    <row r="9" spans="1:12" x14ac:dyDescent="0.2">
      <c r="A9">
        <v>28.8</v>
      </c>
      <c r="B9">
        <v>9</v>
      </c>
      <c r="G9" t="s">
        <v>11</v>
      </c>
      <c r="H9">
        <f>MODE(A2:A100)</f>
        <v>51</v>
      </c>
      <c r="J9">
        <v>60</v>
      </c>
      <c r="K9" s="4">
        <v>0</v>
      </c>
      <c r="L9" s="5">
        <v>0</v>
      </c>
    </row>
    <row r="10" spans="1:12" x14ac:dyDescent="0.2">
      <c r="A10">
        <v>28.6</v>
      </c>
      <c r="B10">
        <v>9.1999999999999993</v>
      </c>
      <c r="G10" t="s">
        <v>6</v>
      </c>
      <c r="H10">
        <f>MEDIAN(A2:A100)</f>
        <v>42.55</v>
      </c>
      <c r="J10">
        <v>65</v>
      </c>
      <c r="K10" s="4">
        <v>3.7037037037037033</v>
      </c>
      <c r="L10" s="5">
        <v>0</v>
      </c>
    </row>
    <row r="11" spans="1:12" x14ac:dyDescent="0.2">
      <c r="A11">
        <v>37.799999999999997</v>
      </c>
      <c r="B11">
        <v>4.4000000000000004</v>
      </c>
      <c r="G11" t="s">
        <v>7</v>
      </c>
      <c r="H11">
        <f>AVERAGE(A2:A100)</f>
        <v>42.50925925925926</v>
      </c>
      <c r="K11" s="4"/>
      <c r="L11" s="4"/>
    </row>
    <row r="12" spans="1:12" x14ac:dyDescent="0.2">
      <c r="A12">
        <v>40.200000000000003</v>
      </c>
      <c r="B12">
        <v>2.4</v>
      </c>
      <c r="G12" t="s">
        <v>8</v>
      </c>
      <c r="H12">
        <f>_xlfn.STDEV.S(A2:A100)</f>
        <v>7.2965297649472829</v>
      </c>
      <c r="K12" s="4"/>
      <c r="L12" s="4"/>
    </row>
    <row r="13" spans="1:12" x14ac:dyDescent="0.2">
      <c r="A13">
        <v>35.6</v>
      </c>
      <c r="B13">
        <v>3.1</v>
      </c>
      <c r="K13" s="4"/>
      <c r="L13" s="4"/>
    </row>
    <row r="14" spans="1:12" x14ac:dyDescent="0.2">
      <c r="A14">
        <v>34.9</v>
      </c>
      <c r="B14">
        <v>9.9</v>
      </c>
      <c r="G14" t="s">
        <v>9</v>
      </c>
      <c r="H14">
        <f>H11-H12</f>
        <v>35.212729494311979</v>
      </c>
      <c r="K14" s="4"/>
      <c r="L14" s="4"/>
    </row>
    <row r="15" spans="1:12" x14ac:dyDescent="0.2">
      <c r="A15">
        <v>48.9</v>
      </c>
      <c r="B15">
        <v>8.1</v>
      </c>
      <c r="G15" t="s">
        <v>10</v>
      </c>
      <c r="H15">
        <f>H11+H12</f>
        <v>49.80578902420654</v>
      </c>
      <c r="K15" s="4"/>
      <c r="L15" s="4"/>
    </row>
    <row r="16" spans="1:12" x14ac:dyDescent="0.2">
      <c r="A16">
        <v>50.7</v>
      </c>
      <c r="B16">
        <v>9.6999999999999993</v>
      </c>
      <c r="K16" s="4"/>
      <c r="L16" s="4"/>
    </row>
    <row r="17" spans="1:12" x14ac:dyDescent="0.2">
      <c r="A17">
        <v>49.1</v>
      </c>
      <c r="B17">
        <v>8.1</v>
      </c>
      <c r="K17" s="4"/>
      <c r="L17" s="4"/>
    </row>
    <row r="18" spans="1:12" ht="15" x14ac:dyDescent="0.25">
      <c r="A18">
        <v>50.7</v>
      </c>
      <c r="B18">
        <v>9.6</v>
      </c>
      <c r="G18" s="1" t="s">
        <v>17</v>
      </c>
      <c r="K18" s="4" t="s">
        <v>19</v>
      </c>
      <c r="L18" s="4" t="s">
        <v>20</v>
      </c>
    </row>
    <row r="19" spans="1:12" x14ac:dyDescent="0.2">
      <c r="A19">
        <v>49.2</v>
      </c>
      <c r="B19">
        <v>7.9</v>
      </c>
      <c r="G19" t="s">
        <v>0</v>
      </c>
      <c r="H19">
        <f>COUNT(B2:B100)</f>
        <v>30</v>
      </c>
      <c r="J19">
        <v>2</v>
      </c>
      <c r="K19" s="4">
        <v>0</v>
      </c>
      <c r="L19" s="4">
        <v>1.25</v>
      </c>
    </row>
    <row r="20" spans="1:12" x14ac:dyDescent="0.2">
      <c r="A20">
        <v>50.9</v>
      </c>
      <c r="B20">
        <v>9.5</v>
      </c>
      <c r="G20" t="s">
        <v>1</v>
      </c>
      <c r="H20">
        <v>5</v>
      </c>
      <c r="J20">
        <v>4</v>
      </c>
      <c r="K20" s="4">
        <v>6.666666666666667</v>
      </c>
      <c r="L20" s="4">
        <v>10</v>
      </c>
    </row>
    <row r="21" spans="1:12" x14ac:dyDescent="0.2">
      <c r="A21">
        <v>49.3</v>
      </c>
      <c r="B21">
        <v>7.8</v>
      </c>
      <c r="G21" t="s">
        <v>2</v>
      </c>
      <c r="H21">
        <f>MIN(B2:B76)</f>
        <v>2.4</v>
      </c>
      <c r="J21">
        <v>6</v>
      </c>
      <c r="K21" s="4">
        <v>3.3333333333333335</v>
      </c>
      <c r="L21" s="4">
        <v>23.75</v>
      </c>
    </row>
    <row r="22" spans="1:12" x14ac:dyDescent="0.2">
      <c r="A22">
        <v>51</v>
      </c>
      <c r="B22">
        <v>9.5</v>
      </c>
      <c r="G22" t="s">
        <v>3</v>
      </c>
      <c r="H22">
        <f>MAX(B2:B76)</f>
        <v>10.199999999999999</v>
      </c>
      <c r="J22">
        <v>8</v>
      </c>
      <c r="K22" s="4">
        <v>40</v>
      </c>
      <c r="L22" s="4">
        <v>40</v>
      </c>
    </row>
    <row r="23" spans="1:12" x14ac:dyDescent="0.2">
      <c r="A23">
        <v>49.4</v>
      </c>
      <c r="B23">
        <v>7.8</v>
      </c>
      <c r="G23" t="s">
        <v>4</v>
      </c>
      <c r="H23">
        <f>H22-H21</f>
        <v>7.7999999999999989</v>
      </c>
      <c r="J23">
        <v>10</v>
      </c>
      <c r="K23" s="4">
        <v>46.666666666666664</v>
      </c>
      <c r="L23" s="4">
        <v>13.750000000000002</v>
      </c>
    </row>
    <row r="24" spans="1:12" x14ac:dyDescent="0.2">
      <c r="A24">
        <v>51</v>
      </c>
      <c r="B24">
        <v>10.199999999999999</v>
      </c>
      <c r="G24" t="s">
        <v>5</v>
      </c>
      <c r="H24">
        <f>H23/H20</f>
        <v>1.5599999999999998</v>
      </c>
      <c r="J24">
        <v>12</v>
      </c>
      <c r="K24" s="4">
        <v>3.3333333333333335</v>
      </c>
      <c r="L24" s="4">
        <v>8.75</v>
      </c>
    </row>
    <row r="25" spans="1:12" x14ac:dyDescent="0.2">
      <c r="A25">
        <v>46.6</v>
      </c>
      <c r="B25">
        <v>7.4</v>
      </c>
      <c r="J25">
        <v>14</v>
      </c>
      <c r="K25" s="4">
        <v>0</v>
      </c>
      <c r="L25" s="4">
        <v>1.25</v>
      </c>
    </row>
    <row r="26" spans="1:12" x14ac:dyDescent="0.2">
      <c r="A26">
        <v>46.2</v>
      </c>
      <c r="B26">
        <v>6.4</v>
      </c>
      <c r="G26" t="s">
        <v>6</v>
      </c>
      <c r="H26">
        <f>MEDIAN(B2:B76)</f>
        <v>8.0500000000000007</v>
      </c>
      <c r="J26">
        <v>16</v>
      </c>
      <c r="K26" s="4"/>
      <c r="L26" s="4">
        <v>1.25</v>
      </c>
    </row>
    <row r="27" spans="1:12" x14ac:dyDescent="0.2">
      <c r="A27">
        <v>60.6</v>
      </c>
      <c r="B27">
        <v>8.5</v>
      </c>
      <c r="G27" t="s">
        <v>7</v>
      </c>
      <c r="H27">
        <f>AVERAGE(B2:B76)</f>
        <v>7.8900000000000006</v>
      </c>
      <c r="K27" s="4"/>
      <c r="L27" s="4"/>
    </row>
    <row r="28" spans="1:12" x14ac:dyDescent="0.2">
      <c r="A28">
        <v>42.3</v>
      </c>
      <c r="B28">
        <v>8.4</v>
      </c>
      <c r="G28" t="s">
        <v>8</v>
      </c>
      <c r="H28">
        <f>_xlfn.STDEV.S(B2:B76)</f>
        <v>1.8232880491970569</v>
      </c>
      <c r="K28" s="4"/>
      <c r="L28" s="4"/>
    </row>
    <row r="29" spans="1:12" x14ac:dyDescent="0.2">
      <c r="A29">
        <v>46</v>
      </c>
      <c r="B29">
        <v>7.8</v>
      </c>
      <c r="K29" s="4"/>
      <c r="L29" s="4"/>
    </row>
    <row r="30" spans="1:12" x14ac:dyDescent="0.2">
      <c r="A30">
        <v>51</v>
      </c>
      <c r="B30">
        <v>9.1999999999999993</v>
      </c>
      <c r="G30" t="s">
        <v>9</v>
      </c>
      <c r="H30">
        <f>H27-H28</f>
        <v>6.0667119508029437</v>
      </c>
      <c r="K30" s="4"/>
      <c r="L30" s="4"/>
    </row>
    <row r="31" spans="1:12" x14ac:dyDescent="0.2">
      <c r="A31">
        <v>41.7</v>
      </c>
      <c r="B31">
        <v>8.6</v>
      </c>
      <c r="G31" t="s">
        <v>10</v>
      </c>
      <c r="H31">
        <f>H27+H28</f>
        <v>9.7132880491970575</v>
      </c>
      <c r="K31" s="4"/>
      <c r="L31" s="4"/>
    </row>
    <row r="32" spans="1:12" x14ac:dyDescent="0.2">
      <c r="A32">
        <v>39.6</v>
      </c>
      <c r="K32" s="4"/>
      <c r="L32" s="4"/>
    </row>
    <row r="33" spans="1:12" x14ac:dyDescent="0.2">
      <c r="A33">
        <v>43.1</v>
      </c>
      <c r="K33" s="4"/>
      <c r="L33" s="4"/>
    </row>
    <row r="34" spans="1:12" x14ac:dyDescent="0.2">
      <c r="A34">
        <v>42.4</v>
      </c>
      <c r="K34" s="4"/>
      <c r="L34" s="4"/>
    </row>
    <row r="35" spans="1:12" x14ac:dyDescent="0.2">
      <c r="A35">
        <v>34.200000000000003</v>
      </c>
      <c r="K35" s="4"/>
      <c r="L35" s="4"/>
    </row>
    <row r="36" spans="1:12" x14ac:dyDescent="0.2">
      <c r="A36">
        <v>37</v>
      </c>
      <c r="K36" s="4"/>
      <c r="L36" s="4"/>
    </row>
    <row r="37" spans="1:12" x14ac:dyDescent="0.2">
      <c r="A37">
        <v>41</v>
      </c>
      <c r="K37" s="4"/>
      <c r="L37" s="4"/>
    </row>
    <row r="38" spans="1:12" x14ac:dyDescent="0.2">
      <c r="A38">
        <v>42.7</v>
      </c>
      <c r="K38" s="4"/>
      <c r="L38" s="4"/>
    </row>
    <row r="39" spans="1:12" x14ac:dyDescent="0.2">
      <c r="A39">
        <v>45.4</v>
      </c>
      <c r="K39" s="4"/>
      <c r="L39" s="4"/>
    </row>
    <row r="40" spans="1:12" x14ac:dyDescent="0.2">
      <c r="A40">
        <v>33.1</v>
      </c>
      <c r="K40" s="4"/>
      <c r="L40" s="4"/>
    </row>
    <row r="41" spans="1:12" ht="15" x14ac:dyDescent="0.25">
      <c r="A41">
        <v>43.2</v>
      </c>
      <c r="G41" s="1" t="s">
        <v>18</v>
      </c>
      <c r="K41" s="4" t="s">
        <v>19</v>
      </c>
      <c r="L41" s="4" t="s">
        <v>20</v>
      </c>
    </row>
    <row r="42" spans="1:12" x14ac:dyDescent="0.2">
      <c r="A42">
        <v>37.700000000000003</v>
      </c>
      <c r="G42" t="s">
        <v>0</v>
      </c>
      <c r="H42">
        <f>COUNT(C2:C100)</f>
        <v>6</v>
      </c>
      <c r="J42">
        <v>25</v>
      </c>
      <c r="K42" s="4">
        <v>0</v>
      </c>
      <c r="L42" s="4">
        <v>5</v>
      </c>
    </row>
    <row r="43" spans="1:12" x14ac:dyDescent="0.2">
      <c r="A43">
        <v>37.4</v>
      </c>
      <c r="G43" t="s">
        <v>1</v>
      </c>
      <c r="H43">
        <f>SQRT(H42)</f>
        <v>2.4494897427831779</v>
      </c>
      <c r="J43">
        <v>50</v>
      </c>
      <c r="K43" s="4">
        <v>0</v>
      </c>
      <c r="L43" s="4">
        <v>20</v>
      </c>
    </row>
    <row r="44" spans="1:12" x14ac:dyDescent="0.2">
      <c r="A44">
        <v>37.5</v>
      </c>
      <c r="G44" t="s">
        <v>2</v>
      </c>
      <c r="H44">
        <f>MIN(C2:C100)</f>
        <v>61.7</v>
      </c>
      <c r="J44">
        <v>75</v>
      </c>
      <c r="K44" s="4">
        <v>50</v>
      </c>
      <c r="L44" s="4">
        <v>50</v>
      </c>
    </row>
    <row r="45" spans="1:12" x14ac:dyDescent="0.2">
      <c r="A45">
        <v>38.1</v>
      </c>
      <c r="G45" t="s">
        <v>3</v>
      </c>
      <c r="H45">
        <f>MAX(C2:C100)</f>
        <v>78.099999999999994</v>
      </c>
      <c r="J45">
        <v>100</v>
      </c>
      <c r="K45" s="4">
        <v>50</v>
      </c>
      <c r="L45" s="4">
        <v>15</v>
      </c>
    </row>
    <row r="46" spans="1:12" x14ac:dyDescent="0.2">
      <c r="A46">
        <v>36.700000000000003</v>
      </c>
      <c r="G46" t="s">
        <v>4</v>
      </c>
      <c r="H46">
        <f>H45-H44</f>
        <v>16.399999999999991</v>
      </c>
      <c r="J46">
        <v>125</v>
      </c>
      <c r="K46" s="4">
        <v>0</v>
      </c>
      <c r="L46" s="4">
        <v>10</v>
      </c>
    </row>
    <row r="47" spans="1:12" x14ac:dyDescent="0.2">
      <c r="A47">
        <v>37.299999999999997</v>
      </c>
      <c r="G47" t="s">
        <v>5</v>
      </c>
      <c r="H47">
        <f>H46/H43</f>
        <v>6.6952719636073503</v>
      </c>
    </row>
    <row r="48" spans="1:12" x14ac:dyDescent="0.2">
      <c r="A48">
        <v>46.4</v>
      </c>
    </row>
    <row r="49" spans="1:12" x14ac:dyDescent="0.2">
      <c r="A49">
        <v>60.2</v>
      </c>
      <c r="G49" t="s">
        <v>6</v>
      </c>
      <c r="H49">
        <f>MEDIAN(C2:C100)</f>
        <v>74.349999999999994</v>
      </c>
      <c r="K49" s="4"/>
      <c r="L49" s="4"/>
    </row>
    <row r="50" spans="1:12" x14ac:dyDescent="0.2">
      <c r="A50">
        <v>46.7</v>
      </c>
      <c r="G50" t="s">
        <v>7</v>
      </c>
      <c r="H50">
        <f>AVERAGE(C2:C100)</f>
        <v>71.866666666666674</v>
      </c>
      <c r="K50" s="4"/>
      <c r="L50" s="4"/>
    </row>
    <row r="51" spans="1:12" x14ac:dyDescent="0.2">
      <c r="A51">
        <v>44.8</v>
      </c>
      <c r="G51" t="s">
        <v>8</v>
      </c>
      <c r="H51">
        <f>_xlfn.STDEV.S(C2:C100)</f>
        <v>7.0661635040994222</v>
      </c>
      <c r="K51" s="4"/>
      <c r="L51" s="4"/>
    </row>
    <row r="52" spans="1:12" x14ac:dyDescent="0.2">
      <c r="A52">
        <v>46.7</v>
      </c>
      <c r="K52" s="4"/>
      <c r="L52" s="4"/>
    </row>
    <row r="53" spans="1:12" x14ac:dyDescent="0.2">
      <c r="A53">
        <v>45.7</v>
      </c>
      <c r="G53" t="s">
        <v>9</v>
      </c>
      <c r="H53">
        <f>H50-H51</f>
        <v>64.800503162567253</v>
      </c>
      <c r="K53" s="4"/>
      <c r="L53" s="4"/>
    </row>
    <row r="54" spans="1:12" x14ac:dyDescent="0.2">
      <c r="A54">
        <v>44.6</v>
      </c>
      <c r="G54" t="s">
        <v>10</v>
      </c>
      <c r="H54">
        <f>H50+H51</f>
        <v>78.932830170766096</v>
      </c>
      <c r="K54" s="4"/>
      <c r="L54" s="4"/>
    </row>
    <row r="55" spans="1:12" x14ac:dyDescent="0.2">
      <c r="A55">
        <v>50</v>
      </c>
      <c r="K55" s="4"/>
      <c r="L55" s="4"/>
    </row>
    <row r="56" spans="1:12" x14ac:dyDescent="0.2">
      <c r="K56" s="4"/>
      <c r="L56" s="4"/>
    </row>
    <row r="57" spans="1:12" x14ac:dyDescent="0.2">
      <c r="K57" s="4"/>
      <c r="L57" s="4"/>
    </row>
    <row r="58" spans="1:12" x14ac:dyDescent="0.2">
      <c r="K58" s="4"/>
      <c r="L58" s="4"/>
    </row>
    <row r="59" spans="1:12" x14ac:dyDescent="0.2">
      <c r="K59" s="4"/>
      <c r="L59" s="4"/>
    </row>
    <row r="60" spans="1:12" ht="15" x14ac:dyDescent="0.25">
      <c r="G60" s="1" t="s">
        <v>22</v>
      </c>
      <c r="K60" s="4" t="s">
        <v>19</v>
      </c>
      <c r="L60" s="4" t="s">
        <v>20</v>
      </c>
    </row>
    <row r="61" spans="1:12" x14ac:dyDescent="0.2">
      <c r="G61" t="s">
        <v>0</v>
      </c>
      <c r="H61">
        <f>COUNT(D2:D100)</f>
        <v>5</v>
      </c>
      <c r="J61">
        <v>10</v>
      </c>
      <c r="K61" s="4">
        <v>0</v>
      </c>
      <c r="L61" s="4">
        <v>8.3333333333333321</v>
      </c>
    </row>
    <row r="62" spans="1:12" x14ac:dyDescent="0.2">
      <c r="G62" t="s">
        <v>1</v>
      </c>
      <c r="H62">
        <f>SQRT(H61)</f>
        <v>2.2360679774997898</v>
      </c>
      <c r="J62">
        <v>30</v>
      </c>
      <c r="K62" s="4">
        <v>40</v>
      </c>
      <c r="L62" s="4">
        <v>62.5</v>
      </c>
    </row>
    <row r="63" spans="1:12" x14ac:dyDescent="0.2">
      <c r="G63" t="s">
        <v>2</v>
      </c>
      <c r="H63">
        <f>MIN(D2:D100)</f>
        <v>26.3</v>
      </c>
      <c r="J63">
        <v>50</v>
      </c>
      <c r="K63" s="4">
        <v>60</v>
      </c>
      <c r="L63" s="4">
        <v>16.666666666666664</v>
      </c>
    </row>
    <row r="64" spans="1:12" x14ac:dyDescent="0.2">
      <c r="G64" t="s">
        <v>3</v>
      </c>
      <c r="H64">
        <f>MAX(D2:D100)</f>
        <v>37.5</v>
      </c>
      <c r="J64">
        <v>70</v>
      </c>
      <c r="K64" s="4">
        <v>0</v>
      </c>
      <c r="L64" s="4">
        <v>8.3333333333333321</v>
      </c>
    </row>
    <row r="65" spans="7:12" x14ac:dyDescent="0.2">
      <c r="G65" t="s">
        <v>4</v>
      </c>
      <c r="H65">
        <f>H64-H63</f>
        <v>11.2</v>
      </c>
      <c r="J65">
        <v>90</v>
      </c>
      <c r="K65" s="4">
        <v>0</v>
      </c>
      <c r="L65" s="4">
        <v>4.1666666666666661</v>
      </c>
    </row>
    <row r="66" spans="7:12" x14ac:dyDescent="0.2">
      <c r="G66" t="s">
        <v>5</v>
      </c>
      <c r="H66">
        <f>H65/H62</f>
        <v>5.0087922695995282</v>
      </c>
      <c r="K66" s="4">
        <v>0</v>
      </c>
      <c r="L66" s="4"/>
    </row>
    <row r="68" spans="7:12" x14ac:dyDescent="0.2">
      <c r="G68" t="s">
        <v>6</v>
      </c>
      <c r="H68">
        <f>MEDIAN(D2:D76)</f>
        <v>33.9</v>
      </c>
    </row>
    <row r="69" spans="7:12" x14ac:dyDescent="0.2">
      <c r="G69" t="s">
        <v>7</v>
      </c>
      <c r="H69">
        <f>AVERAGE(D2:D76)</f>
        <v>32.58</v>
      </c>
    </row>
    <row r="70" spans="7:12" x14ac:dyDescent="0.2">
      <c r="G70" t="s">
        <v>8</v>
      </c>
      <c r="H70">
        <f>_xlfn.STDEV.S(D2:D76)</f>
        <v>4.7039345233538228</v>
      </c>
    </row>
    <row r="72" spans="7:12" x14ac:dyDescent="0.2">
      <c r="G72" t="s">
        <v>9</v>
      </c>
      <c r="H72">
        <f>H69-H70</f>
        <v>27.876065476646176</v>
      </c>
      <c r="K72" s="4"/>
      <c r="L72" s="4"/>
    </row>
    <row r="73" spans="7:12" x14ac:dyDescent="0.2">
      <c r="G73" t="s">
        <v>10</v>
      </c>
      <c r="H73">
        <f>H69+H70</f>
        <v>37.283934523353821</v>
      </c>
      <c r="K73" s="4"/>
      <c r="L73" s="4"/>
    </row>
    <row r="74" spans="7:12" x14ac:dyDescent="0.2">
      <c r="K74" s="4"/>
      <c r="L74" s="4"/>
    </row>
    <row r="75" spans="7:12" x14ac:dyDescent="0.2">
      <c r="K75" s="4"/>
      <c r="L75" s="4"/>
    </row>
    <row r="76" spans="7:12" x14ac:dyDescent="0.2">
      <c r="K76" s="4"/>
      <c r="L76" s="4"/>
    </row>
    <row r="77" spans="7:12" x14ac:dyDescent="0.2">
      <c r="K77" s="4"/>
      <c r="L77" s="4"/>
    </row>
    <row r="78" spans="7:12" x14ac:dyDescent="0.2">
      <c r="K78" s="4"/>
      <c r="L78" s="4"/>
    </row>
    <row r="79" spans="7:12" ht="15" x14ac:dyDescent="0.25">
      <c r="G79" s="1" t="s">
        <v>23</v>
      </c>
      <c r="K79" s="4" t="s">
        <v>19</v>
      </c>
      <c r="L79" s="4" t="s">
        <v>20</v>
      </c>
    </row>
    <row r="80" spans="7:12" x14ac:dyDescent="0.2">
      <c r="G80" t="s">
        <v>0</v>
      </c>
      <c r="H80">
        <f>COUNT(E2:E100)</f>
        <v>7</v>
      </c>
      <c r="J80">
        <v>500</v>
      </c>
      <c r="K80" s="4">
        <v>0</v>
      </c>
      <c r="L80" s="4">
        <v>0</v>
      </c>
    </row>
    <row r="81" spans="7:12" x14ac:dyDescent="0.2">
      <c r="G81" t="s">
        <v>1</v>
      </c>
      <c r="H81">
        <f>SQRT(H80)</f>
        <v>2.6457513110645907</v>
      </c>
      <c r="J81">
        <v>1500</v>
      </c>
      <c r="K81" s="4">
        <v>14.285714285714285</v>
      </c>
      <c r="L81" s="4">
        <v>29.411764705882355</v>
      </c>
    </row>
    <row r="82" spans="7:12" x14ac:dyDescent="0.2">
      <c r="G82" t="s">
        <v>2</v>
      </c>
      <c r="H82">
        <f>MIN(E2:E100)</f>
        <v>1072.6400000000001</v>
      </c>
      <c r="J82">
        <v>2500</v>
      </c>
      <c r="K82" s="4">
        <v>71.428571428571431</v>
      </c>
      <c r="L82" s="4">
        <v>52.941176470588239</v>
      </c>
    </row>
    <row r="83" spans="7:12" x14ac:dyDescent="0.2">
      <c r="G83" t="s">
        <v>3</v>
      </c>
      <c r="H83">
        <f>MAX(E2:E100)</f>
        <v>5110</v>
      </c>
      <c r="J83">
        <v>3500</v>
      </c>
      <c r="K83" s="4">
        <v>0</v>
      </c>
      <c r="L83" s="4">
        <v>11.76470588235294</v>
      </c>
    </row>
    <row r="84" spans="7:12" x14ac:dyDescent="0.2">
      <c r="G84" t="s">
        <v>4</v>
      </c>
      <c r="H84">
        <f>H83-H82</f>
        <v>4037.3599999999997</v>
      </c>
      <c r="J84">
        <v>4500</v>
      </c>
      <c r="K84" s="4">
        <v>0</v>
      </c>
      <c r="L84" s="4">
        <v>5.8823529411764701</v>
      </c>
    </row>
    <row r="85" spans="7:12" x14ac:dyDescent="0.2">
      <c r="G85" t="s">
        <v>5</v>
      </c>
      <c r="H85">
        <f>H84/H81</f>
        <v>1525.9786447485335</v>
      </c>
      <c r="J85">
        <v>5500</v>
      </c>
      <c r="K85" s="4">
        <v>3.3333333333333335</v>
      </c>
      <c r="L85" s="4">
        <v>0</v>
      </c>
    </row>
    <row r="87" spans="7:12" x14ac:dyDescent="0.2">
      <c r="G87" t="s">
        <v>6</v>
      </c>
      <c r="H87">
        <f>MEDIAN(E2:E100)</f>
        <v>1911</v>
      </c>
    </row>
    <row r="88" spans="7:12" x14ac:dyDescent="0.2">
      <c r="G88" t="s">
        <v>7</v>
      </c>
      <c r="H88">
        <f>AVERAGE(E2:E100)</f>
        <v>2292.8485714285712</v>
      </c>
    </row>
    <row r="89" spans="7:12" x14ac:dyDescent="0.2">
      <c r="G89" t="s">
        <v>8</v>
      </c>
      <c r="H89">
        <f>_xlfn.STDEV.S(E2:E100)</f>
        <v>1298.5936636149709</v>
      </c>
    </row>
    <row r="91" spans="7:12" x14ac:dyDescent="0.2">
      <c r="G91" t="s">
        <v>9</v>
      </c>
      <c r="H91">
        <f>H88-H89</f>
        <v>994.25490781360031</v>
      </c>
    </row>
    <row r="92" spans="7:12" x14ac:dyDescent="0.2">
      <c r="G92" t="s">
        <v>10</v>
      </c>
      <c r="H92">
        <f>H88+H89</f>
        <v>3591.442235043542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 information</vt:lpstr>
      <vt:lpstr>Greenfield</vt:lpstr>
      <vt:lpstr>Retrofit</vt:lpstr>
      <vt:lpstr>CFPP-RETROFIT</vt:lpstr>
      <vt:lpstr>NGCC-RETROFIT</vt:lpstr>
      <vt:lpstr>NOVEL-RETROFIT</vt:lpstr>
      <vt:lpstr>'Data information'!Print_Area</vt:lpstr>
    </vt:vector>
  </TitlesOfParts>
  <Company>Cranfield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Hanak</dc:creator>
  <cp:lastModifiedBy>Dawid Hanak</cp:lastModifiedBy>
  <dcterms:created xsi:type="dcterms:W3CDTF">2017-10-06T12:00:49Z</dcterms:created>
  <dcterms:modified xsi:type="dcterms:W3CDTF">2018-09-26T09:03:29Z</dcterms:modified>
</cp:coreProperties>
</file>