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E:\Group Project\CORD\"/>
    </mc:Choice>
  </mc:AlternateContent>
  <xr:revisionPtr revIDLastSave="0" documentId="13_ncr:1_{1D8D650D-7C3A-4F51-AC53-F41B71D61A60}" xr6:coauthVersionLast="32" xr6:coauthVersionMax="32" xr10:uidLastSave="{00000000-0000-0000-0000-000000000000}"/>
  <bookViews>
    <workbookView xWindow="0" yWindow="0" windowWidth="20490" windowHeight="7545" xr2:uid="{00000000-000D-0000-FFFF-FFFF00000000}"/>
  </bookViews>
  <sheets>
    <sheet name="Sheet 1" sheetId="2" r:id="rId1"/>
    <sheet name="Sheet 2" sheetId="3" r:id="rId2"/>
    <sheet name="Sheet 3" sheetId="5" r:id="rId3"/>
  </sheets>
  <calcPr calcId="179017"/>
</workbook>
</file>

<file path=xl/calcChain.xml><?xml version="1.0" encoding="utf-8"?>
<calcChain xmlns="http://schemas.openxmlformats.org/spreadsheetml/2006/main">
  <c r="B20" i="5" l="1"/>
  <c r="C20" i="5"/>
  <c r="B20" i="2"/>
  <c r="B23" i="2" s="1"/>
  <c r="C4" i="3" l="1"/>
  <c r="D8" i="3"/>
  <c r="D5" i="3"/>
  <c r="D6" i="3"/>
  <c r="D7" i="3"/>
  <c r="D4" i="3"/>
  <c r="C5" i="3"/>
  <c r="C6" i="3"/>
  <c r="C7" i="3"/>
  <c r="B10" i="2"/>
  <c r="B11" i="5"/>
  <c r="B10" i="5" l="1"/>
  <c r="D9" i="3"/>
  <c r="C9" i="3"/>
  <c r="C17" i="3" s="1"/>
  <c r="C36" i="3" s="1"/>
  <c r="B6" i="2"/>
  <c r="B11" i="2" s="1"/>
  <c r="B13" i="2" s="1"/>
  <c r="B36" i="3" l="1"/>
  <c r="C25" i="3"/>
  <c r="B43" i="3" s="1"/>
  <c r="C43" i="3" s="1"/>
  <c r="C26" i="3"/>
  <c r="C18" i="3"/>
  <c r="C19" i="3"/>
  <c r="C8" i="3"/>
  <c r="D18" i="3" l="1"/>
  <c r="D19" i="3"/>
  <c r="D25" i="3"/>
  <c r="B44" i="3" s="1"/>
  <c r="C44" i="3" s="1"/>
  <c r="D17" i="3"/>
  <c r="B37" i="3" s="1"/>
  <c r="D26" i="3"/>
  <c r="C37" i="3" l="1"/>
  <c r="C38" i="3" s="1"/>
  <c r="B38" i="3"/>
  <c r="C45" i="3"/>
  <c r="B4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Alberto</author>
    <author>Bethan Hutchinson</author>
  </authors>
  <commentList>
    <comment ref="A5" authorId="0" shapeId="0" xr:uid="{00000000-0006-0000-0000-000001000000}">
      <text>
        <r>
          <rPr>
            <sz val="9"/>
            <color indexed="81"/>
            <rFont val="Tahoma"/>
            <family val="2"/>
          </rPr>
          <t xml:space="preserve">Between 2016 and 2060
</t>
        </r>
      </text>
    </comment>
    <comment ref="B10" authorId="1" shapeId="0" xr:uid="{00000000-0006-0000-0000-000002000000}">
      <text>
        <r>
          <rPr>
            <sz val="9"/>
            <color indexed="81"/>
            <rFont val="Tahoma"/>
            <family val="2"/>
          </rPr>
          <t>Current GDP of Peterborough is obtained by multiplying the current GDP per capita by the current population.</t>
        </r>
      </text>
    </comment>
    <comment ref="B11" authorId="1" shapeId="0" xr:uid="{00000000-0006-0000-0000-000003000000}">
      <text>
        <r>
          <rPr>
            <sz val="9"/>
            <color indexed="81"/>
            <rFont val="Tahoma"/>
            <family val="2"/>
          </rPr>
          <t>The annual GDP growth rate estimated for the UK (1.86% as seen above) has been applied to the Peterborough GDP until 2050.</t>
        </r>
      </text>
    </comment>
    <comment ref="B20" authorId="0" shapeId="0" xr:uid="{00000000-0006-0000-0000-000004000000}">
      <text>
        <r>
          <rPr>
            <sz val="9"/>
            <color indexed="81"/>
            <rFont val="Tahoma"/>
            <family val="2"/>
          </rPr>
          <t xml:space="preserve">Population increase rate is calculated as a percentage using UK population in 2016 and 2050. 
</t>
        </r>
      </text>
    </comment>
    <comment ref="B23" authorId="0" shapeId="0" xr:uid="{00000000-0006-0000-0000-000005000000}">
      <text>
        <r>
          <rPr>
            <sz val="9"/>
            <color indexed="81"/>
            <rFont val="Tahoma"/>
            <family val="2"/>
          </rPr>
          <t>2050 Peterborough population is estimated applying the UK population increase rate calculated above, to the current Peterborough population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Alberto</author>
    <author>Bethan Hutchinson</author>
  </authors>
  <commentList>
    <comment ref="C9" authorId="0" shapeId="0" xr:uid="{00000000-0006-0000-0100-000001000000}">
      <text>
        <r>
          <rPr>
            <sz val="9"/>
            <color indexed="81"/>
            <rFont val="Tahoma"/>
            <family val="2"/>
          </rPr>
          <t xml:space="preserve">Only small, medium and large businesses were considered in this study. The reason being is to allow correlation and comparison with the case studies used for the project. Subsequently, these are the total number of companies considered in each of the two sectors from now on. </t>
        </r>
      </text>
    </comment>
    <comment ref="B16" authorId="0" shapeId="0" xr:uid="{00000000-0006-0000-0100-000002000000}">
      <text>
        <r>
          <rPr>
            <sz val="9"/>
            <color indexed="81"/>
            <rFont val="Tahoma"/>
            <family val="2"/>
          </rPr>
          <t>Initial data regarding resource flows of individual case studies is informed by interviews with businesses</t>
        </r>
      </text>
    </comment>
    <comment ref="C16" authorId="0" shapeId="0" xr:uid="{00000000-0006-0000-0100-000003000000}">
      <text>
        <r>
          <rPr>
            <sz val="9"/>
            <color indexed="81"/>
            <rFont val="Tahoma"/>
            <family val="2"/>
          </rPr>
          <t>Sector wide data is obtained considering the case study is an average company within the total small to large companies of its sector (a total of 111 businesses in manufacturing and 104 in services, from the table above)</t>
        </r>
      </text>
    </comment>
    <comment ref="D16" authorId="0" shapeId="0" xr:uid="{00000000-0006-0000-0100-000004000000}">
      <text>
        <r>
          <rPr>
            <sz val="9"/>
            <color indexed="81"/>
            <rFont val="Tahoma"/>
            <family val="2"/>
          </rPr>
          <t>2050 foresight for the linear scenario is obtained correlating increase in resource use to GDP growth. As a result, the values for the 2050 linear scenario are obtained by multiplying the present values by the GDP increase in Peterborough for that period of time (190.3% from Sheet 1)</t>
        </r>
      </text>
    </comment>
    <comment ref="C36" authorId="1" shapeId="0" xr:uid="{00000000-0006-0000-0100-000005000000}">
      <text>
        <r>
          <rPr>
            <sz val="9"/>
            <color indexed="81"/>
            <rFont val="Tahoma"/>
            <family val="2"/>
          </rPr>
          <t>An average price of £50.84/ MWh is applied to the energy usage.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Alberto</author>
  </authors>
  <commentList>
    <comment ref="A3" authorId="0" shapeId="0" xr:uid="{00000000-0006-0000-0200-000001000000}">
      <text>
        <r>
          <rPr>
            <sz val="9"/>
            <color indexed="81"/>
            <rFont val="Tahoma"/>
            <family val="2"/>
          </rPr>
          <t xml:space="preserve">The benefits for Peterborough are presented in terms of employment when full circularity is achieved by 2050
</t>
        </r>
      </text>
    </comment>
    <comment ref="B10" authorId="0" shapeId="0" xr:uid="{00000000-0006-0000-0200-000002000000}">
      <text>
        <r>
          <rPr>
            <sz val="9"/>
            <color indexed="81"/>
            <rFont val="Tahoma"/>
            <family val="2"/>
          </rPr>
          <t>These figures specific to Peterborough are obtained by correlating employment benefits for London using the current level of employment of both cities</t>
        </r>
      </text>
    </comment>
    <comment ref="A14" authorId="0" shapeId="0" xr:uid="{00000000-0006-0000-0200-000003000000}">
      <text>
        <r>
          <rPr>
            <sz val="9"/>
            <color indexed="81"/>
            <rFont val="Tahoma"/>
            <family val="2"/>
          </rPr>
          <t>The benefits for Peterborough are presented in terms of the economy when full circularity is achieved by 2050</t>
        </r>
        <r>
          <rPr>
            <b/>
            <sz val="9"/>
            <color indexed="81"/>
            <rFont val="Tahoma"/>
            <family val="2"/>
          </rPr>
          <t xml:space="preserve">
</t>
        </r>
        <r>
          <rPr>
            <sz val="9"/>
            <color indexed="81"/>
            <rFont val="Tahoma"/>
            <family val="2"/>
          </rPr>
          <t xml:space="preserve">
</t>
        </r>
      </text>
    </comment>
    <comment ref="B16" authorId="0" shapeId="0" xr:uid="{00000000-0006-0000-0200-000004000000}">
      <text>
        <r>
          <rPr>
            <sz val="9"/>
            <color indexed="81"/>
            <rFont val="Tahoma"/>
            <family val="2"/>
          </rPr>
          <t>The two figures present a range of values in which the economic benefits for London of applying circular economy can be estimated</t>
        </r>
      </text>
    </comment>
    <comment ref="B20" authorId="0" shapeId="0" xr:uid="{00000000-0006-0000-0200-000005000000}">
      <text>
        <r>
          <rPr>
            <sz val="9"/>
            <color indexed="81"/>
            <rFont val="Tahoma"/>
            <family val="2"/>
          </rPr>
          <t xml:space="preserve">The given benefits for London are related to the GVA of London. Knowing this correlation, Peterborough benefits are estimated based on Peterborough GVA.
</t>
        </r>
      </text>
    </comment>
  </commentList>
</comments>
</file>

<file path=xl/sharedStrings.xml><?xml version="1.0" encoding="utf-8"?>
<sst xmlns="http://schemas.openxmlformats.org/spreadsheetml/2006/main" count="80" uniqueCount="63">
  <si>
    <t>Size</t>
  </si>
  <si>
    <t>Micro (0-9)</t>
  </si>
  <si>
    <t>Small (10-49)</t>
  </si>
  <si>
    <t>Medium (50-249)</t>
  </si>
  <si>
    <t>Large (+250)</t>
  </si>
  <si>
    <t xml:space="preserve">Total Companies </t>
  </si>
  <si>
    <t>Future Linear All</t>
  </si>
  <si>
    <t>People</t>
  </si>
  <si>
    <t>Peterborough 2050</t>
  </si>
  <si>
    <t>$ Millions</t>
  </si>
  <si>
    <t xml:space="preserve">Increase </t>
  </si>
  <si>
    <t xml:space="preserve">Years Difference </t>
  </si>
  <si>
    <t>Annual Growth Rate (2016 - 2050) (%)</t>
  </si>
  <si>
    <t>GDP PREDICTIONS</t>
  </si>
  <si>
    <t>Peterborough GDP 2015</t>
  </si>
  <si>
    <t>£ Millions</t>
  </si>
  <si>
    <t>Peterborough GDP 2050 Predicted</t>
  </si>
  <si>
    <t>£/person</t>
  </si>
  <si>
    <t>Peterborough GDP Increase (%)</t>
  </si>
  <si>
    <t>All Sectors</t>
  </si>
  <si>
    <t>Total</t>
  </si>
  <si>
    <t>MANUFACTURING SECTOR</t>
  </si>
  <si>
    <t xml:space="preserve">Resource </t>
  </si>
  <si>
    <t>Current Situation Case Study</t>
  </si>
  <si>
    <t xml:space="preserve">Current Situation Sector Wide </t>
  </si>
  <si>
    <t>Energy (MWh)</t>
  </si>
  <si>
    <t>Water (m3/yr)</t>
  </si>
  <si>
    <t>Waste Water (m3/yr)</t>
  </si>
  <si>
    <t>SERVICES SECTOR</t>
  </si>
  <si>
    <t>Future Linear Scenario Sector Wide</t>
  </si>
  <si>
    <t>ENERGY COSTS</t>
  </si>
  <si>
    <t>Resource</t>
  </si>
  <si>
    <t>Manufacturing  (13.82%)</t>
  </si>
  <si>
    <t>Services  (12.99%)</t>
  </si>
  <si>
    <t>BUSINESS DISTRIBUTION PETERBOROUGH (Opportunity Peterborough, 2017)</t>
  </si>
  <si>
    <t>Peterborough GDP per Capita (Opportunity Peterborough, 2017)</t>
  </si>
  <si>
    <t>Peterborough Population (Opportunity Peterborough, 2017)</t>
  </si>
  <si>
    <t>UK GDP 2016 (World Bank, 2018)</t>
  </si>
  <si>
    <t>UK GDP 2060 (OECD, 2018)</t>
  </si>
  <si>
    <t xml:space="preserve">POPULATION </t>
  </si>
  <si>
    <t>Peterborough 2016 (Opportunity Peterborough, 2017)</t>
  </si>
  <si>
    <t>UK Population 2016 (ONS, 2017a)</t>
  </si>
  <si>
    <t>UK Population 2050 (ONS, 2017b)</t>
  </si>
  <si>
    <t>Increase Rate (%)</t>
  </si>
  <si>
    <t>CASE STUDIES AND LINEATR SCENARIO FORESIGHTING</t>
  </si>
  <si>
    <t>Average Price of Energy (£/MWh) (Ofgem, 2018)</t>
  </si>
  <si>
    <t>FUTURE CIRCULAR SCENARIO BENEFITS FOR PETERBOROUGH</t>
  </si>
  <si>
    <t>ECONOMIC BENEFITS</t>
  </si>
  <si>
    <t>Emplyment Peterborough (2016) (Opportunity Peterborough, 2017)</t>
  </si>
  <si>
    <t>London Jobs in CE Sectors (LWARB, 2015)</t>
  </si>
  <si>
    <t>Peterorough Jobs in CE Sectors 2050</t>
  </si>
  <si>
    <t>Net new Peterborough CE jobs 2050</t>
  </si>
  <si>
    <t>Peterborough GVA (Opportunity Peterborough, 2017)</t>
  </si>
  <si>
    <t>Benefits for London from Circular Economy (LWARB, 2017)</t>
  </si>
  <si>
    <t>£ Billion</t>
  </si>
  <si>
    <t>£ Million</t>
  </si>
  <si>
    <t xml:space="preserve">Benefits CE Peterborough 2036 </t>
  </si>
  <si>
    <r>
      <t xml:space="preserve">Employment London </t>
    </r>
    <r>
      <rPr>
        <sz val="11"/>
        <rFont val="Calibri"/>
        <family val="2"/>
        <scheme val="minor"/>
      </rPr>
      <t>(ONS, 2018)</t>
    </r>
  </si>
  <si>
    <t>London GVA (ONS, 2017c)</t>
  </si>
  <si>
    <t>Net new jobs due to Circular economy in London (LWARB, 2015)</t>
  </si>
  <si>
    <t>EMPLOYMENT BENEFITS</t>
  </si>
  <si>
    <r>
      <t>Cost (</t>
    </r>
    <r>
      <rPr>
        <b/>
        <sz val="11"/>
        <color theme="1"/>
        <rFont val="Calibri"/>
        <family val="2"/>
      </rPr>
      <t>£ Million</t>
    </r>
    <r>
      <rPr>
        <b/>
        <sz val="9.9"/>
        <color theme="1"/>
        <rFont val="Calibri"/>
        <family val="2"/>
      </rPr>
      <t>)</t>
    </r>
  </si>
  <si>
    <t>Cost (£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</si>
</sst>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_-* #,##0.00\ _€_-;\-* #,##0.00\ _€_-;_-* &quot;-&quot;??\ _€_-;_-@_-"/>
    <numFmt numFmtId="166" formatCode="&quot;£&quot;#,##0.00"/>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u/>
      <sz val="11"/>
      <color theme="10"/>
      <name val="Calibri"/>
      <family val="2"/>
    </font>
    <font>
      <sz val="11"/>
      <color theme="1"/>
      <name val="Calibri"/>
      <family val="2"/>
    </font>
    <font>
      <sz val="9"/>
      <color indexed="81"/>
      <name val="Tahoma"/>
      <family val="2"/>
    </font>
    <font>
      <sz val="11"/>
      <name val="Calibri"/>
      <family val="2"/>
      <scheme val="minor"/>
    </font>
    <font>
      <b/>
      <sz val="9"/>
      <color indexed="81"/>
      <name val="Tahoma"/>
      <family val="2"/>
    </font>
    <font>
      <b/>
      <sz val="11"/>
      <color theme="1"/>
      <name val="Calibri"/>
      <family val="2"/>
    </font>
    <font>
      <b/>
      <sz val="9.9"/>
      <color theme="1"/>
      <name val="Calibri"/>
      <family val="2"/>
    </font>
  </fonts>
  <fills count="7">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70">
    <xf numFmtId="0" fontId="0" fillId="0" borderId="0" xfId="0"/>
    <xf numFmtId="1" fontId="0" fillId="0" borderId="0" xfId="0" applyNumberFormat="1"/>
    <xf numFmtId="0" fontId="3" fillId="0" borderId="0" xfId="0" applyFont="1"/>
    <xf numFmtId="0" fontId="0" fillId="2" borderId="0" xfId="0" applyFill="1"/>
    <xf numFmtId="0" fontId="4" fillId="0" borderId="0" xfId="4" applyAlignment="1" applyProtection="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2" fontId="0" fillId="0" borderId="7" xfId="0" applyNumberFormat="1" applyBorder="1"/>
    <xf numFmtId="0" fontId="0" fillId="0" borderId="8" xfId="0" applyBorder="1"/>
    <xf numFmtId="0" fontId="0" fillId="0" borderId="0" xfId="0" applyFill="1"/>
    <xf numFmtId="2" fontId="0" fillId="0" borderId="0" xfId="0" applyNumberFormat="1" applyBorder="1"/>
    <xf numFmtId="0" fontId="3" fillId="2" borderId="0" xfId="0" applyFont="1" applyFill="1"/>
    <xf numFmtId="1" fontId="0" fillId="0" borderId="0" xfId="0" applyNumberFormat="1" applyFill="1" applyBorder="1"/>
    <xf numFmtId="0" fontId="3" fillId="0" borderId="0" xfId="0" applyFont="1" applyBorder="1"/>
    <xf numFmtId="0" fontId="3" fillId="0" borderId="0" xfId="0" applyFont="1" applyFill="1"/>
    <xf numFmtId="0" fontId="3" fillId="0" borderId="0" xfId="0" applyFont="1" applyFill="1" applyBorder="1"/>
    <xf numFmtId="2" fontId="0" fillId="0" borderId="7" xfId="0" applyNumberFormat="1" applyFill="1" applyBorder="1"/>
    <xf numFmtId="0" fontId="5" fillId="0" borderId="3" xfId="0" applyFont="1" applyBorder="1"/>
    <xf numFmtId="0" fontId="5" fillId="0" borderId="5" xfId="0" applyFont="1" applyBorder="1"/>
    <xf numFmtId="0" fontId="5" fillId="0" borderId="8" xfId="0" applyFont="1" applyBorder="1"/>
    <xf numFmtId="166" fontId="0" fillId="0" borderId="0" xfId="0" applyNumberFormat="1"/>
    <xf numFmtId="0" fontId="0" fillId="5" borderId="9" xfId="0" applyFill="1" applyBorder="1"/>
    <xf numFmtId="2" fontId="0" fillId="5" borderId="10" xfId="0" applyNumberFormat="1" applyFill="1" applyBorder="1"/>
    <xf numFmtId="2" fontId="0" fillId="0" borderId="5" xfId="0" applyNumberFormat="1" applyBorder="1"/>
    <xf numFmtId="1" fontId="0" fillId="5" borderId="10" xfId="0" applyNumberFormat="1" applyFill="1" applyBorder="1"/>
    <xf numFmtId="0" fontId="2" fillId="0" borderId="1" xfId="1" applyFont="1" applyBorder="1"/>
    <xf numFmtId="0" fontId="1" fillId="0" borderId="4" xfId="1" applyBorder="1"/>
    <xf numFmtId="0" fontId="1" fillId="0" borderId="0" xfId="1" applyBorder="1"/>
    <xf numFmtId="1" fontId="0" fillId="0" borderId="5" xfId="0" applyNumberFormat="1" applyBorder="1"/>
    <xf numFmtId="1" fontId="0" fillId="0" borderId="0" xfId="0" applyNumberFormat="1" applyBorder="1"/>
    <xf numFmtId="0" fontId="3" fillId="3" borderId="7" xfId="0" applyFont="1" applyFill="1" applyBorder="1"/>
    <xf numFmtId="1" fontId="0" fillId="3" borderId="7" xfId="0" applyNumberFormat="1" applyFill="1" applyBorder="1"/>
    <xf numFmtId="1" fontId="0" fillId="3" borderId="8" xfId="0" applyNumberFormat="1" applyFill="1" applyBorder="1"/>
    <xf numFmtId="0" fontId="3" fillId="0" borderId="1" xfId="0" applyFont="1" applyBorder="1"/>
    <xf numFmtId="0" fontId="0" fillId="0" borderId="0" xfId="0" applyFill="1" applyBorder="1"/>
    <xf numFmtId="1" fontId="0" fillId="3" borderId="5" xfId="0" applyNumberFormat="1" applyFill="1" applyBorder="1"/>
    <xf numFmtId="0" fontId="0" fillId="0" borderId="7" xfId="0" applyBorder="1"/>
    <xf numFmtId="0" fontId="0" fillId="0" borderId="7" xfId="0" applyFill="1" applyBorder="1"/>
    <xf numFmtId="1" fontId="0" fillId="0" borderId="7" xfId="0" applyNumberFormat="1" applyFill="1" applyBorder="1"/>
    <xf numFmtId="0" fontId="3" fillId="0" borderId="4" xfId="0" applyFont="1" applyFill="1" applyBorder="1"/>
    <xf numFmtId="0" fontId="3" fillId="0" borderId="6" xfId="0" applyFont="1" applyFill="1" applyBorder="1"/>
    <xf numFmtId="1" fontId="0" fillId="0" borderId="7" xfId="0" applyNumberFormat="1" applyBorder="1"/>
    <xf numFmtId="0" fontId="0" fillId="0" borderId="0" xfId="0" applyBorder="1" applyAlignment="1">
      <alignment horizontal="right"/>
    </xf>
    <xf numFmtId="0" fontId="3" fillId="0" borderId="2" xfId="0" applyFont="1" applyBorder="1" applyAlignment="1">
      <alignment horizontal="center"/>
    </xf>
    <xf numFmtId="0" fontId="3" fillId="0" borderId="3" xfId="0" applyFont="1" applyFill="1" applyBorder="1" applyAlignment="1">
      <alignment horizontal="center"/>
    </xf>
    <xf numFmtId="0" fontId="3" fillId="0" borderId="2" xfId="0" applyFont="1" applyFill="1" applyBorder="1" applyAlignment="1">
      <alignment horizontal="center"/>
    </xf>
    <xf numFmtId="0" fontId="2" fillId="0" borderId="2" xfId="1" applyFont="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0" fillId="0" borderId="0" xfId="0" applyNumberFormat="1" applyBorder="1"/>
    <xf numFmtId="0" fontId="3" fillId="0" borderId="0" xfId="0" applyFont="1" applyFill="1" applyAlignment="1">
      <alignment horizontal="center"/>
    </xf>
    <xf numFmtId="0" fontId="0" fillId="0" borderId="0" xfId="0" applyFill="1" applyAlignment="1">
      <alignment horizontal="center"/>
    </xf>
    <xf numFmtId="1" fontId="0" fillId="0" borderId="3" xfId="0" applyNumberFormat="1" applyBorder="1"/>
    <xf numFmtId="2" fontId="0" fillId="0" borderId="2" xfId="0" applyNumberFormat="1" applyBorder="1"/>
    <xf numFmtId="2" fontId="3" fillId="5" borderId="7" xfId="0" applyNumberFormat="1" applyFont="1" applyFill="1" applyBorder="1"/>
    <xf numFmtId="1" fontId="3" fillId="5" borderId="5" xfId="0" applyNumberFormat="1" applyFont="1" applyFill="1" applyBorder="1"/>
    <xf numFmtId="1" fontId="3" fillId="5" borderId="8" xfId="0" applyNumberFormat="1" applyFont="1" applyFill="1" applyBorder="1"/>
    <xf numFmtId="0" fontId="3" fillId="5" borderId="6" xfId="0" applyFont="1" applyFill="1" applyBorder="1"/>
    <xf numFmtId="0" fontId="3" fillId="5" borderId="4" xfId="0" applyFont="1" applyFill="1" applyBorder="1"/>
    <xf numFmtId="2" fontId="0" fillId="0" borderId="5" xfId="0" applyNumberFormat="1" applyFill="1" applyBorder="1"/>
    <xf numFmtId="2" fontId="3" fillId="4" borderId="8" xfId="0" applyNumberFormat="1" applyFont="1" applyFill="1" applyBorder="1"/>
    <xf numFmtId="0" fontId="3" fillId="2" borderId="0" xfId="0" applyFont="1" applyFill="1" applyAlignment="1">
      <alignment horizontal="center"/>
    </xf>
    <xf numFmtId="0" fontId="0" fillId="0" borderId="0" xfId="0" applyAlignment="1"/>
    <xf numFmtId="0" fontId="3" fillId="6" borderId="0" xfId="0" applyFont="1" applyFill="1" applyAlignment="1">
      <alignment horizontal="center"/>
    </xf>
    <xf numFmtId="0" fontId="0" fillId="6" borderId="0" xfId="0" applyFill="1" applyAlignment="1">
      <alignment horizontal="center"/>
    </xf>
  </cellXfs>
  <cellStyles count="5">
    <cellStyle name="Hyperlink" xfId="4" builtinId="8"/>
    <cellStyle name="Millares 2" xfId="2" xr:uid="{00000000-0005-0000-0000-000001000000}"/>
    <cellStyle name="Moneda 2" xfId="3" xr:uid="{00000000-0005-0000-0000-000002000000}"/>
    <cellStyle name="Normal" xfId="0" builtinId="0"/>
    <cellStyle name="Normal 2"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tabSelected="1" zoomScale="90" zoomScaleNormal="90" workbookViewId="0">
      <selection activeCell="D19" sqref="D19"/>
    </sheetView>
  </sheetViews>
  <sheetFormatPr defaultColWidth="11.42578125" defaultRowHeight="15" x14ac:dyDescent="0.25"/>
  <cols>
    <col min="1" max="1" width="59" bestFit="1" customWidth="1"/>
    <col min="2" max="2" width="14.140625" customWidth="1"/>
    <col min="4" max="5" width="15.5703125" customWidth="1"/>
    <col min="6" max="6" width="26.28515625" customWidth="1"/>
    <col min="8" max="8" width="16.85546875" customWidth="1"/>
    <col min="10" max="10" width="11.7109375" customWidth="1"/>
    <col min="11" max="11" width="16" customWidth="1"/>
    <col min="12" max="12" width="17.28515625" customWidth="1"/>
    <col min="14" max="14" width="24.42578125" customWidth="1"/>
    <col min="15" max="15" width="18.140625" customWidth="1"/>
  </cols>
  <sheetData>
    <row r="1" spans="1:5" s="14" customFormat="1" x14ac:dyDescent="0.25">
      <c r="A1" s="66" t="s">
        <v>13</v>
      </c>
      <c r="B1" s="67"/>
      <c r="C1" s="3"/>
      <c r="D1" s="3"/>
    </row>
    <row r="2" spans="1:5" ht="15.75" thickBot="1" x14ac:dyDescent="0.3">
      <c r="D2" s="9"/>
    </row>
    <row r="3" spans="1:5" x14ac:dyDescent="0.25">
      <c r="A3" s="5" t="s">
        <v>37</v>
      </c>
      <c r="B3" s="6">
        <v>2648000</v>
      </c>
      <c r="C3" s="7" t="s">
        <v>9</v>
      </c>
      <c r="D3" s="9"/>
      <c r="E3" s="9"/>
    </row>
    <row r="4" spans="1:5" x14ac:dyDescent="0.25">
      <c r="A4" s="8" t="s">
        <v>38</v>
      </c>
      <c r="B4" s="9">
        <v>5945952</v>
      </c>
      <c r="C4" s="10" t="s">
        <v>9</v>
      </c>
      <c r="D4" s="9"/>
      <c r="E4" s="9"/>
    </row>
    <row r="5" spans="1:5" x14ac:dyDescent="0.25">
      <c r="A5" s="8" t="s">
        <v>11</v>
      </c>
      <c r="B5" s="9">
        <v>44</v>
      </c>
      <c r="C5" s="10"/>
      <c r="D5" s="9"/>
      <c r="E5" s="9"/>
    </row>
    <row r="6" spans="1:5" ht="15.75" thickBot="1" x14ac:dyDescent="0.3">
      <c r="A6" s="11" t="s">
        <v>12</v>
      </c>
      <c r="B6" s="12">
        <f>((((B4/B3)^(1/B5))-1))*100</f>
        <v>1.8554257858830026</v>
      </c>
      <c r="C6" s="13"/>
      <c r="D6" s="9"/>
      <c r="E6" s="9"/>
    </row>
    <row r="7" spans="1:5" ht="15.75" thickBot="1" x14ac:dyDescent="0.3">
      <c r="D7" s="9"/>
    </row>
    <row r="8" spans="1:5" x14ac:dyDescent="0.25">
      <c r="A8" s="5" t="s">
        <v>35</v>
      </c>
      <c r="B8" s="6">
        <v>27745</v>
      </c>
      <c r="C8" s="22" t="s">
        <v>17</v>
      </c>
      <c r="D8" s="9"/>
      <c r="E8" s="9"/>
    </row>
    <row r="9" spans="1:5" x14ac:dyDescent="0.25">
      <c r="A9" s="8" t="s">
        <v>36</v>
      </c>
      <c r="B9" s="9">
        <v>197100</v>
      </c>
      <c r="C9" s="10" t="s">
        <v>7</v>
      </c>
      <c r="D9" s="9"/>
      <c r="E9" s="9"/>
    </row>
    <row r="10" spans="1:5" x14ac:dyDescent="0.25">
      <c r="A10" s="8" t="s">
        <v>14</v>
      </c>
      <c r="B10" s="15">
        <f>(B8*B9)/1000000</f>
        <v>5468.5394999999999</v>
      </c>
      <c r="C10" s="23" t="s">
        <v>15</v>
      </c>
      <c r="D10" s="9"/>
      <c r="E10" s="9"/>
    </row>
    <row r="11" spans="1:5" ht="15.75" thickBot="1" x14ac:dyDescent="0.3">
      <c r="A11" s="11" t="s">
        <v>16</v>
      </c>
      <c r="B11" s="21">
        <f>(B10*(1+(B6/100))^35)</f>
        <v>10406.801101579587</v>
      </c>
      <c r="C11" s="24" t="s">
        <v>15</v>
      </c>
      <c r="D11" s="9"/>
      <c r="E11" s="9"/>
    </row>
    <row r="12" spans="1:5" ht="15.75" thickBot="1" x14ac:dyDescent="0.3">
      <c r="D12" s="9"/>
    </row>
    <row r="13" spans="1:5" ht="15.75" thickBot="1" x14ac:dyDescent="0.3">
      <c r="A13" s="26" t="s">
        <v>18</v>
      </c>
      <c r="B13" s="27">
        <f>(B11/B10)*100</f>
        <v>190.30311661056095</v>
      </c>
    </row>
    <row r="16" spans="1:5" x14ac:dyDescent="0.25">
      <c r="A16" s="66" t="s">
        <v>39</v>
      </c>
      <c r="B16" s="67"/>
      <c r="C16" s="3"/>
      <c r="D16" s="3"/>
      <c r="E16" s="14"/>
    </row>
    <row r="17" spans="1:2" ht="15.75" thickBot="1" x14ac:dyDescent="0.3"/>
    <row r="18" spans="1:2" x14ac:dyDescent="0.25">
      <c r="A18" s="5" t="s">
        <v>41</v>
      </c>
      <c r="B18" s="7">
        <v>65648054</v>
      </c>
    </row>
    <row r="19" spans="1:2" x14ac:dyDescent="0.25">
      <c r="A19" s="8" t="s">
        <v>42</v>
      </c>
      <c r="B19" s="10">
        <v>74701305</v>
      </c>
    </row>
    <row r="20" spans="1:2" x14ac:dyDescent="0.25">
      <c r="A20" s="8" t="s">
        <v>43</v>
      </c>
      <c r="B20" s="28">
        <f>(B19/B18)*100</f>
        <v>113.79058547569439</v>
      </c>
    </row>
    <row r="21" spans="1:2" ht="15.75" thickBot="1" x14ac:dyDescent="0.3">
      <c r="A21" s="11" t="s">
        <v>40</v>
      </c>
      <c r="B21" s="13">
        <v>197000</v>
      </c>
    </row>
    <row r="22" spans="1:2" ht="15.75" thickBot="1" x14ac:dyDescent="0.3"/>
    <row r="23" spans="1:2" ht="15.75" thickBot="1" x14ac:dyDescent="0.3">
      <c r="A23" s="26" t="s">
        <v>8</v>
      </c>
      <c r="B23" s="29">
        <f>(B21*B20)/100</f>
        <v>224167.45338711794</v>
      </c>
    </row>
    <row r="26" spans="1:2" x14ac:dyDescent="0.25">
      <c r="B26" s="4"/>
    </row>
    <row r="27" spans="1:2" x14ac:dyDescent="0.25">
      <c r="B27" s="4"/>
    </row>
  </sheetData>
  <mergeCells count="2">
    <mergeCell ref="A1:B1"/>
    <mergeCell ref="A16:B16"/>
  </mergeCell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7"/>
  <sheetViews>
    <sheetView zoomScale="90" zoomScaleNormal="90" workbookViewId="0">
      <selection activeCell="D17" sqref="D17"/>
    </sheetView>
  </sheetViews>
  <sheetFormatPr defaultColWidth="11.42578125" defaultRowHeight="15" x14ac:dyDescent="0.25"/>
  <cols>
    <col min="1" max="1" width="43.5703125" customWidth="1"/>
    <col min="2" max="2" width="28.42578125" customWidth="1"/>
    <col min="3" max="3" width="28.5703125" customWidth="1"/>
    <col min="4" max="4" width="34.28515625" customWidth="1"/>
    <col min="5" max="5" width="16.7109375" customWidth="1"/>
    <col min="6" max="6" width="19" customWidth="1"/>
  </cols>
  <sheetData>
    <row r="1" spans="1:8" x14ac:dyDescent="0.25">
      <c r="A1" s="66" t="s">
        <v>34</v>
      </c>
      <c r="B1" s="66"/>
      <c r="C1" s="66"/>
      <c r="D1" s="16"/>
      <c r="E1" s="16"/>
    </row>
    <row r="2" spans="1:8" ht="15.75" thickBot="1" x14ac:dyDescent="0.3"/>
    <row r="3" spans="1:8" ht="15.75" x14ac:dyDescent="0.25">
      <c r="A3" s="30" t="s">
        <v>0</v>
      </c>
      <c r="B3" s="51" t="s">
        <v>19</v>
      </c>
      <c r="C3" s="52" t="s">
        <v>32</v>
      </c>
      <c r="D3" s="53" t="s">
        <v>33</v>
      </c>
    </row>
    <row r="4" spans="1:8" ht="15.75" x14ac:dyDescent="0.25">
      <c r="A4" s="31" t="s">
        <v>1</v>
      </c>
      <c r="B4" s="32">
        <v>6100</v>
      </c>
      <c r="C4" s="17">
        <f>B4*0.1382</f>
        <v>843.02</v>
      </c>
      <c r="D4" s="33">
        <f>B4*0.1299</f>
        <v>792.38999999999987</v>
      </c>
    </row>
    <row r="5" spans="1:8" ht="15.75" x14ac:dyDescent="0.25">
      <c r="A5" s="31" t="s">
        <v>2</v>
      </c>
      <c r="B5" s="32">
        <v>625</v>
      </c>
      <c r="C5" s="17">
        <f t="shared" ref="C5:C7" si="0">B5*0.1382</f>
        <v>86.375</v>
      </c>
      <c r="D5" s="33">
        <f t="shared" ref="D5:D8" si="1">B5*0.1299</f>
        <v>81.187499999999986</v>
      </c>
    </row>
    <row r="6" spans="1:8" ht="15.75" x14ac:dyDescent="0.25">
      <c r="A6" s="31" t="s">
        <v>3</v>
      </c>
      <c r="B6" s="32">
        <v>135</v>
      </c>
      <c r="C6" s="17">
        <f t="shared" si="0"/>
        <v>18.657</v>
      </c>
      <c r="D6" s="33">
        <f t="shared" si="1"/>
        <v>17.536499999999997</v>
      </c>
    </row>
    <row r="7" spans="1:8" ht="15.75" x14ac:dyDescent="0.25">
      <c r="A7" s="31" t="s">
        <v>4</v>
      </c>
      <c r="B7" s="32">
        <v>40</v>
      </c>
      <c r="C7" s="17">
        <f t="shared" si="0"/>
        <v>5.5279999999999996</v>
      </c>
      <c r="D7" s="33">
        <f t="shared" si="1"/>
        <v>5.1959999999999997</v>
      </c>
    </row>
    <row r="8" spans="1:8" ht="15.75" x14ac:dyDescent="0.25">
      <c r="A8" s="31" t="s">
        <v>20</v>
      </c>
      <c r="B8" s="32">
        <v>6900</v>
      </c>
      <c r="C8" s="34">
        <f>SUM(C4:C7)</f>
        <v>953.58</v>
      </c>
      <c r="D8" s="33">
        <f t="shared" si="1"/>
        <v>896.31</v>
      </c>
    </row>
    <row r="9" spans="1:8" ht="15.75" thickBot="1" x14ac:dyDescent="0.3">
      <c r="A9" s="11"/>
      <c r="B9" s="35" t="s">
        <v>5</v>
      </c>
      <c r="C9" s="36">
        <f>SUM(C5:C7)</f>
        <v>110.56</v>
      </c>
      <c r="D9" s="37">
        <f>SUM(D5:D7)</f>
        <v>103.91999999999999</v>
      </c>
    </row>
    <row r="12" spans="1:8" x14ac:dyDescent="0.25">
      <c r="A12" s="66" t="s">
        <v>44</v>
      </c>
      <c r="B12" s="66"/>
      <c r="C12" s="66"/>
      <c r="D12" s="16"/>
      <c r="E12" s="16"/>
    </row>
    <row r="14" spans="1:8" x14ac:dyDescent="0.25">
      <c r="A14" s="18" t="s">
        <v>21</v>
      </c>
      <c r="C14" s="14"/>
      <c r="D14" s="14"/>
      <c r="E14" s="14"/>
      <c r="F14" s="14"/>
      <c r="G14" s="14"/>
      <c r="H14" s="14"/>
    </row>
    <row r="15" spans="1:8" ht="15.75" thickBot="1" x14ac:dyDescent="0.3">
      <c r="A15" s="18"/>
      <c r="C15" s="14"/>
      <c r="D15" s="14"/>
      <c r="E15" s="14"/>
      <c r="F15" s="14"/>
      <c r="G15" s="14"/>
      <c r="H15" s="14"/>
    </row>
    <row r="16" spans="1:8" x14ac:dyDescent="0.25">
      <c r="A16" s="38" t="s">
        <v>22</v>
      </c>
      <c r="B16" s="48" t="s">
        <v>23</v>
      </c>
      <c r="C16" s="50" t="s">
        <v>24</v>
      </c>
      <c r="D16" s="49" t="s">
        <v>29</v>
      </c>
      <c r="F16" s="19"/>
      <c r="G16" s="19"/>
      <c r="H16" s="14"/>
    </row>
    <row r="17" spans="1:8" x14ac:dyDescent="0.25">
      <c r="A17" s="8" t="s">
        <v>25</v>
      </c>
      <c r="B17" s="9">
        <v>20000</v>
      </c>
      <c r="C17" s="39">
        <f>B17*$C$9</f>
        <v>2211200</v>
      </c>
      <c r="D17" s="40">
        <f>C17*('Sheet 1'!$B$13)/100</f>
        <v>4207982.5144927241</v>
      </c>
      <c r="G17" s="14"/>
      <c r="H17" s="14"/>
    </row>
    <row r="18" spans="1:8" x14ac:dyDescent="0.25">
      <c r="A18" s="8" t="s">
        <v>26</v>
      </c>
      <c r="B18" s="9">
        <v>403000</v>
      </c>
      <c r="C18" s="39">
        <f>B18*$C$9</f>
        <v>44555680</v>
      </c>
      <c r="D18" s="40">
        <f>C18*('Sheet 1'!$B$13)/100</f>
        <v>84790847.667028382</v>
      </c>
      <c r="F18" s="14"/>
      <c r="G18" s="14"/>
      <c r="H18" s="14"/>
    </row>
    <row r="19" spans="1:8" ht="15.75" thickBot="1" x14ac:dyDescent="0.3">
      <c r="A19" s="11" t="s">
        <v>27</v>
      </c>
      <c r="B19" s="41">
        <v>156000</v>
      </c>
      <c r="C19" s="42">
        <f>B19*$C$9</f>
        <v>17247360</v>
      </c>
      <c r="D19" s="37">
        <f>C19*('Sheet 1'!$B$13)/100</f>
        <v>32822263.613043245</v>
      </c>
      <c r="F19" s="14"/>
      <c r="G19" s="14"/>
      <c r="H19" s="14"/>
    </row>
    <row r="20" spans="1:8" x14ac:dyDescent="0.25">
      <c r="C20" s="14"/>
      <c r="D20" s="14"/>
      <c r="F20" s="14"/>
      <c r="G20" s="14"/>
      <c r="H20" s="14"/>
    </row>
    <row r="21" spans="1:8" x14ac:dyDescent="0.25">
      <c r="C21" s="14"/>
      <c r="D21" s="14"/>
      <c r="F21" s="14"/>
      <c r="G21" s="14"/>
      <c r="H21" s="14"/>
    </row>
    <row r="22" spans="1:8" x14ac:dyDescent="0.25">
      <c r="A22" s="18" t="s">
        <v>28</v>
      </c>
      <c r="C22" s="14"/>
      <c r="D22" s="14"/>
      <c r="F22" s="14"/>
      <c r="G22" s="14"/>
      <c r="H22" s="14"/>
    </row>
    <row r="23" spans="1:8" ht="15.75" thickBot="1" x14ac:dyDescent="0.3">
      <c r="A23" s="18"/>
      <c r="C23" s="14"/>
      <c r="D23" s="14"/>
      <c r="F23" s="14"/>
      <c r="G23" s="14"/>
      <c r="H23" s="14"/>
    </row>
    <row r="24" spans="1:8" x14ac:dyDescent="0.25">
      <c r="A24" s="38" t="s">
        <v>31</v>
      </c>
      <c r="B24" s="48" t="s">
        <v>23</v>
      </c>
      <c r="C24" s="50" t="s">
        <v>24</v>
      </c>
      <c r="D24" s="49" t="s">
        <v>6</v>
      </c>
      <c r="F24" s="19"/>
      <c r="G24" s="19"/>
      <c r="H24" s="14"/>
    </row>
    <row r="25" spans="1:8" x14ac:dyDescent="0.25">
      <c r="A25" s="8" t="s">
        <v>25</v>
      </c>
      <c r="B25" s="34">
        <v>424.2</v>
      </c>
      <c r="C25" s="17">
        <f>B25*$D$9</f>
        <v>44082.863999999994</v>
      </c>
      <c r="D25" s="40">
        <f>C25*'Sheet 1'!$B$13/100</f>
        <v>83891.064083194971</v>
      </c>
      <c r="G25" s="14"/>
      <c r="H25" s="14"/>
    </row>
    <row r="26" spans="1:8" ht="15.75" thickBot="1" x14ac:dyDescent="0.3">
      <c r="A26" s="11" t="s">
        <v>26</v>
      </c>
      <c r="B26" s="41">
        <v>638</v>
      </c>
      <c r="C26" s="43">
        <f>B26*$D$9</f>
        <v>66300.959999999992</v>
      </c>
      <c r="D26" s="37">
        <f>C26*'Sheet 1'!$B$13/100</f>
        <v>126172.79322272135</v>
      </c>
      <c r="F26" s="14"/>
      <c r="G26" s="14"/>
      <c r="H26" s="14"/>
    </row>
    <row r="27" spans="1:8" x14ac:dyDescent="0.25">
      <c r="C27" s="14"/>
      <c r="D27" s="14"/>
      <c r="E27" s="14"/>
      <c r="F27" s="14"/>
      <c r="G27" s="14"/>
      <c r="H27" s="14"/>
    </row>
    <row r="28" spans="1:8" x14ac:dyDescent="0.25">
      <c r="C28" s="14"/>
      <c r="D28" s="14"/>
      <c r="E28" s="14"/>
      <c r="F28" s="14"/>
      <c r="G28" s="14"/>
      <c r="H28" s="14"/>
    </row>
    <row r="29" spans="1:8" x14ac:dyDescent="0.25">
      <c r="A29" s="66" t="s">
        <v>30</v>
      </c>
      <c r="B29" s="66"/>
      <c r="C29" s="66"/>
      <c r="D29" s="16"/>
      <c r="E29" s="16"/>
    </row>
    <row r="31" spans="1:8" x14ac:dyDescent="0.25">
      <c r="A31" s="18" t="s">
        <v>45</v>
      </c>
      <c r="B31" s="54">
        <v>50.84</v>
      </c>
      <c r="C31" s="47"/>
    </row>
    <row r="33" spans="1:4" x14ac:dyDescent="0.25">
      <c r="A33" s="18" t="s">
        <v>21</v>
      </c>
      <c r="B33" s="2"/>
    </row>
    <row r="34" spans="1:4" ht="15.75" thickBot="1" x14ac:dyDescent="0.3">
      <c r="A34" s="18"/>
      <c r="B34" s="2"/>
    </row>
    <row r="35" spans="1:4" x14ac:dyDescent="0.25">
      <c r="A35" s="5"/>
      <c r="B35" s="48" t="s">
        <v>25</v>
      </c>
      <c r="C35" s="49" t="s">
        <v>61</v>
      </c>
    </row>
    <row r="36" spans="1:4" x14ac:dyDescent="0.25">
      <c r="A36" s="44" t="s">
        <v>24</v>
      </c>
      <c r="B36" s="9">
        <f>C17</f>
        <v>2211200</v>
      </c>
      <c r="C36" s="64">
        <f>(C17*$B$31)/1000000</f>
        <v>112.41740800000001</v>
      </c>
    </row>
    <row r="37" spans="1:4" x14ac:dyDescent="0.25">
      <c r="A37" s="44" t="s">
        <v>29</v>
      </c>
      <c r="B37" s="34">
        <f>D17</f>
        <v>4207982.5144927241</v>
      </c>
      <c r="C37" s="64">
        <f>(B37*B31)/1000000</f>
        <v>213.93383103681009</v>
      </c>
    </row>
    <row r="38" spans="1:4" ht="15.75" thickBot="1" x14ac:dyDescent="0.3">
      <c r="A38" s="45" t="s">
        <v>10</v>
      </c>
      <c r="B38" s="46">
        <f>B37-B36</f>
        <v>1996782.5144927241</v>
      </c>
      <c r="C38" s="65">
        <f>C37-C36</f>
        <v>101.51642303681008</v>
      </c>
    </row>
    <row r="39" spans="1:4" x14ac:dyDescent="0.25">
      <c r="A39" s="20"/>
    </row>
    <row r="40" spans="1:4" x14ac:dyDescent="0.25">
      <c r="A40" s="20" t="s">
        <v>28</v>
      </c>
    </row>
    <row r="41" spans="1:4" ht="15.75" thickBot="1" x14ac:dyDescent="0.3"/>
    <row r="42" spans="1:4" x14ac:dyDescent="0.25">
      <c r="A42" s="5"/>
      <c r="B42" s="48" t="s">
        <v>25</v>
      </c>
      <c r="C42" s="49" t="s">
        <v>62</v>
      </c>
    </row>
    <row r="43" spans="1:4" x14ac:dyDescent="0.25">
      <c r="A43" s="44" t="s">
        <v>24</v>
      </c>
      <c r="B43" s="34">
        <f>C25</f>
        <v>44082.863999999994</v>
      </c>
      <c r="C43" s="64">
        <f>(B43*B31)/1000000</f>
        <v>2.2411728057599998</v>
      </c>
    </row>
    <row r="44" spans="1:4" x14ac:dyDescent="0.25">
      <c r="A44" s="44" t="s">
        <v>29</v>
      </c>
      <c r="B44" s="34">
        <f>D25</f>
        <v>83891.064083194971</v>
      </c>
      <c r="C44" s="64">
        <f>(B44*B31)/1000000</f>
        <v>4.2650216979896323</v>
      </c>
    </row>
    <row r="45" spans="1:4" ht="15.75" thickBot="1" x14ac:dyDescent="0.3">
      <c r="A45" s="45" t="s">
        <v>10</v>
      </c>
      <c r="B45" s="43">
        <f>B44-B43</f>
        <v>39808.200083194977</v>
      </c>
      <c r="C45" s="65">
        <f>C44-C43</f>
        <v>2.0238488922296325</v>
      </c>
    </row>
    <row r="47" spans="1:4" x14ac:dyDescent="0.25">
      <c r="D47" s="25"/>
    </row>
  </sheetData>
  <mergeCells count="3">
    <mergeCell ref="A1:C1"/>
    <mergeCell ref="A12:C12"/>
    <mergeCell ref="A29:C29"/>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3"/>
  <sheetViews>
    <sheetView zoomScaleNormal="100" workbookViewId="0">
      <selection activeCell="E18" sqref="E18"/>
    </sheetView>
  </sheetViews>
  <sheetFormatPr defaultColWidth="11.42578125" defaultRowHeight="15" x14ac:dyDescent="0.25"/>
  <cols>
    <col min="1" max="1" width="60.42578125" customWidth="1"/>
    <col min="2" max="2" width="11.28515625" customWidth="1"/>
    <col min="3" max="3" width="10.42578125" customWidth="1"/>
    <col min="4" max="4" width="9.28515625" customWidth="1"/>
  </cols>
  <sheetData>
    <row r="1" spans="1:4" x14ac:dyDescent="0.25">
      <c r="A1" s="66" t="s">
        <v>46</v>
      </c>
      <c r="B1" s="66"/>
      <c r="C1" s="67"/>
      <c r="D1" s="3"/>
    </row>
    <row r="3" spans="1:4" x14ac:dyDescent="0.25">
      <c r="A3" s="68" t="s">
        <v>60</v>
      </c>
      <c r="B3" s="68"/>
    </row>
    <row r="4" spans="1:4" ht="15.75" thickBot="1" x14ac:dyDescent="0.3">
      <c r="A4" s="55"/>
      <c r="B4" s="55"/>
    </row>
    <row r="5" spans="1:4" x14ac:dyDescent="0.25">
      <c r="A5" s="5" t="s">
        <v>49</v>
      </c>
      <c r="B5" s="7">
        <v>40000</v>
      </c>
    </row>
    <row r="6" spans="1:4" x14ac:dyDescent="0.25">
      <c r="A6" s="8" t="s">
        <v>59</v>
      </c>
      <c r="B6" s="10">
        <v>12000</v>
      </c>
    </row>
    <row r="7" spans="1:4" ht="15.75" thickBot="1" x14ac:dyDescent="0.3">
      <c r="A7" s="11" t="s">
        <v>57</v>
      </c>
      <c r="B7" s="13">
        <v>4553099</v>
      </c>
    </row>
    <row r="8" spans="1:4" ht="15.75" thickBot="1" x14ac:dyDescent="0.3"/>
    <row r="9" spans="1:4" x14ac:dyDescent="0.25">
      <c r="A9" s="5" t="s">
        <v>48</v>
      </c>
      <c r="B9" s="57">
        <v>106667</v>
      </c>
    </row>
    <row r="10" spans="1:4" x14ac:dyDescent="0.25">
      <c r="A10" s="63" t="s">
        <v>50</v>
      </c>
      <c r="B10" s="60">
        <f>(B9*B5)/B7</f>
        <v>937.0936147006687</v>
      </c>
    </row>
    <row r="11" spans="1:4" ht="15.75" thickBot="1" x14ac:dyDescent="0.3">
      <c r="A11" s="62" t="s">
        <v>51</v>
      </c>
      <c r="B11" s="61">
        <f>(B9*B6)/B7</f>
        <v>281.12808441020059</v>
      </c>
    </row>
    <row r="13" spans="1:4" x14ac:dyDescent="0.25">
      <c r="B13" s="1"/>
    </row>
    <row r="14" spans="1:4" x14ac:dyDescent="0.25">
      <c r="A14" s="68" t="s">
        <v>47</v>
      </c>
      <c r="B14" s="69"/>
    </row>
    <row r="15" spans="1:4" ht="15.75" thickBot="1" x14ac:dyDescent="0.3">
      <c r="A15" s="55"/>
      <c r="B15" s="56"/>
    </row>
    <row r="16" spans="1:4" x14ac:dyDescent="0.25">
      <c r="A16" s="5" t="s">
        <v>53</v>
      </c>
      <c r="B16" s="6">
        <v>2.76</v>
      </c>
      <c r="C16" s="6">
        <v>7.76</v>
      </c>
      <c r="D16" s="22" t="s">
        <v>54</v>
      </c>
    </row>
    <row r="17" spans="1:4" ht="15.75" thickBot="1" x14ac:dyDescent="0.3">
      <c r="A17" s="11" t="s">
        <v>58</v>
      </c>
      <c r="B17" s="12">
        <v>395.85700000000003</v>
      </c>
      <c r="C17" s="12">
        <v>395.85700000000003</v>
      </c>
      <c r="D17" s="24" t="s">
        <v>54</v>
      </c>
    </row>
    <row r="18" spans="1:4" ht="15.75" thickBot="1" x14ac:dyDescent="0.3"/>
    <row r="19" spans="1:4" x14ac:dyDescent="0.25">
      <c r="A19" s="5" t="s">
        <v>52</v>
      </c>
      <c r="B19" s="58">
        <v>5382</v>
      </c>
      <c r="C19" s="58">
        <v>5382</v>
      </c>
      <c r="D19" s="22" t="s">
        <v>55</v>
      </c>
    </row>
    <row r="20" spans="1:4" ht="15.75" thickBot="1" x14ac:dyDescent="0.3">
      <c r="A20" s="62" t="s">
        <v>56</v>
      </c>
      <c r="B20" s="59">
        <f>((B19*B16)/B17)</f>
        <v>37.524459590205552</v>
      </c>
      <c r="C20" s="59">
        <f>((C19*C16)/C17)</f>
        <v>105.50355305072286</v>
      </c>
      <c r="D20" s="24" t="s">
        <v>55</v>
      </c>
    </row>
    <row r="22" spans="1:4" x14ac:dyDescent="0.25">
      <c r="A22" s="14"/>
    </row>
    <row r="23" spans="1:4" x14ac:dyDescent="0.25">
      <c r="A23" s="14"/>
    </row>
  </sheetData>
  <mergeCells count="3">
    <mergeCell ref="A1:C1"/>
    <mergeCell ref="A3:B3"/>
    <mergeCell ref="A14:B1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1</vt:lpstr>
      <vt:lpstr>Sheet 2</vt:lpstr>
      <vt:lpstr>Sheet 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dc:creator>
  <cp:lastModifiedBy>Bethan Hutchinson</cp:lastModifiedBy>
  <dcterms:created xsi:type="dcterms:W3CDTF">2018-04-10T10:12:29Z</dcterms:created>
  <dcterms:modified xsi:type="dcterms:W3CDTF">2018-05-02T15:14:36Z</dcterms:modified>
</cp:coreProperties>
</file>